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kale_mieszkalne_2018-2019" sheetId="1" state="visible" r:id="rId2"/>
    <sheet name="garaże" sheetId="2" state="visible" r:id="rId3"/>
    <sheet name="użytkowe" sheetId="3" state="visible" r:id="rId4"/>
    <sheet name="lokale_mieszkalne_rynek_pierw_" sheetId="4" state="visible" r:id="rId5"/>
    <sheet name="Inne" sheetId="5" state="visible" r:id="rId6"/>
  </sheets>
  <definedNames>
    <definedName function="false" hidden="true" localSheetId="0" name="_xlnm._FilterDatabase" vbProcedure="false">'lokale_mieszkalne_2018-2019'!$1:$1</definedName>
    <definedName function="false" hidden="true" localSheetId="3" name="_xlnm._FilterDatabase" vbProcedure="false">lokale_mieszkalne_rynek_pierw_!$1:$638</definedName>
    <definedName function="false" hidden="true" localSheetId="2" name="_xlnm._FilterDatabase" vbProcedure="false">użytkowe!$1:$117</definedName>
    <definedName function="false" hidden="false" localSheetId="0" name="_xlnm._FilterDatabase" vbProcedure="false">lokale_mieszkalne_2018--:lokale_mieszkalne_2018-#REF!</definedName>
    <definedName function="false" hidden="false" localSheetId="1" name="_xlnm._FilterDatabase" vbProcedure="false">garaże!$A$1:$O$1</definedName>
    <definedName function="false" hidden="false" localSheetId="2" name="_xlnm._FilterDatabase" vbProcedure="false">użytkowe!$1:$90</definedName>
    <definedName function="false" hidden="false" localSheetId="3" name="_xlnm._FilterDatabase" vbProcedure="false">lokale_mieszkalne_rynek_pierw_!$A$1:$BG$572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<sst xmlns="http://schemas.openxmlformats.org/spreadsheetml/2006/main" count="36177" uniqueCount="5595">
  <si>
    <t xml:space="preserve">Rep.A</t>
  </si>
  <si>
    <t xml:space="preserve">Data transakcji</t>
  </si>
  <si>
    <t xml:space="preserve"> Dzielnica</t>
  </si>
  <si>
    <t xml:space="preserve">Obręb</t>
  </si>
  <si>
    <t xml:space="preserve">Ulica</t>
  </si>
  <si>
    <t xml:space="preserve">Nr bud.</t>
  </si>
  <si>
    <t xml:space="preserve">Nr lok.</t>
  </si>
  <si>
    <t xml:space="preserve">Kond.</t>
  </si>
  <si>
    <r>
      <rPr>
        <b val="true"/>
        <sz val="11"/>
        <color rgb="FF000000"/>
        <rFont val="Arial"/>
        <family val="0"/>
      </rPr>
      <t xml:space="preserve">P.u. [m</t>
    </r>
    <r>
      <rPr>
        <b val="true"/>
        <vertAlign val="superscript"/>
        <sz val="11"/>
        <color rgb="FF000000"/>
        <rFont val=""/>
        <family val="2"/>
        <charset val="2"/>
      </rPr>
      <t xml:space="preserve">2</t>
    </r>
    <r>
      <rPr>
        <b val="true"/>
        <sz val="11"/>
        <color rgb="FF000000"/>
        <rFont val="Arial"/>
        <family val="0"/>
      </rPr>
      <t xml:space="preserve">]</t>
    </r>
  </si>
  <si>
    <t xml:space="preserve">Cena trans. [zł]</t>
  </si>
  <si>
    <r>
      <rPr>
        <b val="true"/>
        <sz val="11"/>
        <color rgb="FF000000"/>
        <rFont val="Arial"/>
        <family val="0"/>
      </rPr>
      <t xml:space="preserve">Cena jedn. [zł/m</t>
    </r>
    <r>
      <rPr>
        <b val="true"/>
        <vertAlign val="superscript"/>
        <sz val="11"/>
        <color rgb="FF000000"/>
        <rFont val=""/>
        <family val="2"/>
        <charset val="2"/>
      </rPr>
      <t xml:space="preserve">2</t>
    </r>
    <r>
      <rPr>
        <b val="true"/>
        <sz val="11"/>
        <color rgb="FF000000"/>
        <rFont val="Arial"/>
        <family val="0"/>
      </rPr>
      <t xml:space="preserve">]</t>
    </r>
  </si>
  <si>
    <t xml:space="preserve">Dodatkowe składniki</t>
  </si>
  <si>
    <t xml:space="preserve">Cena dodatkowych składników [zł]</t>
  </si>
  <si>
    <t xml:space="preserve">RAZEM w zł</t>
  </si>
  <si>
    <r>
      <rPr>
        <b val="true"/>
        <sz val="11"/>
        <color rgb="FF000000"/>
        <rFont val="Arial"/>
        <family val="0"/>
      </rPr>
      <t xml:space="preserve">Cena jedn. razem [zł/m</t>
    </r>
    <r>
      <rPr>
        <b val="true"/>
        <vertAlign val="superscript"/>
        <sz val="11"/>
        <color rgb="FF000000"/>
        <rFont val=""/>
        <family val="2"/>
        <charset val="2"/>
      </rPr>
      <t xml:space="preserve">2</t>
    </r>
    <r>
      <rPr>
        <b val="true"/>
        <sz val="11"/>
        <color rgb="FF000000"/>
        <rFont val="Arial"/>
        <family val="0"/>
      </rPr>
      <t xml:space="preserve">]</t>
    </r>
  </si>
  <si>
    <t xml:space="preserve">Opis</t>
  </si>
  <si>
    <t xml:space="preserve">Izby</t>
  </si>
  <si>
    <t xml:space="preserve">Rodzaj prawa do lokalu</t>
  </si>
  <si>
    <t xml:space="preserve">Rodzaj rynku</t>
  </si>
  <si>
    <t xml:space="preserve">Źródło danych</t>
  </si>
  <si>
    <t xml:space="preserve">Data wpisu</t>
  </si>
  <si>
    <t xml:space="preserve">KW</t>
  </si>
  <si>
    <t xml:space="preserve">Mokotów</t>
  </si>
  <si>
    <t xml:space="preserve">1-02-06</t>
  </si>
  <si>
    <t xml:space="preserve">Bukietowa</t>
  </si>
  <si>
    <t xml:space="preserve">6</t>
  </si>
  <si>
    <t xml:space="preserve">3</t>
  </si>
  <si>
    <t xml:space="preserve">1</t>
  </si>
  <si>
    <t xml:space="preserve">pok k do remontu</t>
  </si>
  <si>
    <t xml:space="preserve">własność</t>
  </si>
  <si>
    <t xml:space="preserve">wtórny</t>
  </si>
  <si>
    <t xml:space="preserve">akt not</t>
  </si>
  <si>
    <t xml:space="preserve">1-02-01</t>
  </si>
  <si>
    <t xml:space="preserve">Turystyczna</t>
  </si>
  <si>
    <t xml:space="preserve">piwnica 34m2</t>
  </si>
  <si>
    <t xml:space="preserve">2pok k, klatka schodowa</t>
  </si>
  <si>
    <t xml:space="preserve">2</t>
  </si>
  <si>
    <t xml:space="preserve">1-03-02</t>
  </si>
  <si>
    <t xml:space="preserve">Czerniakowska</t>
  </si>
  <si>
    <t xml:space="preserve">127</t>
  </si>
  <si>
    <t xml:space="preserve">201</t>
  </si>
  <si>
    <t xml:space="preserve">pok k</t>
  </si>
  <si>
    <t xml:space="preserve">1-02-13</t>
  </si>
  <si>
    <t xml:space="preserve">Joliot-Curie</t>
  </si>
  <si>
    <t xml:space="preserve">pok k, lokal po remoncie w pełni wyposazony</t>
  </si>
  <si>
    <t xml:space="preserve">1-01-12</t>
  </si>
  <si>
    <t xml:space="preserve">Puławska</t>
  </si>
  <si>
    <t xml:space="preserve">24</t>
  </si>
  <si>
    <t xml:space="preserve">28</t>
  </si>
  <si>
    <t xml:space="preserve">4</t>
  </si>
  <si>
    <t xml:space="preserve">2pok k</t>
  </si>
  <si>
    <t xml:space="preserve">Pułku AK "Baszta"</t>
  </si>
  <si>
    <t xml:space="preserve">80</t>
  </si>
  <si>
    <t xml:space="preserve">1-04-14</t>
  </si>
  <si>
    <t xml:space="preserve">Wałbrzyska</t>
  </si>
  <si>
    <t xml:space="preserve">15</t>
  </si>
  <si>
    <t xml:space="preserve">501</t>
  </si>
  <si>
    <t xml:space="preserve">5</t>
  </si>
  <si>
    <t xml:space="preserve">piwnica przynależy</t>
  </si>
  <si>
    <t xml:space="preserve">3pok k, do remontu</t>
  </si>
  <si>
    <t xml:space="preserve">wa2m/00459266/5</t>
  </si>
  <si>
    <t xml:space="preserve">1-04-06</t>
  </si>
  <si>
    <t xml:space="preserve">Blacharska</t>
  </si>
  <si>
    <t xml:space="preserve">480</t>
  </si>
  <si>
    <t xml:space="preserve">piwnica korzystanie</t>
  </si>
  <si>
    <t xml:space="preserve">1-05-30</t>
  </si>
  <si>
    <t xml:space="preserve">Św. Bonifacego</t>
  </si>
  <si>
    <t xml:space="preserve">70</t>
  </si>
  <si>
    <t xml:space="preserve">21</t>
  </si>
  <si>
    <t xml:space="preserve">2mpgp -udział</t>
  </si>
  <si>
    <t xml:space="preserve">5pok ak</t>
  </si>
  <si>
    <t xml:space="preserve">_100135</t>
  </si>
  <si>
    <t xml:space="preserve">1-02-07</t>
  </si>
  <si>
    <t xml:space="preserve">Wejnerta</t>
  </si>
  <si>
    <t xml:space="preserve">37</t>
  </si>
  <si>
    <t xml:space="preserve">1-10-06</t>
  </si>
  <si>
    <t xml:space="preserve">al. Wilanowska</t>
  </si>
  <si>
    <t xml:space="preserve">43</t>
  </si>
  <si>
    <t xml:space="preserve">45</t>
  </si>
  <si>
    <t xml:space="preserve">piwnica 3,77m2</t>
  </si>
  <si>
    <t xml:space="preserve">1-01-06</t>
  </si>
  <si>
    <t xml:space="preserve">Chodkiewicza</t>
  </si>
  <si>
    <t xml:space="preserve">7</t>
  </si>
  <si>
    <t xml:space="preserve">87</t>
  </si>
  <si>
    <t xml:space="preserve">mpgp udział, kom lok udział</t>
  </si>
  <si>
    <t xml:space="preserve">3pok k</t>
  </si>
  <si>
    <t xml:space="preserve">1-05-09</t>
  </si>
  <si>
    <t xml:space="preserve">Powsińska</t>
  </si>
  <si>
    <t xml:space="preserve">75</t>
  </si>
  <si>
    <t xml:space="preserve">101</t>
  </si>
  <si>
    <t xml:space="preserve">lok niemieszkalny P11, na parterze- 5m2, mpgp udział</t>
  </si>
  <si>
    <t xml:space="preserve">4pok k</t>
  </si>
  <si>
    <t xml:space="preserve">wa2m/00445707/8, wa2m/00445709/2</t>
  </si>
  <si>
    <t xml:space="preserve">1-02-16</t>
  </si>
  <si>
    <t xml:space="preserve">Al. Niepodległości</t>
  </si>
  <si>
    <t xml:space="preserve">20</t>
  </si>
  <si>
    <t xml:space="preserve">3pok k  do remontu</t>
  </si>
  <si>
    <t xml:space="preserve">67D</t>
  </si>
  <si>
    <t xml:space="preserve">kom lok 8,59m2,2xmpgp i dodatkowa pow.28,80m2 - korzystanie</t>
  </si>
  <si>
    <t xml:space="preserve">5pok ak, ogródek 295 m2 i taras 50,22m2 - korzystanie, meble w zabudowie</t>
  </si>
  <si>
    <t xml:space="preserve">Barcelońska</t>
  </si>
  <si>
    <t xml:space="preserve">9</t>
  </si>
  <si>
    <t xml:space="preserve">73</t>
  </si>
  <si>
    <t xml:space="preserve">1-05-36</t>
  </si>
  <si>
    <t xml:space="preserve">Cypryjska</t>
  </si>
  <si>
    <t xml:space="preserve">40</t>
  </si>
  <si>
    <t xml:space="preserve">piwnica 6,10m2</t>
  </si>
  <si>
    <t xml:space="preserve">wa2m/00436814/5</t>
  </si>
  <si>
    <t xml:space="preserve">Iwicka</t>
  </si>
  <si>
    <t xml:space="preserve">1-01-19</t>
  </si>
  <si>
    <t xml:space="preserve">Króżańska</t>
  </si>
  <si>
    <t xml:space="preserve">10</t>
  </si>
  <si>
    <t xml:space="preserve">8</t>
  </si>
  <si>
    <t xml:space="preserve">1-02-11</t>
  </si>
  <si>
    <t xml:space="preserve">Maklakiewicza</t>
  </si>
  <si>
    <t xml:space="preserve">17</t>
  </si>
  <si>
    <t xml:space="preserve">68</t>
  </si>
  <si>
    <t xml:space="preserve">piwnica 0,85m2</t>
  </si>
  <si>
    <t xml:space="preserve">1-04-11</t>
  </si>
  <si>
    <t xml:space="preserve">Orzycka</t>
  </si>
  <si>
    <t xml:space="preserve">18</t>
  </si>
  <si>
    <t xml:space="preserve">piwnica 3,00m2</t>
  </si>
  <si>
    <t xml:space="preserve">1-04-05</t>
  </si>
  <si>
    <t xml:space="preserve">228</t>
  </si>
  <si>
    <t xml:space="preserve">kom lok 5,21m2, mpgp udział</t>
  </si>
  <si>
    <t xml:space="preserve">1-02-14</t>
  </si>
  <si>
    <t xml:space="preserve">14</t>
  </si>
  <si>
    <t xml:space="preserve">Wiktorska</t>
  </si>
  <si>
    <t xml:space="preserve">29</t>
  </si>
  <si>
    <t xml:space="preserve">1-08-16</t>
  </si>
  <si>
    <t xml:space="preserve">Al. Wyścigowa</t>
  </si>
  <si>
    <t xml:space="preserve">B48</t>
  </si>
  <si>
    <t xml:space="preserve">mpgp 11,54m2</t>
  </si>
  <si>
    <t xml:space="preserve">3pok k do remontu</t>
  </si>
  <si>
    <t xml:space="preserve">Arbuzowa</t>
  </si>
  <si>
    <t xml:space="preserve">16</t>
  </si>
  <si>
    <t xml:space="preserve">piwnica 2,67m2</t>
  </si>
  <si>
    <t xml:space="preserve">1-02-26</t>
  </si>
  <si>
    <t xml:space="preserve">Bukowińska</t>
  </si>
  <si>
    <t xml:space="preserve">26A</t>
  </si>
  <si>
    <t xml:space="preserve">1-02-31</t>
  </si>
  <si>
    <t xml:space="preserve">22</t>
  </si>
  <si>
    <t xml:space="preserve">185</t>
  </si>
  <si>
    <t xml:space="preserve">11</t>
  </si>
  <si>
    <t xml:space="preserve">1-01-23</t>
  </si>
  <si>
    <t xml:space="preserve">Grottgera</t>
  </si>
  <si>
    <t xml:space="preserve">11A</t>
  </si>
  <si>
    <t xml:space="preserve">26</t>
  </si>
  <si>
    <t xml:space="preserve">1-04-04</t>
  </si>
  <si>
    <t xml:space="preserve">Pieńkowskiego</t>
  </si>
  <si>
    <t xml:space="preserve">111</t>
  </si>
  <si>
    <t xml:space="preserve">4pok k do gen remontu</t>
  </si>
  <si>
    <t xml:space="preserve">Podchorążych</t>
  </si>
  <si>
    <t xml:space="preserve">39A</t>
  </si>
  <si>
    <t xml:space="preserve">23</t>
  </si>
  <si>
    <t xml:space="preserve">piwnica 2,90m2, mpgp udział</t>
  </si>
  <si>
    <t xml:space="preserve">1-07-11</t>
  </si>
  <si>
    <t xml:space="preserve">Batalionu AK "Karpaty"</t>
  </si>
  <si>
    <t xml:space="preserve">1D</t>
  </si>
  <si>
    <t xml:space="preserve">168</t>
  </si>
  <si>
    <t xml:space="preserve">piwnica 2,30m2, mmpgp udział</t>
  </si>
  <si>
    <t xml:space="preserve">2pok ak</t>
  </si>
  <si>
    <t xml:space="preserve">Biały Kamień</t>
  </si>
  <si>
    <t xml:space="preserve">39</t>
  </si>
  <si>
    <t xml:space="preserve">mpgp i kom lok - udział</t>
  </si>
  <si>
    <t xml:space="preserve">142</t>
  </si>
  <si>
    <t xml:space="preserve">loggia 5,75m2, mpgp udział</t>
  </si>
  <si>
    <t xml:space="preserve">wa2m/00472615/4</t>
  </si>
  <si>
    <t xml:space="preserve">12A</t>
  </si>
  <si>
    <t xml:space="preserve">46</t>
  </si>
  <si>
    <t xml:space="preserve">pok k do remontu, te same nazwiska kupujacej i sprzedajacej</t>
  </si>
  <si>
    <t xml:space="preserve">1-04-20</t>
  </si>
  <si>
    <t xml:space="preserve">Jadźwingów</t>
  </si>
  <si>
    <t xml:space="preserve">5/7</t>
  </si>
  <si>
    <t xml:space="preserve">66</t>
  </si>
  <si>
    <t xml:space="preserve">1-01-10</t>
  </si>
  <si>
    <t xml:space="preserve">Kazimierzowska</t>
  </si>
  <si>
    <t xml:space="preserve">69</t>
  </si>
  <si>
    <t xml:space="preserve">1-02-05</t>
  </si>
  <si>
    <t xml:space="preserve">Mahatmy Gandhiego</t>
  </si>
  <si>
    <t xml:space="preserve">19</t>
  </si>
  <si>
    <t xml:space="preserve">34</t>
  </si>
  <si>
    <t xml:space="preserve">pok wneka kuch</t>
  </si>
  <si>
    <t xml:space="preserve">1-02-18</t>
  </si>
  <si>
    <t xml:space="preserve">111A</t>
  </si>
  <si>
    <t xml:space="preserve">703</t>
  </si>
  <si>
    <t xml:space="preserve">kom 2,30m2</t>
  </si>
  <si>
    <t xml:space="preserve">1-01-18</t>
  </si>
  <si>
    <t xml:space="preserve">119</t>
  </si>
  <si>
    <t xml:space="preserve">piwnica</t>
  </si>
  <si>
    <t xml:space="preserve">1-03-06</t>
  </si>
  <si>
    <t xml:space="preserve">Chełmska</t>
  </si>
  <si>
    <t xml:space="preserve">6/8</t>
  </si>
  <si>
    <t xml:space="preserve">61</t>
  </si>
  <si>
    <t xml:space="preserve">piwnica 8,37m2</t>
  </si>
  <si>
    <t xml:space="preserve">Kaczmarskiego (d.Modzelewskiego)</t>
  </si>
  <si>
    <t xml:space="preserve">77</t>
  </si>
  <si>
    <t xml:space="preserve">41</t>
  </si>
  <si>
    <t xml:space="preserve">1-05-02</t>
  </si>
  <si>
    <t xml:space="preserve">Bernardyńska</t>
  </si>
  <si>
    <t xml:space="preserve">12</t>
  </si>
  <si>
    <t xml:space="preserve">1-05-01</t>
  </si>
  <si>
    <t xml:space="preserve">79</t>
  </si>
  <si>
    <t xml:space="preserve">1-02-36</t>
  </si>
  <si>
    <t xml:space="preserve">723</t>
  </si>
  <si>
    <t xml:space="preserve">mpgp udział</t>
  </si>
  <si>
    <t xml:space="preserve">1-03-11</t>
  </si>
  <si>
    <t xml:space="preserve">166</t>
  </si>
  <si>
    <t xml:space="preserve">mpgp i schowek 1,61m2 - udział</t>
  </si>
  <si>
    <t xml:space="preserve">Granitowa</t>
  </si>
  <si>
    <t xml:space="preserve">30</t>
  </si>
  <si>
    <t xml:space="preserve">kom lok 2,80m2, 2xmpgp udział</t>
  </si>
  <si>
    <t xml:space="preserve">1-02-24</t>
  </si>
  <si>
    <t xml:space="preserve">46/50</t>
  </si>
  <si>
    <t xml:space="preserve">559</t>
  </si>
  <si>
    <t xml:space="preserve">1-08-10</t>
  </si>
  <si>
    <t xml:space="preserve">Wynalazek</t>
  </si>
  <si>
    <t xml:space="preserve">31</t>
  </si>
  <si>
    <t xml:space="preserve">kom lok 6,52m2, mpgp udział</t>
  </si>
  <si>
    <t xml:space="preserve">Tagore'a</t>
  </si>
  <si>
    <t xml:space="preserve">Baboszewska</t>
  </si>
  <si>
    <t xml:space="preserve">Bartłomieja</t>
  </si>
  <si>
    <t xml:space="preserve">36</t>
  </si>
  <si>
    <t xml:space="preserve">8B</t>
  </si>
  <si>
    <t xml:space="preserve">4piętro 4pok k</t>
  </si>
  <si>
    <t xml:space="preserve">Łużycka</t>
  </si>
  <si>
    <t xml:space="preserve">38</t>
  </si>
  <si>
    <t xml:space="preserve">piwnica 2,31m2</t>
  </si>
  <si>
    <t xml:space="preserve">wa2m/00398398/3</t>
  </si>
  <si>
    <t xml:space="preserve">1-02-29</t>
  </si>
  <si>
    <t xml:space="preserve">Pory</t>
  </si>
  <si>
    <t xml:space="preserve">60</t>
  </si>
  <si>
    <t xml:space="preserve">3pok ak</t>
  </si>
  <si>
    <t xml:space="preserve">A63</t>
  </si>
  <si>
    <t xml:space="preserve">mpgp korzystanie</t>
  </si>
  <si>
    <t xml:space="preserve">1-03-04</t>
  </si>
  <si>
    <t xml:space="preserve">Górska</t>
  </si>
  <si>
    <t xml:space="preserve">Hołówki</t>
  </si>
  <si>
    <t xml:space="preserve">116</t>
  </si>
  <si>
    <t xml:space="preserve">piwnic 14,39m2</t>
  </si>
  <si>
    <t xml:space="preserve">Sobieskiego</t>
  </si>
  <si>
    <t xml:space="preserve">72</t>
  </si>
  <si>
    <t xml:space="preserve">pom pomocnicze 2,50m2, mpgp korzystanie</t>
  </si>
  <si>
    <t xml:space="preserve">4pok k, cena 290 000 USD, kurs 3,4190</t>
  </si>
  <si>
    <t xml:space="preserve">Tyniecka</t>
  </si>
  <si>
    <t xml:space="preserve">46A</t>
  </si>
  <si>
    <t xml:space="preserve">42</t>
  </si>
  <si>
    <t xml:space="preserve">1-04-10</t>
  </si>
  <si>
    <t xml:space="preserve">Łukowa</t>
  </si>
  <si>
    <t xml:space="preserve">57</t>
  </si>
  <si>
    <t xml:space="preserve">90</t>
  </si>
  <si>
    <t xml:space="preserve">1-04-02</t>
  </si>
  <si>
    <t xml:space="preserve">Bryły</t>
  </si>
  <si>
    <t xml:space="preserve">64</t>
  </si>
  <si>
    <t xml:space="preserve">piwnica 2,10m2</t>
  </si>
  <si>
    <t xml:space="preserve">2pok k, do remontu, działka nr 4/7 objęta obowiazywaniem Dektrtu Bieruta lecz użytkowanie wieczyste nie zostałe ustanowione na pds. Art..7 dekretu zatem m.st Wa-wy jako właścieil gruntu, nie ma prawa pierwokupu</t>
  </si>
  <si>
    <t xml:space="preserve">wa2m/00430337/5</t>
  </si>
  <si>
    <t xml:space="preserve">95</t>
  </si>
  <si>
    <t xml:space="preserve">2xmpgp udział</t>
  </si>
  <si>
    <t xml:space="preserve">44</t>
  </si>
  <si>
    <t xml:space="preserve">pom gosp 4,20m2, mpgp udział</t>
  </si>
  <si>
    <t xml:space="preserve">Malczewskiego</t>
  </si>
  <si>
    <t xml:space="preserve">44A</t>
  </si>
  <si>
    <t xml:space="preserve">Marzanny</t>
  </si>
  <si>
    <t xml:space="preserve">piwnica 2,60m2</t>
  </si>
  <si>
    <t xml:space="preserve">1-03-01</t>
  </si>
  <si>
    <t xml:space="preserve">85</t>
  </si>
  <si>
    <t xml:space="preserve">pok k, do gen remontu</t>
  </si>
  <si>
    <t xml:space="preserve">1-05-10</t>
  </si>
  <si>
    <t xml:space="preserve">32</t>
  </si>
  <si>
    <t xml:space="preserve">piwnica 3,16m2</t>
  </si>
  <si>
    <t xml:space="preserve">Racławicka</t>
  </si>
  <si>
    <t xml:space="preserve">Woronicza</t>
  </si>
  <si>
    <t xml:space="preserve">Cieszyńska</t>
  </si>
  <si>
    <t xml:space="preserve">1A</t>
  </si>
  <si>
    <t xml:space="preserve">55</t>
  </si>
  <si>
    <t xml:space="preserve">1-03-07</t>
  </si>
  <si>
    <t xml:space="preserve">loggia 7,35m2 i piwnica 3,43m2</t>
  </si>
  <si>
    <t xml:space="preserve">1-03-08</t>
  </si>
  <si>
    <t xml:space="preserve">Gierymskiego</t>
  </si>
  <si>
    <t xml:space="preserve">54</t>
  </si>
  <si>
    <t xml:space="preserve">1-01-17</t>
  </si>
  <si>
    <t xml:space="preserve">Balladyny</t>
  </si>
  <si>
    <t xml:space="preserve">1B</t>
  </si>
  <si>
    <t xml:space="preserve">1-01-20</t>
  </si>
  <si>
    <t xml:space="preserve">Bałuckiego</t>
  </si>
  <si>
    <t xml:space="preserve">35</t>
  </si>
  <si>
    <t xml:space="preserve">1-01-24</t>
  </si>
  <si>
    <t xml:space="preserve">Dolna</t>
  </si>
  <si>
    <t xml:space="preserve">1-01-22</t>
  </si>
  <si>
    <t xml:space="preserve">Ludowa</t>
  </si>
  <si>
    <t xml:space="preserve">1/7</t>
  </si>
  <si>
    <t xml:space="preserve">piwnica 3,91m2</t>
  </si>
  <si>
    <t xml:space="preserve">pok k do gen remontu</t>
  </si>
  <si>
    <t xml:space="preserve">13</t>
  </si>
  <si>
    <t xml:space="preserve">21A</t>
  </si>
  <si>
    <t xml:space="preserve">piwnica nr 46 pow. 2,68m2</t>
  </si>
  <si>
    <t xml:space="preserve">2p, k, ł, przedpokój</t>
  </si>
  <si>
    <t xml:space="preserve">WA2M/00482118/9</t>
  </si>
  <si>
    <t xml:space="preserve">1-01-26</t>
  </si>
  <si>
    <t xml:space="preserve">25</t>
  </si>
  <si>
    <t xml:space="preserve">Bytnara Rudego</t>
  </si>
  <si>
    <t xml:space="preserve">1-01-11</t>
  </si>
  <si>
    <t xml:space="preserve">Rejtana</t>
  </si>
  <si>
    <t xml:space="preserve">14A</t>
  </si>
  <si>
    <t xml:space="preserve">pok k, umowa przeniesienia własności - wykonanie umowy warunkowej sprzedaży z 30.11.2017, przeniesieni własności w zwiazku z niewykonaniem prawa pierwokupu przez prez. M.st.W-wy</t>
  </si>
  <si>
    <t xml:space="preserve">1-02-35</t>
  </si>
  <si>
    <t xml:space="preserve">180</t>
  </si>
  <si>
    <t xml:space="preserve">1-01-13</t>
  </si>
  <si>
    <t xml:space="preserve">Chocimska</t>
  </si>
  <si>
    <t xml:space="preserve">piwnica 10,98m2, 2xmpgp - korzystanie</t>
  </si>
  <si>
    <t xml:space="preserve">4pok k, antresola, stan deweloperski</t>
  </si>
  <si>
    <t xml:space="preserve">67A</t>
  </si>
  <si>
    <t xml:space="preserve">piwnica 4,24m2, 2xmpgp korzystanie</t>
  </si>
  <si>
    <t xml:space="preserve">320</t>
  </si>
  <si>
    <t xml:space="preserve">Bokserska</t>
  </si>
  <si>
    <t xml:space="preserve">136</t>
  </si>
  <si>
    <t xml:space="preserve">Al. Lotników</t>
  </si>
  <si>
    <t xml:space="preserve">99</t>
  </si>
  <si>
    <t xml:space="preserve">1-03-12</t>
  </si>
  <si>
    <t xml:space="preserve">Bobrowiecka</t>
  </si>
  <si>
    <t xml:space="preserve">3A</t>
  </si>
  <si>
    <t xml:space="preserve">1-08-11</t>
  </si>
  <si>
    <t xml:space="preserve">Cybernetyki</t>
  </si>
  <si>
    <t xml:space="preserve">hol, salom z aneksem, sypialnia, łazienka</t>
  </si>
  <si>
    <t xml:space="preserve">WA2M/00522023/3</t>
  </si>
  <si>
    <t xml:space="preserve">11/15</t>
  </si>
  <si>
    <t xml:space="preserve">1-02-27</t>
  </si>
  <si>
    <t xml:space="preserve">Płyćwiańska</t>
  </si>
  <si>
    <t xml:space="preserve">2x mpgp przynależą</t>
  </si>
  <si>
    <t xml:space="preserve">wa2m/00321038/2</t>
  </si>
  <si>
    <t xml:space="preserve">1-05-57</t>
  </si>
  <si>
    <t xml:space="preserve">Idzikowskiego</t>
  </si>
  <si>
    <t xml:space="preserve">2E</t>
  </si>
  <si>
    <t xml:space="preserve">naziemne mp korzystanie</t>
  </si>
  <si>
    <t xml:space="preserve">Naruszewicza</t>
  </si>
  <si>
    <t xml:space="preserve">27</t>
  </si>
  <si>
    <t xml:space="preserve">208</t>
  </si>
  <si>
    <t xml:space="preserve">Piaseczyńska</t>
  </si>
  <si>
    <t xml:space="preserve">122</t>
  </si>
  <si>
    <t xml:space="preserve">Smoluchowskiego</t>
  </si>
  <si>
    <t xml:space="preserve">145</t>
  </si>
  <si>
    <t xml:space="preserve">Urle</t>
  </si>
  <si>
    <t xml:space="preserve">1-07-06</t>
  </si>
  <si>
    <t xml:space="preserve">Bartycka</t>
  </si>
  <si>
    <t xml:space="preserve">71</t>
  </si>
  <si>
    <t xml:space="preserve">mpgp , kom lok, przedogródek korzystanie</t>
  </si>
  <si>
    <t xml:space="preserve">Niegocińska</t>
  </si>
  <si>
    <t xml:space="preserve">100</t>
  </si>
  <si>
    <t xml:space="preserve">piwnica 2,00m2</t>
  </si>
  <si>
    <t xml:space="preserve">1-08-13</t>
  </si>
  <si>
    <t xml:space="preserve">Obrzeżna</t>
  </si>
  <si>
    <t xml:space="preserve">155</t>
  </si>
  <si>
    <t xml:space="preserve">pom gosp 1,46m2, pom gosp 4,90m2, mpgp udział</t>
  </si>
  <si>
    <t xml:space="preserve">1-03-05</t>
  </si>
  <si>
    <t xml:space="preserve">Zakrzewska</t>
  </si>
  <si>
    <t xml:space="preserve">7/11</t>
  </si>
  <si>
    <t xml:space="preserve">Al. Sikorskiego</t>
  </si>
  <si>
    <t xml:space="preserve">9B</t>
  </si>
  <si>
    <t xml:space="preserve">37C</t>
  </si>
  <si>
    <t xml:space="preserve">mpgp i kom lok korzystanie</t>
  </si>
  <si>
    <t xml:space="preserve">Modzelewskiego</t>
  </si>
  <si>
    <t xml:space="preserve">58A</t>
  </si>
  <si>
    <t xml:space="preserve">piwnica 1,96m2, mpgp udział</t>
  </si>
  <si>
    <t xml:space="preserve">wa2m/00476192/0</t>
  </si>
  <si>
    <t xml:space="preserve">128B</t>
  </si>
  <si>
    <t xml:space="preserve">Bacha</t>
  </si>
  <si>
    <t xml:space="preserve">1111</t>
  </si>
  <si>
    <t xml:space="preserve">kom lok 3,10m2</t>
  </si>
  <si>
    <t xml:space="preserve">1-01-21</t>
  </si>
  <si>
    <t xml:space="preserve">Odolańska</t>
  </si>
  <si>
    <t xml:space="preserve">piwnica 2,80m2. mpgp udział</t>
  </si>
  <si>
    <t xml:space="preserve">1-08-02</t>
  </si>
  <si>
    <t xml:space="preserve">175</t>
  </si>
  <si>
    <t xml:space="preserve">kom lok 3,88m2, 2xmpgp udział</t>
  </si>
  <si>
    <t xml:space="preserve">1-01-08</t>
  </si>
  <si>
    <t xml:space="preserve">Asfaltowa</t>
  </si>
  <si>
    <t xml:space="preserve">223</t>
  </si>
  <si>
    <t xml:space="preserve">1-02-17</t>
  </si>
  <si>
    <t xml:space="preserve">Broniwoja</t>
  </si>
  <si>
    <t xml:space="preserve">53</t>
  </si>
  <si>
    <t xml:space="preserve">621</t>
  </si>
  <si>
    <t xml:space="preserve">kom lok 2,09m2, mpgp udział</t>
  </si>
  <si>
    <t xml:space="preserve">pok ak</t>
  </si>
  <si>
    <t xml:space="preserve">4A</t>
  </si>
  <si>
    <t xml:space="preserve">197</t>
  </si>
  <si>
    <t xml:space="preserve">Gagarina</t>
  </si>
  <si>
    <t xml:space="preserve">Odyńca</t>
  </si>
  <si>
    <t xml:space="preserve">piwnica 4,50m2</t>
  </si>
  <si>
    <t xml:space="preserve">1-02-25</t>
  </si>
  <si>
    <t xml:space="preserve">152</t>
  </si>
  <si>
    <t xml:space="preserve">kom piwniczna 2,45m2</t>
  </si>
  <si>
    <t xml:space="preserve">Bluszczańska</t>
  </si>
  <si>
    <t xml:space="preserve">69B</t>
  </si>
  <si>
    <t xml:space="preserve">907</t>
  </si>
  <si>
    <t xml:space="preserve">11B</t>
  </si>
  <si>
    <t xml:space="preserve">49</t>
  </si>
  <si>
    <t xml:space="preserve">piwnica 2,65m2</t>
  </si>
  <si>
    <t xml:space="preserve">2pok k, cena 35000 funtów bryt i 131.000 zł</t>
  </si>
  <si>
    <t xml:space="preserve">1-01-27</t>
  </si>
  <si>
    <t xml:space="preserve">Fregaty</t>
  </si>
  <si>
    <t xml:space="preserve">J. Dąbrowskiego</t>
  </si>
  <si>
    <t xml:space="preserve">Ksawerów</t>
  </si>
  <si>
    <t xml:space="preserve">piwnica 2,30m2</t>
  </si>
  <si>
    <t xml:space="preserve">Madalińskiego</t>
  </si>
  <si>
    <t xml:space="preserve">kom lok, mpgp udział</t>
  </si>
  <si>
    <t xml:space="preserve">wa2m/00458763/2</t>
  </si>
  <si>
    <t xml:space="preserve">1-02-28</t>
  </si>
  <si>
    <t xml:space="preserve">65</t>
  </si>
  <si>
    <t xml:space="preserve">kom lok 4,53m2</t>
  </si>
  <si>
    <t xml:space="preserve">2/4</t>
  </si>
  <si>
    <t xml:space="preserve">47</t>
  </si>
  <si>
    <t xml:space="preserve">mpgp i schowek 1,22m2 - udział</t>
  </si>
  <si>
    <t xml:space="preserve">83</t>
  </si>
  <si>
    <t xml:space="preserve">294</t>
  </si>
  <si>
    <t xml:space="preserve">kom 2,61m2, mpgp udział</t>
  </si>
  <si>
    <t xml:space="preserve">Braci Pillatich</t>
  </si>
  <si>
    <t xml:space="preserve">24A</t>
  </si>
  <si>
    <t xml:space="preserve">Grupy AK Północ</t>
  </si>
  <si>
    <t xml:space="preserve">pom gosp 3,90m2, mpgp udział</t>
  </si>
  <si>
    <t xml:space="preserve">3pok k, wymaga remontu</t>
  </si>
  <si>
    <t xml:space="preserve">91</t>
  </si>
  <si>
    <t xml:space="preserve">2pok k, lokal wymaga odswieżenia</t>
  </si>
  <si>
    <t xml:space="preserve">_90123</t>
  </si>
  <si>
    <t xml:space="preserve">2xmpgp i schowek  udział, kom lok udział</t>
  </si>
  <si>
    <t xml:space="preserve">4pok k, 3 tarasy i dwa ogrody dachowe na 5 kondyg.</t>
  </si>
  <si>
    <t xml:space="preserve">86</t>
  </si>
  <si>
    <t xml:space="preserve">92</t>
  </si>
  <si>
    <t xml:space="preserve">wa2m/00475936/1</t>
  </si>
  <si>
    <t xml:space="preserve">Łowicka</t>
  </si>
  <si>
    <t xml:space="preserve">21B</t>
  </si>
  <si>
    <t xml:space="preserve">mpg</t>
  </si>
  <si>
    <t xml:space="preserve">swpl</t>
  </si>
  <si>
    <t xml:space="preserve">1-08-06</t>
  </si>
  <si>
    <t xml:space="preserve">Konstruktorska</t>
  </si>
  <si>
    <t xml:space="preserve">271</t>
  </si>
  <si>
    <t xml:space="preserve">schowek 2,74m2</t>
  </si>
  <si>
    <t xml:space="preserve">wa2m/00521243/4</t>
  </si>
  <si>
    <t xml:space="preserve">piwnica 1,60m2</t>
  </si>
  <si>
    <t xml:space="preserve">piwnica 3,80m2</t>
  </si>
  <si>
    <t xml:space="preserve">1-01-03</t>
  </si>
  <si>
    <t xml:space="preserve">Batorego</t>
  </si>
  <si>
    <t xml:space="preserve">89</t>
  </si>
  <si>
    <t xml:space="preserve">88</t>
  </si>
  <si>
    <t xml:space="preserve">2pok ak, stan deweloperski</t>
  </si>
  <si>
    <t xml:space="preserve">5A</t>
  </si>
  <si>
    <t xml:space="preserve">Kujawska</t>
  </si>
  <si>
    <t xml:space="preserve">??</t>
  </si>
  <si>
    <t xml:space="preserve">pok k, do remontu</t>
  </si>
  <si>
    <t xml:space="preserve">wa2m/00099155/2</t>
  </si>
  <si>
    <t xml:space="preserve">Wiśniowa</t>
  </si>
  <si>
    <t xml:space="preserve">2pok ak, sprzedaje deweloper ceny brutto</t>
  </si>
  <si>
    <t xml:space="preserve">1-05-11</t>
  </si>
  <si>
    <t xml:space="preserve">67</t>
  </si>
  <si>
    <t xml:space="preserve">2pok k, do remontu</t>
  </si>
  <si>
    <t xml:space="preserve">29A</t>
  </si>
  <si>
    <t xml:space="preserve">Stępińska</t>
  </si>
  <si>
    <t xml:space="preserve">108</t>
  </si>
  <si>
    <t xml:space="preserve">166/172</t>
  </si>
  <si>
    <t xml:space="preserve">1-03-09</t>
  </si>
  <si>
    <t xml:space="preserve">107</t>
  </si>
  <si>
    <t xml:space="preserve">_085914</t>
  </si>
  <si>
    <t xml:space="preserve">Śniardwy</t>
  </si>
  <si>
    <t xml:space="preserve">piwnica 1,70m2</t>
  </si>
  <si>
    <t xml:space="preserve">33</t>
  </si>
  <si>
    <t xml:space="preserve">2pok k do remontu</t>
  </si>
  <si>
    <t xml:space="preserve">piwnica 1,98m2</t>
  </si>
  <si>
    <t xml:space="preserve">mpgp 12,20m2</t>
  </si>
  <si>
    <t xml:space="preserve">wa2m/00225970/4</t>
  </si>
  <si>
    <t xml:space="preserve">114</t>
  </si>
  <si>
    <t xml:space="preserve">kom lok 15,12m2</t>
  </si>
  <si>
    <t xml:space="preserve">Limanowskiego</t>
  </si>
  <si>
    <t xml:space="preserve">115</t>
  </si>
  <si>
    <t xml:space="preserve">48</t>
  </si>
  <si>
    <t xml:space="preserve">133</t>
  </si>
  <si>
    <t xml:space="preserve">11/15B</t>
  </si>
  <si>
    <t xml:space="preserve">5E</t>
  </si>
  <si>
    <t xml:space="preserve">1-04-08</t>
  </si>
  <si>
    <t xml:space="preserve">Studencka</t>
  </si>
  <si>
    <t xml:space="preserve">pok</t>
  </si>
  <si>
    <t xml:space="preserve">1-02-15</t>
  </si>
  <si>
    <t xml:space="preserve">Krasickiego</t>
  </si>
  <si>
    <t xml:space="preserve">piwnica 4,15m2</t>
  </si>
  <si>
    <t xml:space="preserve">Łagodna</t>
  </si>
  <si>
    <t xml:space="preserve">kom lok 4,63m2, mpg udział</t>
  </si>
  <si>
    <t xml:space="preserve">Narbutta</t>
  </si>
  <si>
    <t xml:space="preserve">Żywnego</t>
  </si>
  <si>
    <t xml:space="preserve">piwnica 2,59m2</t>
  </si>
  <si>
    <t xml:space="preserve">2pok ciemna k, do gen remontu</t>
  </si>
  <si>
    <t xml:space="preserve">105</t>
  </si>
  <si>
    <t xml:space="preserve">kom lok 4,40m2</t>
  </si>
  <si>
    <t xml:space="preserve">4pok ak</t>
  </si>
  <si>
    <t xml:space="preserve">224</t>
  </si>
  <si>
    <t xml:space="preserve">2D</t>
  </si>
  <si>
    <t xml:space="preserve">56</t>
  </si>
  <si>
    <t xml:space="preserve">139</t>
  </si>
  <si>
    <t xml:space="preserve">pom gosp 4,71m2, mpgp udział</t>
  </si>
  <si>
    <t xml:space="preserve">6 piętro 3pok ak</t>
  </si>
  <si>
    <t xml:space="preserve">1C</t>
  </si>
  <si>
    <t xml:space="preserve">117</t>
  </si>
  <si>
    <t xml:space="preserve">pom gosp. 4,70m2, mpgp udział</t>
  </si>
  <si>
    <t xml:space="preserve">3pok ak, 2x ogródek korzystanie,</t>
  </si>
  <si>
    <t xml:space="preserve">7/9</t>
  </si>
  <si>
    <t xml:space="preserve">Wyględowska</t>
  </si>
  <si>
    <t xml:space="preserve">kom lok 3,00m2, mpgp udział</t>
  </si>
  <si>
    <t xml:space="preserve">2pok k, cena łączna 107.142,85 EUR</t>
  </si>
  <si>
    <t xml:space="preserve">pomieszcz pomocnicze udział</t>
  </si>
  <si>
    <t xml:space="preserve">Kartaginy</t>
  </si>
  <si>
    <t xml:space="preserve">Warowna</t>
  </si>
  <si>
    <t xml:space="preserve">kom lok 2,87m2, mpgp udział</t>
  </si>
  <si>
    <t xml:space="preserve">92/98</t>
  </si>
  <si>
    <t xml:space="preserve">94</t>
  </si>
  <si>
    <t xml:space="preserve">piwnica i kom lok korzystanie</t>
  </si>
  <si>
    <t xml:space="preserve">Bachmacka</t>
  </si>
  <si>
    <t xml:space="preserve">Domaniewska</t>
  </si>
  <si>
    <t xml:space="preserve">58</t>
  </si>
  <si>
    <t xml:space="preserve">4izby</t>
  </si>
  <si>
    <t xml:space="preserve">1-05-16</t>
  </si>
  <si>
    <t xml:space="preserve">Konstancińska</t>
  </si>
  <si>
    <t xml:space="preserve">mpgp i duzy aneks - udział, udział w drodze</t>
  </si>
  <si>
    <t xml:space="preserve">1pok k</t>
  </si>
  <si>
    <t xml:space="preserve">99A</t>
  </si>
  <si>
    <t xml:space="preserve">1-08-03</t>
  </si>
  <si>
    <t xml:space="preserve">Magazynowa</t>
  </si>
  <si>
    <t xml:space="preserve">2xmpgp i schowek udział</t>
  </si>
  <si>
    <t xml:space="preserve">7A</t>
  </si>
  <si>
    <t xml:space="preserve">2xmpgp i kom lok - udział</t>
  </si>
  <si>
    <t xml:space="preserve">1-03-10</t>
  </si>
  <si>
    <t xml:space="preserve">Al. Wilanowska</t>
  </si>
  <si>
    <t xml:space="preserve">piwnica 2,31m2, mpgp udział</t>
  </si>
  <si>
    <t xml:space="preserve">mpgp i boks dla jednosladu - udział</t>
  </si>
  <si>
    <t xml:space="preserve">pok przedpokój z ak</t>
  </si>
  <si>
    <t xml:space="preserve">Grażyny</t>
  </si>
  <si>
    <t xml:space="preserve">63</t>
  </si>
  <si>
    <t xml:space="preserve">Olesińska</t>
  </si>
  <si>
    <t xml:space="preserve">Premiera T.Arciszewskiego</t>
  </si>
  <si>
    <t xml:space="preserve">130</t>
  </si>
  <si>
    <t xml:space="preserve">piwnica 1,66m2</t>
  </si>
  <si>
    <t xml:space="preserve">Skolimowska</t>
  </si>
  <si>
    <t xml:space="preserve">1; 9; 12A; 14; 29</t>
  </si>
  <si>
    <t xml:space="preserve">1; 4; 5; 5; 1</t>
  </si>
  <si>
    <t xml:space="preserve">2, k; 4p, k; 2p, k; 3p, k; p, k</t>
  </si>
  <si>
    <t xml:space="preserve">3; 5; 3; 2</t>
  </si>
  <si>
    <t xml:space="preserve">1-04-19</t>
  </si>
  <si>
    <t xml:space="preserve">Rakowiecka</t>
  </si>
  <si>
    <t xml:space="preserve">2F</t>
  </si>
  <si>
    <t xml:space="preserve">taras, ogrod , zewnętrzeb mpost - korzystanie, mpgp udział</t>
  </si>
  <si>
    <t xml:space="preserve">1-05-28</t>
  </si>
  <si>
    <t xml:space="preserve">Kaspijska</t>
  </si>
  <si>
    <t xml:space="preserve">Rajska</t>
  </si>
  <si>
    <t xml:space="preserve">74</t>
  </si>
  <si>
    <t xml:space="preserve">piwnica w łącznej pow. lokalu ( prawdopodobnie 4,65m2)</t>
  </si>
  <si>
    <t xml:space="preserve">wa2m/00184040/6</t>
  </si>
  <si>
    <t xml:space="preserve">piwnica przynależy 4,51m2</t>
  </si>
  <si>
    <t xml:space="preserve">96</t>
  </si>
  <si>
    <t xml:space="preserve">piwnica i schowek przynależy</t>
  </si>
  <si>
    <t xml:space="preserve">3pok k, łączny metraż wraz z piwnicą i schowkiem</t>
  </si>
  <si>
    <t xml:space="preserve">wa2m/00489978/8</t>
  </si>
  <si>
    <t xml:space="preserve">_93901</t>
  </si>
  <si>
    <t xml:space="preserve">47A</t>
  </si>
  <si>
    <t xml:space="preserve">Opoczyńska</t>
  </si>
  <si>
    <t xml:space="preserve">Turecka</t>
  </si>
  <si>
    <t xml:space="preserve">kom lok 3,94m2, 2x mpgp udział</t>
  </si>
  <si>
    <t xml:space="preserve">17A</t>
  </si>
  <si>
    <t xml:space="preserve">pok k, dodatkowo atresola 80m2</t>
  </si>
  <si>
    <t xml:space="preserve">Sielecka</t>
  </si>
  <si>
    <t xml:space="preserve">A2</t>
  </si>
  <si>
    <t xml:space="preserve">2x mpgp udział</t>
  </si>
  <si>
    <t xml:space="preserve">10/11</t>
  </si>
  <si>
    <t xml:space="preserve">Wołoska</t>
  </si>
  <si>
    <t xml:space="preserve">2A</t>
  </si>
  <si>
    <t xml:space="preserve">piwnica 2,20m2</t>
  </si>
  <si>
    <t xml:space="preserve">1-04-15</t>
  </si>
  <si>
    <t xml:space="preserve">Sonaty</t>
  </si>
  <si>
    <t xml:space="preserve">205</t>
  </si>
  <si>
    <t xml:space="preserve">kom lok 1,90m2</t>
  </si>
  <si>
    <t xml:space="preserve">1-02-10</t>
  </si>
  <si>
    <t xml:space="preserve">Bielawska</t>
  </si>
  <si>
    <t xml:space="preserve">3pok k, taras 84,80m2</t>
  </si>
  <si>
    <t xml:space="preserve">207</t>
  </si>
  <si>
    <t xml:space="preserve">3pok ak, do odświeżenia</t>
  </si>
  <si>
    <t xml:space="preserve">Irysowa</t>
  </si>
  <si>
    <t xml:space="preserve">Wielicka</t>
  </si>
  <si>
    <t xml:space="preserve">mpgp udział, udział w kompleksie basenowym</t>
  </si>
  <si>
    <t xml:space="preserve">2xmpgp przynależa</t>
  </si>
  <si>
    <t xml:space="preserve">wa2m/00225737/9</t>
  </si>
  <si>
    <t xml:space="preserve">pom gosp 4,09m2, mpgp udział</t>
  </si>
  <si>
    <t xml:space="preserve">62</t>
  </si>
  <si>
    <t xml:space="preserve">Pilicka</t>
  </si>
  <si>
    <t xml:space="preserve">Starościńska</t>
  </si>
  <si>
    <t xml:space="preserve">10/12</t>
  </si>
  <si>
    <t xml:space="preserve">Czerska</t>
  </si>
  <si>
    <t xml:space="preserve">Jaszowiecka</t>
  </si>
  <si>
    <t xml:space="preserve">_93631</t>
  </si>
  <si>
    <t xml:space="preserve">kom lok 4,53m2, mpgp udział</t>
  </si>
  <si>
    <t xml:space="preserve">176/178</t>
  </si>
  <si>
    <t xml:space="preserve">230</t>
  </si>
  <si>
    <t xml:space="preserve">Okęcka</t>
  </si>
  <si>
    <t xml:space="preserve">piwnica 0,83m2</t>
  </si>
  <si>
    <t xml:space="preserve">132</t>
  </si>
  <si>
    <t xml:space="preserve">19A</t>
  </si>
  <si>
    <t xml:space="preserve">323</t>
  </si>
  <si>
    <t xml:space="preserve">16A</t>
  </si>
  <si>
    <t xml:space="preserve">Kwiatowa</t>
  </si>
  <si>
    <t xml:space="preserve">Piwarskiego</t>
  </si>
  <si>
    <t xml:space="preserve">piwnica 1,06m2</t>
  </si>
  <si>
    <t xml:space="preserve">kom lok 3,35m2</t>
  </si>
  <si>
    <t xml:space="preserve">420</t>
  </si>
  <si>
    <t xml:space="preserve">117A</t>
  </si>
  <si>
    <t xml:space="preserve">1007</t>
  </si>
  <si>
    <t xml:space="preserve">98</t>
  </si>
  <si>
    <t xml:space="preserve">kom lok 3,49m2, 2xmpgp udział</t>
  </si>
  <si>
    <t xml:space="preserve">5izb</t>
  </si>
  <si>
    <t xml:space="preserve">wa2m/00501860/9</t>
  </si>
  <si>
    <t xml:space="preserve">Batuty</t>
  </si>
  <si>
    <t xml:space="preserve">215</t>
  </si>
  <si>
    <t xml:space="preserve">kom 1,80m2</t>
  </si>
  <si>
    <t xml:space="preserve">Przejazd</t>
  </si>
  <si>
    <t xml:space="preserve">51</t>
  </si>
  <si>
    <t xml:space="preserve">Sardyńska</t>
  </si>
  <si>
    <t xml:space="preserve">2pok k do gen remontu</t>
  </si>
  <si>
    <t xml:space="preserve">1518?</t>
  </si>
  <si>
    <t xml:space="preserve">1-03-03</t>
  </si>
  <si>
    <t xml:space="preserve">1-08-01</t>
  </si>
  <si>
    <t xml:space="preserve">10C</t>
  </si>
  <si>
    <t xml:space="preserve">Pohoskiego</t>
  </si>
  <si>
    <t xml:space="preserve">wyposażenie lokalu</t>
  </si>
  <si>
    <t xml:space="preserve">2pok k, sprzedaje sp z o.o. ceny brutto</t>
  </si>
  <si>
    <t xml:space="preserve">Gotarda</t>
  </si>
  <si>
    <t xml:space="preserve">129</t>
  </si>
  <si>
    <t xml:space="preserve">Katalońska</t>
  </si>
  <si>
    <t xml:space="preserve">10B</t>
  </si>
  <si>
    <t xml:space="preserve">196</t>
  </si>
  <si>
    <t xml:space="preserve">boks garażowy 33m2</t>
  </si>
  <si>
    <t xml:space="preserve">wa2m/00373244/8</t>
  </si>
  <si>
    <t xml:space="preserve">76</t>
  </si>
  <si>
    <t xml:space="preserve">57/61</t>
  </si>
  <si>
    <t xml:space="preserve">1-05-25</t>
  </si>
  <si>
    <t xml:space="preserve">Plac Rembowskiego</t>
  </si>
  <si>
    <t xml:space="preserve">mpgp i kom lok - korzystanie</t>
  </si>
  <si>
    <t xml:space="preserve">23/25</t>
  </si>
  <si>
    <t xml:space="preserve">Sandomierska</t>
  </si>
  <si>
    <t xml:space="preserve">Ursynowska</t>
  </si>
  <si>
    <t xml:space="preserve">24/26</t>
  </si>
  <si>
    <t xml:space="preserve">1-01-09</t>
  </si>
  <si>
    <t xml:space="preserve">143</t>
  </si>
  <si>
    <t xml:space="preserve">1-02-12</t>
  </si>
  <si>
    <t xml:space="preserve">Głogowa</t>
  </si>
  <si>
    <t xml:space="preserve">zespół pom pwinicznych 19,75m2 , garaż 17,40m2</t>
  </si>
  <si>
    <t xml:space="preserve">5pok k</t>
  </si>
  <si>
    <t xml:space="preserve">wa2m/00093879/1</t>
  </si>
  <si>
    <t xml:space="preserve">2pok k do remontu, lokal zlokalizowany na 2,5 piętrze, budynek bez windy</t>
  </si>
  <si>
    <t xml:space="preserve">1-04-07</t>
  </si>
  <si>
    <t xml:space="preserve">Rolna</t>
  </si>
  <si>
    <t xml:space="preserve">179</t>
  </si>
  <si>
    <t xml:space="preserve">kom lok korzystanie, mpgp udział</t>
  </si>
  <si>
    <t xml:space="preserve">2pok ak, ogródek 24,26m2</t>
  </si>
  <si>
    <t xml:space="preserve">52</t>
  </si>
  <si>
    <t xml:space="preserve">141</t>
  </si>
  <si>
    <t xml:space="preserve">pok do gen remontu</t>
  </si>
  <si>
    <t xml:space="preserve">2pok k, sprzedaje deweloper ceny brutto</t>
  </si>
  <si>
    <t xml:space="preserve">J.Dąbrowskiego</t>
  </si>
  <si>
    <t xml:space="preserve">D7</t>
  </si>
  <si>
    <t xml:space="preserve">piwnica 1,85m2, mpgp udział</t>
  </si>
  <si>
    <t xml:space="preserve">118</t>
  </si>
  <si>
    <t xml:space="preserve">1-01-02</t>
  </si>
  <si>
    <t xml:space="preserve">Bruna</t>
  </si>
  <si>
    <t xml:space="preserve">1-05-23</t>
  </si>
  <si>
    <t xml:space="preserve">Solankowa</t>
  </si>
  <si>
    <t xml:space="preserve">Kmicica</t>
  </si>
  <si>
    <t xml:space="preserve">3i4</t>
  </si>
  <si>
    <t xml:space="preserve">przynależy garaż 18,20m2</t>
  </si>
  <si>
    <t xml:space="preserve">4pok</t>
  </si>
  <si>
    <t xml:space="preserve">2pok k, cena 88.761,28 pln i 62.553,37 EUR na dzien akty kursu 4,2094 = 263312,16 pln</t>
  </si>
  <si>
    <t xml:space="preserve">2B</t>
  </si>
  <si>
    <t xml:space="preserve">2xmpgp korzystanie</t>
  </si>
  <si>
    <t xml:space="preserve">wa2m/00325387/1</t>
  </si>
  <si>
    <t xml:space="preserve">1-07-01</t>
  </si>
  <si>
    <t xml:space="preserve">110</t>
  </si>
  <si>
    <t xml:space="preserve">403</t>
  </si>
  <si>
    <t xml:space="preserve">pok wneka kuch, lokal powstaw w wyniku adaptacji i przebudowy ostatniej kondygnacji budynku, stan deweloperski, kwota brutto</t>
  </si>
  <si>
    <t xml:space="preserve">1-01-14</t>
  </si>
  <si>
    <t xml:space="preserve">257</t>
  </si>
  <si>
    <t xml:space="preserve">64/68</t>
  </si>
  <si>
    <t xml:space="preserve">81</t>
  </si>
  <si>
    <t xml:space="preserve">piwnica 1,50m2</t>
  </si>
  <si>
    <t xml:space="preserve">mpnaziemne korzystanie</t>
  </si>
  <si>
    <t xml:space="preserve">Boboli</t>
  </si>
  <si>
    <t xml:space="preserve">Konduktorska</t>
  </si>
  <si>
    <t xml:space="preserve">kom lok 6,24m2, mpgp udział</t>
  </si>
  <si>
    <t xml:space="preserve">1-05-19</t>
  </si>
  <si>
    <t xml:space="preserve">Okrężna</t>
  </si>
  <si>
    <t xml:space="preserve">piwnica 62,10m2, mp korzystanie</t>
  </si>
  <si>
    <t xml:space="preserve">67E</t>
  </si>
  <si>
    <t xml:space="preserve">kom lok 3,92m2</t>
  </si>
  <si>
    <t xml:space="preserve">Korczyńska</t>
  </si>
  <si>
    <t xml:space="preserve">149</t>
  </si>
  <si>
    <t xml:space="preserve">?</t>
  </si>
  <si>
    <t xml:space="preserve">pom gosp 4,19m2, mpgp korzystanie</t>
  </si>
  <si>
    <t xml:space="preserve">wa2m/00445127/8</t>
  </si>
  <si>
    <t xml:space="preserve">piw, sch</t>
  </si>
  <si>
    <t xml:space="preserve">2p, k</t>
  </si>
  <si>
    <t xml:space="preserve">S.Grzesiuka</t>
  </si>
  <si>
    <t xml:space="preserve">piwnica 14m2</t>
  </si>
  <si>
    <t xml:space="preserve">24/25</t>
  </si>
  <si>
    <t xml:space="preserve">63D</t>
  </si>
  <si>
    <t xml:space="preserve">pok ak antresola</t>
  </si>
  <si>
    <t xml:space="preserve">261</t>
  </si>
  <si>
    <t xml:space="preserve">17B</t>
  </si>
  <si>
    <t xml:space="preserve">138</t>
  </si>
  <si>
    <t xml:space="preserve">pom gosp 2,99m2, mpgp udział</t>
  </si>
  <si>
    <t xml:space="preserve">pownica 2,70m2</t>
  </si>
  <si>
    <t xml:space="preserve">Św.Bonifacego</t>
  </si>
  <si>
    <t xml:space="preserve">134</t>
  </si>
  <si>
    <t xml:space="preserve">piwnica 4,45m2</t>
  </si>
  <si>
    <t xml:space="preserve">7D</t>
  </si>
  <si>
    <t xml:space="preserve">mpgp i pom dla jedn - udział</t>
  </si>
  <si>
    <t xml:space="preserve">1-07-07</t>
  </si>
  <si>
    <t xml:space="preserve">Iberyjska</t>
  </si>
  <si>
    <t xml:space="preserve">8i9</t>
  </si>
  <si>
    <t xml:space="preserve">2x mpgp i kom lok -udziały</t>
  </si>
  <si>
    <t xml:space="preserve">5pok k, tarasy 10,41m2, ogród 124,46m2</t>
  </si>
  <si>
    <t xml:space="preserve">Gandhiego</t>
  </si>
  <si>
    <t xml:space="preserve">Modra</t>
  </si>
  <si>
    <t xml:space="preserve">3pok k do gen remontu</t>
  </si>
  <si>
    <t xml:space="preserve">piwnica 9,30m2</t>
  </si>
  <si>
    <t xml:space="preserve">115A</t>
  </si>
  <si>
    <t xml:space="preserve">udział w działkach gruntu</t>
  </si>
  <si>
    <t xml:space="preserve">pom gosp 5,42m2, mpgp udział</t>
  </si>
  <si>
    <t xml:space="preserve">Klarysewska</t>
  </si>
  <si>
    <t xml:space="preserve">59</t>
  </si>
  <si>
    <t xml:space="preserve">3B</t>
  </si>
  <si>
    <t xml:space="preserve">523</t>
  </si>
  <si>
    <t xml:space="preserve">Czeczota</t>
  </si>
  <si>
    <t xml:space="preserve">Padewska</t>
  </si>
  <si>
    <t xml:space="preserve">46/50B</t>
  </si>
  <si>
    <t xml:space="preserve">154</t>
  </si>
  <si>
    <t xml:space="preserve">kom w łacznym metrażu lok, mpgp udział</t>
  </si>
  <si>
    <t xml:space="preserve">3pok ak jadalnia</t>
  </si>
  <si>
    <t xml:space="preserve">wa2m/00520265/7</t>
  </si>
  <si>
    <t xml:space="preserve">Kolberga</t>
  </si>
  <si>
    <t xml:space="preserve">113</t>
  </si>
  <si>
    <t xml:space="preserve">pom gosp 5,39m2 i 3,64m2, 3xmpgp udział</t>
  </si>
  <si>
    <t xml:space="preserve">109</t>
  </si>
  <si>
    <t xml:space="preserve">Różana</t>
  </si>
  <si>
    <t xml:space="preserve">21/22</t>
  </si>
  <si>
    <t xml:space="preserve">60/62</t>
  </si>
  <si>
    <t xml:space="preserve">6/10</t>
  </si>
  <si>
    <t xml:space="preserve">5B</t>
  </si>
  <si>
    <t xml:space="preserve">2pok ak sprzedaje deweloper ceny brutto</t>
  </si>
  <si>
    <t xml:space="preserve">Belgijska</t>
  </si>
  <si>
    <t xml:space="preserve">404</t>
  </si>
  <si>
    <t xml:space="preserve">10A</t>
  </si>
  <si>
    <t xml:space="preserve">piwnica 0,87m2</t>
  </si>
  <si>
    <t xml:space="preserve">Żaryna</t>
  </si>
  <si>
    <t xml:space="preserve">32A</t>
  </si>
  <si>
    <t xml:space="preserve">pom gosp 2,40m2, 3xmpgp 13,67+13,67+13,37</t>
  </si>
  <si>
    <t xml:space="preserve">4pok k, sprzedaż razem z lok nr 39</t>
  </si>
  <si>
    <t xml:space="preserve">pok ak, sprzedaż razem z lok nr 40</t>
  </si>
  <si>
    <t xml:space="preserve">132/136</t>
  </si>
  <si>
    <t xml:space="preserve">4pok k słuzbowka</t>
  </si>
  <si>
    <t xml:space="preserve">piwnica 3,17m2, mpgp udział</t>
  </si>
  <si>
    <t xml:space="preserve">wa2m/00476779/9</t>
  </si>
  <si>
    <t xml:space="preserve">147</t>
  </si>
  <si>
    <t xml:space="preserve">Egejska</t>
  </si>
  <si>
    <t xml:space="preserve">piwnica 2,23m2</t>
  </si>
  <si>
    <t xml:space="preserve">2pok ciemna k,</t>
  </si>
  <si>
    <t xml:space="preserve">535</t>
  </si>
  <si>
    <t xml:space="preserve">Ochota</t>
  </si>
  <si>
    <t xml:space="preserve">2-01-04</t>
  </si>
  <si>
    <t xml:space="preserve">227/233</t>
  </si>
  <si>
    <t xml:space="preserve">piwnica 3,72m2</t>
  </si>
  <si>
    <t xml:space="preserve">1p, ak, ł, mg nr 6</t>
  </si>
  <si>
    <t xml:space="preserve">WA2M/00506828/8</t>
  </si>
  <si>
    <t xml:space="preserve">mpgp i kom lok udziały</t>
  </si>
  <si>
    <t xml:space="preserve">218</t>
  </si>
  <si>
    <t xml:space="preserve">161</t>
  </si>
  <si>
    <t xml:space="preserve">pom gosp 4,39m2, mpgp udział</t>
  </si>
  <si>
    <t xml:space="preserve">50</t>
  </si>
  <si>
    <t xml:space="preserve">wa2m/00461006/2</t>
  </si>
  <si>
    <t xml:space="preserve">5401??</t>
  </si>
  <si>
    <t xml:space="preserve">kom lok 7,8m2, mpgp korzystanie</t>
  </si>
  <si>
    <t xml:space="preserve">wa2m/00352410/0</t>
  </si>
  <si>
    <t xml:space="preserve">przynależy lodzia 6,14m2, mpgp udział</t>
  </si>
  <si>
    <t xml:space="preserve">wa2m/00473490/8</t>
  </si>
  <si>
    <t xml:space="preserve">mpgp i kom lok -udział</t>
  </si>
  <si>
    <t xml:space="preserve">108/112</t>
  </si>
  <si>
    <t xml:space="preserve">2mpgp korzystanie</t>
  </si>
  <si>
    <t xml:space="preserve">Olszewska</t>
  </si>
  <si>
    <t xml:space="preserve">3xmpgp udział</t>
  </si>
  <si>
    <t xml:space="preserve">158</t>
  </si>
  <si>
    <t xml:space="preserve">kom lok 2,48m2, 3xmpgp udział</t>
  </si>
  <si>
    <t xml:space="preserve">Wa2m/00512654/2</t>
  </si>
  <si>
    <t xml:space="preserve">9 pom</t>
  </si>
  <si>
    <t xml:space="preserve">wa2m/00491496/2</t>
  </si>
  <si>
    <t xml:space="preserve">kom lok w łacznym metrażu lokalu, mpgp udział</t>
  </si>
  <si>
    <t xml:space="preserve">wa2m/00455041/4</t>
  </si>
  <si>
    <t xml:space="preserve">366</t>
  </si>
  <si>
    <t xml:space="preserve">piwnica 1,00m2</t>
  </si>
  <si>
    <t xml:space="preserve">C57</t>
  </si>
  <si>
    <t xml:space="preserve">mpgp 12,04m2</t>
  </si>
  <si>
    <t xml:space="preserve">pok asypialny akuchenny</t>
  </si>
  <si>
    <t xml:space="preserve">42/44</t>
  </si>
  <si>
    <t xml:space="preserve">238</t>
  </si>
  <si>
    <t xml:space="preserve">2xpiwnica korzystanie</t>
  </si>
  <si>
    <t xml:space="preserve">Wita Stwosza</t>
  </si>
  <si>
    <t xml:space="preserve">2045???</t>
  </si>
  <si>
    <t xml:space="preserve">wa2m/00113520/7</t>
  </si>
  <si>
    <t xml:space="preserve">590</t>
  </si>
  <si>
    <t xml:space="preserve">Mozarta</t>
  </si>
  <si>
    <t xml:space="preserve">513</t>
  </si>
  <si>
    <t xml:space="preserve">kom lok 2,00m2</t>
  </si>
  <si>
    <t xml:space="preserve">Postępu</t>
  </si>
  <si>
    <t xml:space="preserve">piwnica w łącznym metrażu lokalu</t>
  </si>
  <si>
    <t xml:space="preserve">wa2m/00481886/0</t>
  </si>
  <si>
    <t xml:space="preserve">63A</t>
  </si>
  <si>
    <t xml:space="preserve">piwnica 4,50m2, mpgp udział</t>
  </si>
  <si>
    <t xml:space="preserve">kom lok 2,90m2 i 2,30m2, mpgp udział</t>
  </si>
  <si>
    <t xml:space="preserve">22A</t>
  </si>
  <si>
    <t xml:space="preserve">piwnica 3,82m2. mpgp 11,50m2 korzystanie</t>
  </si>
  <si>
    <t xml:space="preserve">140</t>
  </si>
  <si>
    <t xml:space="preserve">103</t>
  </si>
  <si>
    <t xml:space="preserve">2pok ak, sprzedaje deweloper ceny brutto, wartość wyposażenia lokalu 39.891,95zł brutto w cenie</t>
  </si>
  <si>
    <t xml:space="preserve">203</t>
  </si>
  <si>
    <t xml:space="preserve">pom gosp w łącznym metrażu lok, mpgp udział</t>
  </si>
  <si>
    <t xml:space="preserve">wa2m/00466185/5</t>
  </si>
  <si>
    <t xml:space="preserve">102</t>
  </si>
  <si>
    <t xml:space="preserve">Dożynkowa</t>
  </si>
  <si>
    <t xml:space="preserve">6pok k do gen remontu</t>
  </si>
  <si>
    <t xml:space="preserve">2xmpgp (rodzinne)</t>
  </si>
  <si>
    <t xml:space="preserve">8E</t>
  </si>
  <si>
    <t xml:space="preserve">kom lok w łącznym metrażu lok, mpgp udział</t>
  </si>
  <si>
    <t xml:space="preserve">wa2m/00437231/1</t>
  </si>
  <si>
    <t xml:space="preserve">24B</t>
  </si>
  <si>
    <t xml:space="preserve">mpgp udział, udział w działkach gruntu</t>
  </si>
  <si>
    <t xml:space="preserve">7F</t>
  </si>
  <si>
    <t xml:space="preserve">103/105</t>
  </si>
  <si>
    <t xml:space="preserve">3171?</t>
  </si>
  <si>
    <t xml:space="preserve">81A</t>
  </si>
  <si>
    <t xml:space="preserve">wa2m/00203082/2</t>
  </si>
  <si>
    <t xml:space="preserve">95/97</t>
  </si>
  <si>
    <t xml:space="preserve">piwnica 2,68m2</t>
  </si>
  <si>
    <t xml:space="preserve">167</t>
  </si>
  <si>
    <t xml:space="preserve">piwnica w łącznej pow. lokalu</t>
  </si>
  <si>
    <t xml:space="preserve">wa2m/00463026/2</t>
  </si>
  <si>
    <t xml:space="preserve">1/3</t>
  </si>
  <si>
    <t xml:space="preserve">Bełska</t>
  </si>
  <si>
    <t xml:space="preserve">pom przynależne 0,77m2</t>
  </si>
  <si>
    <t xml:space="preserve">9/11</t>
  </si>
  <si>
    <t xml:space="preserve">piwnica w łacznym metrażu lokalu</t>
  </si>
  <si>
    <t xml:space="preserve">wa2m/00517246/4</t>
  </si>
  <si>
    <t xml:space="preserve">Malawskiego</t>
  </si>
  <si>
    <t xml:space="preserve">kom lok 1,32m2</t>
  </si>
  <si>
    <t xml:space="preserve">Tatrzańska</t>
  </si>
  <si>
    <t xml:space="preserve">Belwederska</t>
  </si>
  <si>
    <t xml:space="preserve">pok ak do gen remontu</t>
  </si>
  <si>
    <t xml:space="preserve">piwnica i schowek korzystanie</t>
  </si>
  <si>
    <t xml:space="preserve">4i5</t>
  </si>
  <si>
    <t xml:space="preserve">2x kom lok 9,76m2, 2xmpgp udział</t>
  </si>
  <si>
    <t xml:space="preserve">4 izby</t>
  </si>
  <si>
    <t xml:space="preserve">7C</t>
  </si>
  <si>
    <t xml:space="preserve">3p, k, ł</t>
  </si>
  <si>
    <t xml:space="preserve">spółdzielcze</t>
  </si>
  <si>
    <t xml:space="preserve">WA2M/00429735/5</t>
  </si>
  <si>
    <t xml:space="preserve">kom lok 11,09m2 odrębna własność , 3x mpgp korzystanie</t>
  </si>
  <si>
    <t xml:space="preserve">13B</t>
  </si>
  <si>
    <t xml:space="preserve">udział w działce gruntu</t>
  </si>
  <si>
    <t xml:space="preserve">232</t>
  </si>
  <si>
    <t xml:space="preserve">mpgp i pom pomocnicze</t>
  </si>
  <si>
    <t xml:space="preserve">2pok ak, taras 5,76m2 ogród 24,57m2</t>
  </si>
  <si>
    <t xml:space="preserve">104</t>
  </si>
  <si>
    <t xml:space="preserve">mpgp kom lok - udział</t>
  </si>
  <si>
    <t xml:space="preserve">pok k, taras 5,70m2 i ogród 25,76m2</t>
  </si>
  <si>
    <t xml:space="preserve">piwnica 2,38m2, udział w działkach gruntu</t>
  </si>
  <si>
    <t xml:space="preserve">3162?</t>
  </si>
  <si>
    <t xml:space="preserve">wa2m/00083222/8</t>
  </si>
  <si>
    <t xml:space="preserve">pom przynależna w łącznym metrażu lokalu, 2xmpgp udział</t>
  </si>
  <si>
    <t xml:space="preserve">wa2m/00482750/5</t>
  </si>
  <si>
    <t xml:space="preserve">2pok ciemna kuchnia</t>
  </si>
  <si>
    <t xml:space="preserve">kom lok 2,98m2 i mpost 7,67m2</t>
  </si>
  <si>
    <t xml:space="preserve">137/141</t>
  </si>
  <si>
    <t xml:space="preserve">piwnica 3,77m2, mpgp udział</t>
  </si>
  <si>
    <t xml:space="preserve">1-05-26</t>
  </si>
  <si>
    <t xml:space="preserve">Augustówka</t>
  </si>
  <si>
    <t xml:space="preserve">7/9/11</t>
  </si>
  <si>
    <t xml:space="preserve">156</t>
  </si>
  <si>
    <t xml:space="preserve">piwnica 2,75m2</t>
  </si>
  <si>
    <t xml:space="preserve">b/d</t>
  </si>
  <si>
    <t xml:space="preserve">Żywnego  </t>
  </si>
  <si>
    <t xml:space="preserve">sm</t>
  </si>
  <si>
    <t xml:space="preserve">odrębna własność</t>
  </si>
  <si>
    <t xml:space="preserve">3025??</t>
  </si>
  <si>
    <t xml:space="preserve">wa2m/00297153/6</t>
  </si>
  <si>
    <t xml:space="preserve">piwnica 2,14m2</t>
  </si>
  <si>
    <t xml:space="preserve">14/16</t>
  </si>
  <si>
    <t xml:space="preserve">kom lok 1,10m2</t>
  </si>
  <si>
    <t xml:space="preserve">702</t>
  </si>
  <si>
    <t xml:space="preserve">kom lok 2,80m2</t>
  </si>
  <si>
    <t xml:space="preserve">3425??</t>
  </si>
  <si>
    <t xml:space="preserve">1002</t>
  </si>
  <si>
    <t xml:space="preserve">wa2m/00466826/1</t>
  </si>
  <si>
    <t xml:space="preserve">mpgp i mp dla jednosladu - udział</t>
  </si>
  <si>
    <t xml:space="preserve">131</t>
  </si>
  <si>
    <t xml:space="preserve">2p, k, ł</t>
  </si>
  <si>
    <t xml:space="preserve">WA2M/00071347/3</t>
  </si>
  <si>
    <t xml:space="preserve">12B</t>
  </si>
  <si>
    <t xml:space="preserve">1-04-16</t>
  </si>
  <si>
    <t xml:space="preserve">Noskowskiego</t>
  </si>
  <si>
    <t xml:space="preserve">kom 1,50m2</t>
  </si>
  <si>
    <t xml:space="preserve">piwnica 1,59m2</t>
  </si>
  <si>
    <t xml:space="preserve">5C</t>
  </si>
  <si>
    <t xml:space="preserve">mpgp i piwnica udział</t>
  </si>
  <si>
    <t xml:space="preserve">16B</t>
  </si>
  <si>
    <t xml:space="preserve">kom 4,06m2, mpgp korzystanie</t>
  </si>
  <si>
    <t xml:space="preserve">Twoje dane</t>
  </si>
  <si>
    <t xml:space="preserve">wa2m/00502886/4</t>
  </si>
  <si>
    <t xml:space="preserve">428</t>
  </si>
  <si>
    <t xml:space="preserve">Grupy AK"Krybar"</t>
  </si>
  <si>
    <t xml:space="preserve">4704?</t>
  </si>
  <si>
    <t xml:space="preserve">wa2m/00175967/4</t>
  </si>
  <si>
    <t xml:space="preserve">B8</t>
  </si>
  <si>
    <t xml:space="preserve">mpgp nr 21 i wspolkorzystanie z odgrodzonego mpost nr 3- udział</t>
  </si>
  <si>
    <t xml:space="preserve">3xmpgp , mpgp 16-17</t>
  </si>
  <si>
    <t xml:space="preserve">5pok k, taras 60m2</t>
  </si>
  <si>
    <t xml:space="preserve">Fryderyk Joliot-Curie</t>
  </si>
  <si>
    <t xml:space="preserve">2p, k, pp, ł</t>
  </si>
  <si>
    <t xml:space="preserve">Tagore</t>
  </si>
  <si>
    <t xml:space="preserve">piwnica-2,90</t>
  </si>
  <si>
    <t xml:space="preserve">kom.lok., mpgp</t>
  </si>
  <si>
    <t xml:space="preserve">2p, s, pp, k, g, łzwc, taras-11,94</t>
  </si>
  <si>
    <t xml:space="preserve">piwnica-8,00</t>
  </si>
  <si>
    <t xml:space="preserve">piwnica-3,40</t>
  </si>
  <si>
    <t xml:space="preserve">3p, k, h, ł, wc</t>
  </si>
  <si>
    <t xml:space="preserve">3p, k, łzwc, pp, loggia</t>
  </si>
  <si>
    <t xml:space="preserve">1-02-08</t>
  </si>
  <si>
    <t xml:space="preserve">kom.lok-3,11, mp</t>
  </si>
  <si>
    <t xml:space="preserve">2 izby</t>
  </si>
  <si>
    <t xml:space="preserve">kom.lok-5,20; m-ce.p;</t>
  </si>
  <si>
    <t xml:space="preserve">2p, sn, j, k, 2ł, h,  2balkony-15,10 i 7,40</t>
  </si>
  <si>
    <t xml:space="preserve">22a</t>
  </si>
  <si>
    <t xml:space="preserve">mg</t>
  </si>
  <si>
    <t xml:space="preserve">2p, k, ł, wc</t>
  </si>
  <si>
    <t xml:space="preserve">WA2M/00122572/2</t>
  </si>
  <si>
    <t xml:space="preserve">mp</t>
  </si>
  <si>
    <t xml:space="preserve">pokój z aneksem kuch, 2p, 2ł, g, pp, 2balkony-6,56 i 3,51</t>
  </si>
  <si>
    <t xml:space="preserve">p, k, ł, pp</t>
  </si>
  <si>
    <t xml:space="preserve">3p, k, pp, łzwc</t>
  </si>
  <si>
    <t xml:space="preserve">3p, k, łzwc, pp</t>
  </si>
  <si>
    <t xml:space="preserve">3p, k, pp, ł</t>
  </si>
  <si>
    <t xml:space="preserve">8a</t>
  </si>
  <si>
    <t xml:space="preserve">kom.lok</t>
  </si>
  <si>
    <t xml:space="preserve">p, pp, k, ł, łączna pow.lok i kom.</t>
  </si>
  <si>
    <t xml:space="preserve">2p, k, ł, pp</t>
  </si>
  <si>
    <t xml:space="preserve">kom.lok-2,83</t>
  </si>
  <si>
    <t xml:space="preserve">3p, k, łzwc, pp, strych-40,07</t>
  </si>
  <si>
    <t xml:space="preserve">al. Niepodległości</t>
  </si>
  <si>
    <t xml:space="preserve">121/123</t>
  </si>
  <si>
    <t xml:space="preserve">Kaczmarskiego</t>
  </si>
  <si>
    <t xml:space="preserve">2p, k, łzwc, pp</t>
  </si>
  <si>
    <t xml:space="preserve">W.A. Mozarta</t>
  </si>
  <si>
    <t xml:space="preserve">kom-1,60</t>
  </si>
  <si>
    <t xml:space="preserve">2p, k, pp, ł, wc</t>
  </si>
  <si>
    <t xml:space="preserve">1-02-38</t>
  </si>
  <si>
    <t xml:space="preserve">Bergamotki</t>
  </si>
  <si>
    <t xml:space="preserve">salon z aneksem kuchennym i jadalnią, 4p, 2łzwc, serwis, 2holle</t>
  </si>
  <si>
    <t xml:space="preserve"> udz.w garażu</t>
  </si>
  <si>
    <t xml:space="preserve">2p, pokój z aneksem kuchennym, łzwc, ł, pp, loggia-18,10,</t>
  </si>
  <si>
    <t xml:space="preserve"> 2mp</t>
  </si>
  <si>
    <t xml:space="preserve">4p, k, 2łzwc, pp, schowek-3,52,</t>
  </si>
  <si>
    <t xml:space="preserve">39/41</t>
  </si>
  <si>
    <t xml:space="preserve">piwnica-2,80</t>
  </si>
  <si>
    <t xml:space="preserve">kom-4,60, mpgp, udz.w.dr</t>
  </si>
  <si>
    <t xml:space="preserve">p, p z a.k, h, łzwc, g</t>
  </si>
  <si>
    <t xml:space="preserve">Jazgarzewska</t>
  </si>
  <si>
    <t xml:space="preserve">kom.lok-3,10, 2mpgp</t>
  </si>
  <si>
    <t xml:space="preserve">s, k, sp, g, pr, 2ł, wc, 3 halle</t>
  </si>
  <si>
    <t xml:space="preserve">23a</t>
  </si>
  <si>
    <t xml:space="preserve">p, k, łzwc, pp, balkon</t>
  </si>
  <si>
    <t xml:space="preserve">Leszczyny</t>
  </si>
  <si>
    <t xml:space="preserve">kom-2,69, udz.w garażu</t>
  </si>
  <si>
    <t xml:space="preserve">3syp, salon z aneksem kuch, pralnia, 2łzwc, wc</t>
  </si>
  <si>
    <t xml:space="preserve">piwnica-5,50</t>
  </si>
  <si>
    <t xml:space="preserve">p, k, pp, ł</t>
  </si>
  <si>
    <t xml:space="preserve">Wróbla</t>
  </si>
  <si>
    <t xml:space="preserve">piwnica-2,41, mp</t>
  </si>
  <si>
    <t xml:space="preserve">al. Wyścigowa</t>
  </si>
  <si>
    <t xml:space="preserve">14a</t>
  </si>
  <si>
    <t xml:space="preserve">mpgp</t>
  </si>
  <si>
    <t xml:space="preserve">p, pok.zan.kuch, h, ł</t>
  </si>
  <si>
    <t xml:space="preserve">kom-1,10</t>
  </si>
  <si>
    <t xml:space="preserve">24a</t>
  </si>
  <si>
    <t xml:space="preserve">17, 18</t>
  </si>
  <si>
    <t xml:space="preserve"> 2 mpgp</t>
  </si>
  <si>
    <t xml:space="preserve">6p, g, 5h, 3łzwc, k, taras</t>
  </si>
  <si>
    <t xml:space="preserve">6p, g, 5h, 3ł, 2wc, taras</t>
  </si>
  <si>
    <t xml:space="preserve">p, k, pp, łzwc</t>
  </si>
  <si>
    <t xml:space="preserve">kom-2,40</t>
  </si>
  <si>
    <t xml:space="preserve">3p, k, ł, wc, pp</t>
  </si>
  <si>
    <t xml:space="preserve">11G</t>
  </si>
  <si>
    <t xml:space="preserve">zew.mp</t>
  </si>
  <si>
    <t xml:space="preserve">pok.dzienny z kuch, syp, 2h, sch, ł</t>
  </si>
  <si>
    <t xml:space="preserve">16C</t>
  </si>
  <si>
    <t xml:space="preserve">3mpgp</t>
  </si>
  <si>
    <t xml:space="preserve">salon z aneksem kuch, sp, ł, h, schowek-3,04;</t>
  </si>
  <si>
    <t xml:space="preserve"> pom.gosp-4,88, udz.w garażu</t>
  </si>
  <si>
    <t xml:space="preserve">4p, an.kuch, g, ł, wc, h, loggia-6,88, pow.łączna</t>
  </si>
  <si>
    <t xml:space="preserve">36a</t>
  </si>
  <si>
    <t xml:space="preserve">12/14/16</t>
  </si>
  <si>
    <t xml:space="preserve">kom.lok-5,10, mp</t>
  </si>
  <si>
    <t xml:space="preserve">3p, k, łzwc, h, ogródek-30,84,</t>
  </si>
  <si>
    <t xml:space="preserve">11, 12</t>
  </si>
  <si>
    <t xml:space="preserve">pom.pomocn.,3mp</t>
  </si>
  <si>
    <t xml:space="preserve">3p, sn, k, pp, 3ł, pr, wc, 2g, kl.sch, 3tarasy-11,93, 16,58, 40,02; 2ogrody dach-32,55 i 16,54;</t>
  </si>
  <si>
    <t xml:space="preserve">55/57</t>
  </si>
  <si>
    <t xml:space="preserve">p, wnęka kuchenna, łzwc, pp</t>
  </si>
  <si>
    <t xml:space="preserve">27a</t>
  </si>
  <si>
    <t xml:space="preserve">3p, k, ł, pp</t>
  </si>
  <si>
    <t xml:space="preserve">S. Bryły</t>
  </si>
  <si>
    <t xml:space="preserve">piwnica-0,97</t>
  </si>
  <si>
    <t xml:space="preserve">2p, k, pow. łączna</t>
  </si>
  <si>
    <t xml:space="preserve">p, k, łzwc, pp</t>
  </si>
  <si>
    <t xml:space="preserve">2mpgp</t>
  </si>
  <si>
    <t xml:space="preserve">sn, 3p, k, h, g, ł, 2wc</t>
  </si>
  <si>
    <t xml:space="preserve">4a</t>
  </si>
  <si>
    <t xml:space="preserve">syp, salon z an.kuch, ł, h, balkon-3,90</t>
  </si>
  <si>
    <t xml:space="preserve">47B</t>
  </si>
  <si>
    <t xml:space="preserve">2p, k, pp, łzwc</t>
  </si>
  <si>
    <t xml:space="preserve">J. S. Bacha</t>
  </si>
  <si>
    <t xml:space="preserve">Joliot Curie</t>
  </si>
  <si>
    <t xml:space="preserve">Kielecka</t>
  </si>
  <si>
    <t xml:space="preserve">piwnica-1,06</t>
  </si>
  <si>
    <t xml:space="preserve">3p, pp, k, łzwc</t>
  </si>
  <si>
    <t xml:space="preserve">72a</t>
  </si>
  <si>
    <t xml:space="preserve">2p, k, ł, wc, pp</t>
  </si>
  <si>
    <t xml:space="preserve">udz.w garażu</t>
  </si>
  <si>
    <t xml:space="preserve">kom.lok-8,46, 2mpgp</t>
  </si>
  <si>
    <t xml:space="preserve">h, sn, pr, k, 2ł, 2sch,  taras-84,69, loggia-22,45, balkon-8,56 i 7,72,</t>
  </si>
  <si>
    <t xml:space="preserve">mpgp, kom.lok-3,20</t>
  </si>
  <si>
    <t xml:space="preserve">2p, pp, k, ł</t>
  </si>
  <si>
    <t xml:space="preserve"> 2mpgp, kom.lok-5,18</t>
  </si>
  <si>
    <t xml:space="preserve">salon, 3p, k, 2ł, wc, 2g, 2h, taras,</t>
  </si>
  <si>
    <t xml:space="preserve">Dąbrowskiego</t>
  </si>
  <si>
    <t xml:space="preserve">4p, k, pp, ł, wc, służebność osobisa-dożywocie</t>
  </si>
  <si>
    <t xml:space="preserve">74a</t>
  </si>
  <si>
    <t xml:space="preserve">piwnica-3,56</t>
  </si>
  <si>
    <t xml:space="preserve">176a</t>
  </si>
  <si>
    <t xml:space="preserve">2p, k, łzwc, h, pow.lok. Łącznie z piwnicą</t>
  </si>
  <si>
    <t xml:space="preserve">Żaglowa</t>
  </si>
  <si>
    <t xml:space="preserve">kom.lok-2,14, m-ce.p</t>
  </si>
  <si>
    <t xml:space="preserve">piwnica-3,50</t>
  </si>
  <si>
    <t xml:space="preserve">3p, k, ł, pp, wc</t>
  </si>
  <si>
    <t xml:space="preserve">70/78D</t>
  </si>
  <si>
    <t xml:space="preserve">18A</t>
  </si>
  <si>
    <t xml:space="preserve">p, łzwc, pp</t>
  </si>
  <si>
    <t xml:space="preserve">syp, ł, pp, p z an.kuch, g</t>
  </si>
  <si>
    <t xml:space="preserve">3p, k, ł, pp, do remontu</t>
  </si>
  <si>
    <t xml:space="preserve">48/58</t>
  </si>
  <si>
    <t xml:space="preserve">4p, k, pp, ł, wc</t>
  </si>
  <si>
    <t xml:space="preserve">pok.z an.kuch, h, sch, ł, loggia-4,24,</t>
  </si>
  <si>
    <t xml:space="preserve">3p, k, ł, wc, h</t>
  </si>
  <si>
    <t xml:space="preserve">2p, k, pp, ł, sł</t>
  </si>
  <si>
    <t xml:space="preserve">Stefana Bryły</t>
  </si>
  <si>
    <t xml:space="preserve">piwnica-1,74</t>
  </si>
  <si>
    <t xml:space="preserve">33D</t>
  </si>
  <si>
    <t xml:space="preserve">an,kuch, sn, sp, h, ł</t>
  </si>
  <si>
    <t xml:space="preserve">mmpgp</t>
  </si>
  <si>
    <t xml:space="preserve">2p, k, ł, wc, h</t>
  </si>
  <si>
    <t xml:space="preserve">mpgp, kom.lok-3,34</t>
  </si>
  <si>
    <t xml:space="preserve">h, 2ł, sn, 2p, k, g</t>
  </si>
  <si>
    <t xml:space="preserve">9C</t>
  </si>
  <si>
    <t xml:space="preserve">Premiera T. Arciszewskiego</t>
  </si>
  <si>
    <t xml:space="preserve">piwnica-1,81</t>
  </si>
  <si>
    <t xml:space="preserve">Wyścigowa</t>
  </si>
  <si>
    <t xml:space="preserve">B-14</t>
  </si>
  <si>
    <t xml:space="preserve">2p, an.kuch, pp, łzwc</t>
  </si>
  <si>
    <t xml:space="preserve">piwnica-2,00</t>
  </si>
  <si>
    <t xml:space="preserve">Gintrowskiego</t>
  </si>
  <si>
    <t xml:space="preserve">p, p z a.k, łzwc, pp</t>
  </si>
  <si>
    <t xml:space="preserve">p, wc, k, pp, ł</t>
  </si>
  <si>
    <t xml:space="preserve">pp, p z a.kuch, ł, pr, syp, oranżeria, cena brutto (z VAT)</t>
  </si>
  <si>
    <t xml:space="preserve">kom.lok-2,95; mpgp</t>
  </si>
  <si>
    <t xml:space="preserve">3p, k, 2łzwc, g, 2pp, taras</t>
  </si>
  <si>
    <t xml:space="preserve">1-01-226</t>
  </si>
  <si>
    <t xml:space="preserve">8D</t>
  </si>
  <si>
    <t xml:space="preserve">3p, k, j, ł, wc, koryt,h</t>
  </si>
  <si>
    <t xml:space="preserve">sn, k, h, ł</t>
  </si>
  <si>
    <t xml:space="preserve">4p, k, łzwc</t>
  </si>
  <si>
    <t xml:space="preserve">piwnica-1,21</t>
  </si>
  <si>
    <t xml:space="preserve">p, k, pp, łzwc, pow.lok.łącznie z pow.piw</t>
  </si>
  <si>
    <t xml:space="preserve">kom-1,80,</t>
  </si>
  <si>
    <t xml:space="preserve">3p, k, ł, wc, pp, balkon-3,30</t>
  </si>
  <si>
    <t xml:space="preserve">B-16</t>
  </si>
  <si>
    <t xml:space="preserve">mpgp, pom.gos-3,02</t>
  </si>
  <si>
    <t xml:space="preserve">p, an.kuch, ł, h</t>
  </si>
  <si>
    <t xml:space="preserve">2p, k, pp, łzwc, k</t>
  </si>
  <si>
    <t xml:space="preserve">C-47</t>
  </si>
  <si>
    <t xml:space="preserve">p, an.syp, an.kuch, łzwc</t>
  </si>
  <si>
    <t xml:space="preserve"> kom.</t>
  </si>
  <si>
    <t xml:space="preserve">3p, k, ł, wc, pp, balkon,</t>
  </si>
  <si>
    <t xml:space="preserve">C-125</t>
  </si>
  <si>
    <t xml:space="preserve">mpgp, pom.gos-3,70</t>
  </si>
  <si>
    <t xml:space="preserve">2p, aneksu kuch, pp, łzwc, łączna pow.lok i pom.przyn-57,99.; pow.lok.m-41,98</t>
  </si>
  <si>
    <t xml:space="preserve">J.S. Bacha</t>
  </si>
  <si>
    <t xml:space="preserve">kom-2,10</t>
  </si>
  <si>
    <t xml:space="preserve">Ursynów</t>
  </si>
  <si>
    <t xml:space="preserve">1-08-15</t>
  </si>
  <si>
    <t xml:space="preserve">2p, an.kuch, sch, łzwc, h</t>
  </si>
  <si>
    <t xml:space="preserve">Kuratowskiego</t>
  </si>
  <si>
    <t xml:space="preserve">piwnica-2,60</t>
  </si>
  <si>
    <t xml:space="preserve">3p, h, k, ł, wc, łączna pow.uż</t>
  </si>
  <si>
    <t xml:space="preserve">2p, an.kuch, łzwc, pp</t>
  </si>
  <si>
    <t xml:space="preserve">pdzienny, h, k, 2syp, ł, wc</t>
  </si>
  <si>
    <t xml:space="preserve">3, 4</t>
  </si>
  <si>
    <t xml:space="preserve">2mpgp, 2kom.lok - 3,14 i 2,63</t>
  </si>
  <si>
    <t xml:space="preserve">sn, 4p, 2g, k, 3ł, pr, 2 pom.kom, h, 2 balkony-24,69 i 19,84;</t>
  </si>
  <si>
    <t xml:space="preserve">p, k, balkon-3,62</t>
  </si>
  <si>
    <t xml:space="preserve">piwnica-2,16, pom-0,90</t>
  </si>
  <si>
    <t xml:space="preserve">3p, k, ł, wc, pp, balkon, laczna pow.lok i pom.przyn.</t>
  </si>
  <si>
    <t xml:space="preserve">p, k, pp, ł, do remontu</t>
  </si>
  <si>
    <t xml:space="preserve">2p, k, ł, pp, do remontu</t>
  </si>
  <si>
    <t xml:space="preserve">kom.lok, m-ce.p</t>
  </si>
  <si>
    <t xml:space="preserve">4p, k, 2łzwc, pp,  balkon, laczna pow</t>
  </si>
  <si>
    <t xml:space="preserve">kom-1,90</t>
  </si>
  <si>
    <t xml:space="preserve">2p, k, łzwc, pp, podana łączna pow.lok+pow.kom</t>
  </si>
  <si>
    <t xml:space="preserve">3p, k, ł, wc, pp, loggia</t>
  </si>
  <si>
    <t xml:space="preserve">Bełdan</t>
  </si>
  <si>
    <t xml:space="preserve">m-ce.p</t>
  </si>
  <si>
    <t xml:space="preserve">p, ak, loggia-5,56, balkon-5,51, pow. łączna</t>
  </si>
  <si>
    <t xml:space="preserve">3p, ak</t>
  </si>
  <si>
    <t xml:space="preserve">3p, k, pp, ł, wc</t>
  </si>
  <si>
    <t xml:space="preserve">p z an.kuch, p, h, łzwc</t>
  </si>
  <si>
    <t xml:space="preserve">G. Bruna</t>
  </si>
  <si>
    <t xml:space="preserve">piwnica-2,20</t>
  </si>
  <si>
    <t xml:space="preserve">2p, ak</t>
  </si>
  <si>
    <t xml:space="preserve">piwnica-3,5</t>
  </si>
  <si>
    <t xml:space="preserve">p, p z an.kuch, pp, łzwc, loggia-4,5</t>
  </si>
  <si>
    <t xml:space="preserve">3p, k, ł, wc</t>
  </si>
  <si>
    <t xml:space="preserve">WA2M/00065716/6</t>
  </si>
  <si>
    <t xml:space="preserve">p, 2syp, k, ł, h, k</t>
  </si>
  <si>
    <t xml:space="preserve">Podbipięty  </t>
  </si>
  <si>
    <t xml:space="preserve"> </t>
  </si>
  <si>
    <t xml:space="preserve">spółdzielcze własnościowe</t>
  </si>
  <si>
    <t xml:space="preserve">3p, pp, k, ł, wc, cena brutto</t>
  </si>
  <si>
    <t xml:space="preserve">Grupy Ak "Północ"</t>
  </si>
  <si>
    <t xml:space="preserve">3p, k</t>
  </si>
  <si>
    <t xml:space="preserve">Ligocka</t>
  </si>
  <si>
    <t xml:space="preserve">p z an.kuch, pp, łzwc</t>
  </si>
  <si>
    <t xml:space="preserve">mpgp, meble</t>
  </si>
  <si>
    <t xml:space="preserve">3h, k, spż, g, j, 2pp, pr, 3ł, 3syp, syp.gł, bibl, pp, g, gab, 2sn, toaleta,  taras-103,41</t>
  </si>
  <si>
    <t xml:space="preserve">garaż, 2piwnice</t>
  </si>
  <si>
    <t xml:space="preserve">4p, k, ł, wc, h</t>
  </si>
  <si>
    <t xml:space="preserve">3p, k,</t>
  </si>
  <si>
    <t xml:space="preserve">kom., 2mpgp</t>
  </si>
  <si>
    <t xml:space="preserve">2salnów, 2sp, k, gab, 3gard, 2ł, 2h, pr, lokal w stanie niewykończonym , urządzone tylko łazienki</t>
  </si>
  <si>
    <t xml:space="preserve">p, wnęki na kuch, pp, ł</t>
  </si>
  <si>
    <t xml:space="preserve">piwnica-5,48</t>
  </si>
  <si>
    <t xml:space="preserve">5F</t>
  </si>
  <si>
    <t xml:space="preserve">2p, k, ł, h, balkon-5,60;</t>
  </si>
  <si>
    <t xml:space="preserve">piw</t>
  </si>
  <si>
    <t xml:space="preserve">kom.lok-3,17, m-ce.p</t>
  </si>
  <si>
    <t xml:space="preserve">sn, k, sp, ł, h, loggia-6,74,</t>
  </si>
  <si>
    <t xml:space="preserve">Melsztyńska</t>
  </si>
  <si>
    <t xml:space="preserve">4/10</t>
  </si>
  <si>
    <t xml:space="preserve">77A</t>
  </si>
  <si>
    <t xml:space="preserve">WA2M.00207717/1</t>
  </si>
  <si>
    <t xml:space="preserve">15/17</t>
  </si>
  <si>
    <t xml:space="preserve">p, k</t>
  </si>
  <si>
    <t xml:space="preserve">2p, k, łzwc, h</t>
  </si>
  <si>
    <t xml:space="preserve">piw-8,10</t>
  </si>
  <si>
    <t xml:space="preserve">p, pp, ł</t>
  </si>
  <si>
    <t xml:space="preserve">WA2M/00196198/5</t>
  </si>
  <si>
    <t xml:space="preserve">Dąbrowskiego  </t>
  </si>
  <si>
    <t xml:space="preserve">82f</t>
  </si>
  <si>
    <t xml:space="preserve">nieuregulowany grunt (dzierżawa)</t>
  </si>
  <si>
    <t xml:space="preserve">Nicejska</t>
  </si>
  <si>
    <t xml:space="preserve">61A</t>
  </si>
  <si>
    <t xml:space="preserve">kom.lok, mp</t>
  </si>
  <si>
    <t xml:space="preserve">3p, k, pow. łączna</t>
  </si>
  <si>
    <t xml:space="preserve"> Żywnego  </t>
  </si>
  <si>
    <t xml:space="preserve">piw-1,70</t>
  </si>
  <si>
    <t xml:space="preserve">7/15</t>
  </si>
  <si>
    <t xml:space="preserve">1p, k, ł</t>
  </si>
  <si>
    <t xml:space="preserve">WA2M/00308645/3</t>
  </si>
  <si>
    <t xml:space="preserve">piw-4,43</t>
  </si>
  <si>
    <t xml:space="preserve">Czerniowiecka</t>
  </si>
  <si>
    <t xml:space="preserve">sn, 2p, k, ł, wc, pp, taras-10,93</t>
  </si>
  <si>
    <t xml:space="preserve">2p, k,balkon</t>
  </si>
  <si>
    <t xml:space="preserve">Jana Bytnara "Rudego"</t>
  </si>
  <si>
    <t xml:space="preserve">Jaśminowa</t>
  </si>
  <si>
    <t xml:space="preserve">5p, g, k, 2ł, pom.pomoc, j, 2kor</t>
  </si>
  <si>
    <t xml:space="preserve">Niewielka</t>
  </si>
  <si>
    <t xml:space="preserve">udz.w gr</t>
  </si>
  <si>
    <t xml:space="preserve">Santocka</t>
  </si>
  <si>
    <t xml:space="preserve">3p, ak, 2 loggie</t>
  </si>
  <si>
    <t xml:space="preserve"> Dąbrowskiego  </t>
  </si>
  <si>
    <t xml:space="preserve">84f</t>
  </si>
  <si>
    <t xml:space="preserve">kom.lok-4,50, 2mpgp</t>
  </si>
  <si>
    <t xml:space="preserve">3p, ak, pow. łączna</t>
  </si>
  <si>
    <t xml:space="preserve">3p, k, ł , wc</t>
  </si>
  <si>
    <t xml:space="preserve">WA2M/00325479/3</t>
  </si>
  <si>
    <t xml:space="preserve">1-05-31</t>
  </si>
  <si>
    <t xml:space="preserve">Zelwerowicza</t>
  </si>
  <si>
    <t xml:space="preserve">kom.lok-5,50, mp</t>
  </si>
  <si>
    <t xml:space="preserve">2p, k, bib, g, pow.łączna</t>
  </si>
  <si>
    <t xml:space="preserve">mpgp, boks</t>
  </si>
  <si>
    <t xml:space="preserve">3p, k, loggia-6,31, pow. łączna</t>
  </si>
  <si>
    <t xml:space="preserve">5p, k, pow. łączna</t>
  </si>
  <si>
    <t xml:space="preserve">WA2M/00489320/1</t>
  </si>
  <si>
    <t xml:space="preserve">p, wk</t>
  </si>
  <si>
    <t xml:space="preserve">Wilanowska</t>
  </si>
  <si>
    <t xml:space="preserve">368C</t>
  </si>
  <si>
    <t xml:space="preserve">6, 7</t>
  </si>
  <si>
    <t xml:space="preserve">kom.lok-4,37, 2mpgp</t>
  </si>
  <si>
    <t xml:space="preserve">pow.łączna</t>
  </si>
  <si>
    <t xml:space="preserve">bd</t>
  </si>
  <si>
    <t xml:space="preserve">piw-3,5</t>
  </si>
  <si>
    <t xml:space="preserve">Maltańska</t>
  </si>
  <si>
    <t xml:space="preserve">1-05-03</t>
  </si>
  <si>
    <t xml:space="preserve">piw-9</t>
  </si>
  <si>
    <t xml:space="preserve">2, k</t>
  </si>
  <si>
    <t xml:space="preserve">Szczekocińska</t>
  </si>
  <si>
    <t xml:space="preserve">al.Niepodległości</t>
  </si>
  <si>
    <t xml:space="preserve">WA2M/00397256/9</t>
  </si>
  <si>
    <t xml:space="preserve">Jana III Sobieskiego</t>
  </si>
  <si>
    <t xml:space="preserve">1p, ak, ł</t>
  </si>
  <si>
    <t xml:space="preserve">WA2M/00509734/3</t>
  </si>
  <si>
    <t xml:space="preserve">Bielany</t>
  </si>
  <si>
    <t xml:space="preserve">7-07-01</t>
  </si>
  <si>
    <t xml:space="preserve">Marymoncka</t>
  </si>
  <si>
    <t xml:space="preserve">82A</t>
  </si>
  <si>
    <t xml:space="preserve">p, ak</t>
  </si>
  <si>
    <t xml:space="preserve">piw-5,57</t>
  </si>
  <si>
    <t xml:space="preserve">Orężna</t>
  </si>
  <si>
    <t xml:space="preserve">2p, k, balkon-8,29, loggia-1,24 stan deweloperski, bez białego montażu</t>
  </si>
  <si>
    <t xml:space="preserve">101A</t>
  </si>
  <si>
    <t xml:space="preserve">mp, kom.l</t>
  </si>
  <si>
    <t xml:space="preserve">2p, ak, przedogródek</t>
  </si>
  <si>
    <t xml:space="preserve">p.przy-2,31, mpgp</t>
  </si>
  <si>
    <t xml:space="preserve">2p, k, pow.łączna</t>
  </si>
  <si>
    <t xml:space="preserve">piw-1,90</t>
  </si>
  <si>
    <t xml:space="preserve">Bielawska  </t>
  </si>
  <si>
    <t xml:space="preserve">piw-2,60</t>
  </si>
  <si>
    <t xml:space="preserve">3p, k, pow.łącz</t>
  </si>
  <si>
    <t xml:space="preserve">mpgp, kmo.l-4,61</t>
  </si>
  <si>
    <t xml:space="preserve">WA2M/00457027/4</t>
  </si>
  <si>
    <t xml:space="preserve">2C</t>
  </si>
  <si>
    <t xml:space="preserve">kom.lok-3,72</t>
  </si>
  <si>
    <t xml:space="preserve">2p, ak, pow. łączna</t>
  </si>
  <si>
    <t xml:space="preserve">3p, ak, g</t>
  </si>
  <si>
    <t xml:space="preserve">2p, ak, ł, mg nr N9</t>
  </si>
  <si>
    <t xml:space="preserve">WA2M/00445997/7</t>
  </si>
  <si>
    <t xml:space="preserve">2kom.l-3,00 i 3,00, mp</t>
  </si>
  <si>
    <t xml:space="preserve">WA2M/00295709/5</t>
  </si>
  <si>
    <t xml:space="preserve">kom.lok-3,86</t>
  </si>
  <si>
    <t xml:space="preserve">mg nr 47 oraz 48, pom na rowery nr 19</t>
  </si>
  <si>
    <t xml:space="preserve">2p, s, k, ł, wc, spiżarnia, serwis</t>
  </si>
  <si>
    <t xml:space="preserve">WA2M/00523930/1</t>
  </si>
  <si>
    <t xml:space="preserve">2kom-3,07 i 3,79, 2mpgp</t>
  </si>
  <si>
    <t xml:space="preserve">al.Wyścigowa</t>
  </si>
  <si>
    <t xml:space="preserve">WA2M/00440779/8</t>
  </si>
  <si>
    <t xml:space="preserve">82g</t>
  </si>
  <si>
    <t xml:space="preserve">28A</t>
  </si>
  <si>
    <t xml:space="preserve">piw-9, mp</t>
  </si>
  <si>
    <t xml:space="preserve">3p, ak, k, do generalnego remontu</t>
  </si>
  <si>
    <t xml:space="preserve">kom.lok-4,37</t>
  </si>
  <si>
    <t xml:space="preserve">3p, k, pow.łączna</t>
  </si>
  <si>
    <t xml:space="preserve">Al.Niepodległości</t>
  </si>
  <si>
    <t xml:space="preserve">WA2M/00170423/4</t>
  </si>
  <si>
    <t xml:space="preserve">76/78</t>
  </si>
  <si>
    <t xml:space="preserve">1p, k, ł, piwnica nr 40</t>
  </si>
  <si>
    <t xml:space="preserve">WA2M/00493790/7</t>
  </si>
  <si>
    <t xml:space="preserve">1p, ak, ł, pom gosp nr G/22 o pow 3,52 mkw, taras 20,97 mkw, mg nr 74</t>
  </si>
  <si>
    <t xml:space="preserve">WA2M/00522712/0</t>
  </si>
  <si>
    <t xml:space="preserve">WA2M/00465734/2</t>
  </si>
  <si>
    <t xml:space="preserve">1p,k, ł</t>
  </si>
  <si>
    <t xml:space="preserve">WA2M/00313506/5</t>
  </si>
  <si>
    <t xml:space="preserve">1, k, ł</t>
  </si>
  <si>
    <t xml:space="preserve">WA2M/00215476/8</t>
  </si>
  <si>
    <t xml:space="preserve">Pejzażowa</t>
  </si>
  <si>
    <t xml:space="preserve">p, ak, loggia-2,17</t>
  </si>
  <si>
    <t xml:space="preserve">WA2M/00445667/5</t>
  </si>
  <si>
    <t xml:space="preserve">2mpgp, basen</t>
  </si>
  <si>
    <t xml:space="preserve">4p, k</t>
  </si>
  <si>
    <t xml:space="preserve">mg nr 47 oraz 48</t>
  </si>
  <si>
    <t xml:space="preserve">4p, ak,2 ł,  </t>
  </si>
  <si>
    <t xml:space="preserve">WA2M/00446127/5</t>
  </si>
  <si>
    <t xml:space="preserve">WA2M/00191938/0</t>
  </si>
  <si>
    <t xml:space="preserve">p, k, przed, łaz</t>
  </si>
  <si>
    <t xml:space="preserve">WA2M/00398798/7</t>
  </si>
  <si>
    <t xml:space="preserve">2p, k, ł, piwnica nr 50</t>
  </si>
  <si>
    <t xml:space="preserve">WA2M/00442930/9</t>
  </si>
  <si>
    <t xml:space="preserve">1p, ak, ł, loggia</t>
  </si>
  <si>
    <t xml:space="preserve">WA2M/00435822/7</t>
  </si>
  <si>
    <t xml:space="preserve">33A</t>
  </si>
  <si>
    <t xml:space="preserve">WA2M/00236646/4</t>
  </si>
  <si>
    <t xml:space="preserve">p, k, balkon</t>
  </si>
  <si>
    <t xml:space="preserve"> Bryły  </t>
  </si>
  <si>
    <t xml:space="preserve">107/109</t>
  </si>
  <si>
    <t xml:space="preserve">Al. W. Sikorskiego</t>
  </si>
  <si>
    <t xml:space="preserve">58C</t>
  </si>
  <si>
    <t xml:space="preserve">1p, ak, ł, mp nr 317</t>
  </si>
  <si>
    <t xml:space="preserve">WA2M/00497360/2</t>
  </si>
  <si>
    <t xml:space="preserve">WA2M/00083920/1</t>
  </si>
  <si>
    <t xml:space="preserve">Lewicka</t>
  </si>
  <si>
    <t xml:space="preserve">1p z wnęką, k, ł</t>
  </si>
  <si>
    <t xml:space="preserve">WA2M/00409758/6</t>
  </si>
  <si>
    <t xml:space="preserve">ak,ł</t>
  </si>
  <si>
    <t xml:space="preserve">WA2M/00041500/5</t>
  </si>
  <si>
    <t xml:space="preserve">WA2M/00112339/4</t>
  </si>
  <si>
    <t xml:space="preserve">WA2M/00410716/0</t>
  </si>
  <si>
    <t xml:space="preserve">23A</t>
  </si>
  <si>
    <t xml:space="preserve">69A</t>
  </si>
  <si>
    <t xml:space="preserve">komórka lokatorska, mp</t>
  </si>
  <si>
    <t xml:space="preserve">3p, aneks, hol, łazienka,wc</t>
  </si>
  <si>
    <t xml:space="preserve">WA2M/00513729/6</t>
  </si>
  <si>
    <t xml:space="preserve">3p, ak, ł, wc, kom lok 5,29 nr 36</t>
  </si>
  <si>
    <t xml:space="preserve">2p,k,przedpokój,łazienka z wc</t>
  </si>
  <si>
    <t xml:space="preserve">WA2M/00475886/5</t>
  </si>
  <si>
    <t xml:space="preserve">1-03-17</t>
  </si>
  <si>
    <t xml:space="preserve">59B</t>
  </si>
  <si>
    <t xml:space="preserve">p,k,ł,przedpokój</t>
  </si>
  <si>
    <t xml:space="preserve">WA2M/00215365/7</t>
  </si>
  <si>
    <t xml:space="preserve">4p, ak, taras</t>
  </si>
  <si>
    <t xml:space="preserve">2p, k, ł, mg nr B21</t>
  </si>
  <si>
    <t xml:space="preserve">WA2M/00513967/6</t>
  </si>
  <si>
    <t xml:space="preserve">Wałbrzyska  </t>
  </si>
  <si>
    <t xml:space="preserve">2p, kuchnia</t>
  </si>
  <si>
    <t xml:space="preserve">WA2M/00521296/0</t>
  </si>
  <si>
    <t xml:space="preserve">2H</t>
  </si>
  <si>
    <t xml:space="preserve">mg nr 240</t>
  </si>
  <si>
    <t xml:space="preserve">1p, s, k, ł</t>
  </si>
  <si>
    <t xml:space="preserve">WA2M/00523832/4</t>
  </si>
  <si>
    <t xml:space="preserve">mg nr 132</t>
  </si>
  <si>
    <t xml:space="preserve">WA2M/00523834/8</t>
  </si>
  <si>
    <t xml:space="preserve">Giordana Bruna</t>
  </si>
  <si>
    <t xml:space="preserve">3p,gabinet,pom.gosp.,garderoba,kuchnia,dwie łazienki, hall</t>
  </si>
  <si>
    <t xml:space="preserve">WA2M/00471985/1</t>
  </si>
  <si>
    <t xml:space="preserve">kom-1,40</t>
  </si>
  <si>
    <t xml:space="preserve">2p,k, ł</t>
  </si>
  <si>
    <t xml:space="preserve">WA2M/00387316/2</t>
  </si>
  <si>
    <t xml:space="preserve">3p,k,ł,przedpokój</t>
  </si>
  <si>
    <t xml:space="preserve">WA2M/00127524/6</t>
  </si>
  <si>
    <t xml:space="preserve">mg nr29, piwnica nr27pu4,8mkw</t>
  </si>
  <si>
    <t xml:space="preserve">WA2M/00443990/4</t>
  </si>
  <si>
    <t xml:space="preserve">iwnica 4,80 mkw nr 27, mg nr 59</t>
  </si>
  <si>
    <t xml:space="preserve">3p, k, ł, wc, balkon 13,20 mkw</t>
  </si>
  <si>
    <t xml:space="preserve">3p,k,ł,2przedpokoi</t>
  </si>
  <si>
    <t xml:space="preserve">WA2M/00309841/4</t>
  </si>
  <si>
    <t xml:space="preserve">2p, k, ł, piwnica nr 18</t>
  </si>
  <si>
    <t xml:space="preserve">WA2M/00109104/4</t>
  </si>
  <si>
    <t xml:space="preserve">WA2M/00333319/3</t>
  </si>
  <si>
    <t xml:space="preserve">2p,k</t>
  </si>
  <si>
    <t xml:space="preserve">3p,k,ł,wc,hall</t>
  </si>
  <si>
    <t xml:space="preserve">WA2M/00490722/9</t>
  </si>
  <si>
    <t xml:space="preserve">1E</t>
  </si>
  <si>
    <t xml:space="preserve">mg nr 1</t>
  </si>
  <si>
    <t xml:space="preserve">4p, ak, 2 ł, wc, pom gosp 3,00 mkw nr 8</t>
  </si>
  <si>
    <t xml:space="preserve">mg nr 1, pom.gosp nr 4pu3mkw</t>
  </si>
  <si>
    <t xml:space="preserve">4p, ak, 2ł, wc</t>
  </si>
  <si>
    <t xml:space="preserve">WA2M/00517608/0</t>
  </si>
  <si>
    <t xml:space="preserve">27/29</t>
  </si>
  <si>
    <t xml:space="preserve">WA2M/00224899/5</t>
  </si>
  <si>
    <t xml:space="preserve">WA2M/00086496/0</t>
  </si>
  <si>
    <t xml:space="preserve">WA2M/00066814/0</t>
  </si>
  <si>
    <t xml:space="preserve">WA2M/00325385/7</t>
  </si>
  <si>
    <t xml:space="preserve">Al.Wilanowska</t>
  </si>
  <si>
    <t xml:space="preserve">2p, ak, 2 ł, mg nr 105</t>
  </si>
  <si>
    <t xml:space="preserve">WA2M/00451411/1</t>
  </si>
  <si>
    <t xml:space="preserve">komórka lokatorska pow. 1,3</t>
  </si>
  <si>
    <t xml:space="preserve">2p,k,łazienka z wc, przedpokój</t>
  </si>
  <si>
    <t xml:space="preserve">WA2M/00490138/8</t>
  </si>
  <si>
    <t xml:space="preserve">2p, k, ł, piwnica 8,50 mkw nr 28</t>
  </si>
  <si>
    <t xml:space="preserve">WA2M/00494668/0</t>
  </si>
  <si>
    <t xml:space="preserve">Balladyny  </t>
  </si>
  <si>
    <t xml:space="preserve">3a</t>
  </si>
  <si>
    <t xml:space="preserve">3p, k, ł, piwnica nr 61</t>
  </si>
  <si>
    <t xml:space="preserve">WA2M/00309664/9</t>
  </si>
  <si>
    <t xml:space="preserve">3p,ł z wc, k, przedpokój, mieszkanie po remoncie.</t>
  </si>
  <si>
    <t xml:space="preserve">2p, k, ł, kom lok 1,30 mkw</t>
  </si>
  <si>
    <t xml:space="preserve">WA2M/00334783/3</t>
  </si>
  <si>
    <t xml:space="preserve">1-02-37</t>
  </si>
  <si>
    <t xml:space="preserve">Potoki</t>
  </si>
  <si>
    <t xml:space="preserve">6B</t>
  </si>
  <si>
    <t xml:space="preserve">2p, ak, ł, wc, kom lok 3,00 mkw nr 3, mg nr 7</t>
  </si>
  <si>
    <t xml:space="preserve">WA2M/00512472/2</t>
  </si>
  <si>
    <t xml:space="preserve">pokój z kuchnią,2p,hall,łazienka z wc</t>
  </si>
  <si>
    <t xml:space="preserve">WA2M/00495322/0</t>
  </si>
  <si>
    <t xml:space="preserve">2p,salon z aneksem,pom.gosp,hall,łazienka,wc</t>
  </si>
  <si>
    <t xml:space="preserve">WA2M/00484727/9</t>
  </si>
  <si>
    <t xml:space="preserve">WA2M/00131049/3</t>
  </si>
  <si>
    <t xml:space="preserve">transakcja rodzinna</t>
  </si>
  <si>
    <t xml:space="preserve">2p, k, ł, wc, mg nr 36 o pow 17,56 mkw oraz nr 44 o pow 11,73 mkw</t>
  </si>
  <si>
    <t xml:space="preserve">WA2M/00388400/8</t>
  </si>
  <si>
    <t xml:space="preserve">WA2M/00280830/4</t>
  </si>
  <si>
    <t xml:space="preserve">Patkowskiego</t>
  </si>
  <si>
    <t xml:space="preserve">WA2M/00521682/3</t>
  </si>
  <si>
    <t xml:space="preserve">al.Sikorskiego</t>
  </si>
  <si>
    <t xml:space="preserve">4p, k, ł, wc, mg nr 24</t>
  </si>
  <si>
    <t xml:space="preserve">WA2M/00326827/5</t>
  </si>
  <si>
    <t xml:space="preserve">Bryły  </t>
  </si>
  <si>
    <t xml:space="preserve">Garażowa</t>
  </si>
  <si>
    <t xml:space="preserve">1p, ak, ł, mg nr 185, kom lok nr 44 pow 1,87 mkw, loggia 3,30 mkw</t>
  </si>
  <si>
    <t xml:space="preserve">WA2M/00516000/1</t>
  </si>
  <si>
    <t xml:space="preserve">lokal umeblowany</t>
  </si>
  <si>
    <t xml:space="preserve">3p, k, łazienka z wc</t>
  </si>
  <si>
    <t xml:space="preserve">WA2M/00064362/2</t>
  </si>
  <si>
    <t xml:space="preserve">2p, k, ł,</t>
  </si>
  <si>
    <t xml:space="preserve">WA2M/00307493/5</t>
  </si>
  <si>
    <t xml:space="preserve">3p,k,ł,przedpokój,hol,alkowa</t>
  </si>
  <si>
    <t xml:space="preserve">WA2M/00048422/3</t>
  </si>
  <si>
    <t xml:space="preserve">mg nr 8, boks rowerowy nr K 9</t>
  </si>
  <si>
    <t xml:space="preserve">4p, ak, gar, 2 ł,</t>
  </si>
  <si>
    <t xml:space="preserve">WA2M/00523583/3</t>
  </si>
  <si>
    <t xml:space="preserve">WA2M/00094111/7</t>
  </si>
  <si>
    <t xml:space="preserve">3p,k,ł,przedpokój + balkon</t>
  </si>
  <si>
    <t xml:space="preserve">WA2M/00449915/7</t>
  </si>
  <si>
    <t xml:space="preserve">pom.gosp. G/46 o pow. 3,52, mpgmp</t>
  </si>
  <si>
    <t xml:space="preserve">salon z aneksem,pokój, łazienka, hol + balkon o pow. 8,99m2</t>
  </si>
  <si>
    <t xml:space="preserve">WA2M/00522942/1</t>
  </si>
  <si>
    <t xml:space="preserve">WA2M/00523313/1</t>
  </si>
  <si>
    <t xml:space="preserve">WA2M/00231761/1</t>
  </si>
  <si>
    <t xml:space="preserve">WA2M/00050113/1</t>
  </si>
  <si>
    <t xml:space="preserve">WA2M/00081929/0</t>
  </si>
  <si>
    <t xml:space="preserve">Kierbedzia</t>
  </si>
  <si>
    <t xml:space="preserve">8A</t>
  </si>
  <si>
    <t xml:space="preserve">pokój z aneksem kuchennym, 2p,przedpokój, łazienka, wc</t>
  </si>
  <si>
    <t xml:space="preserve">WA2M/00519260/2</t>
  </si>
  <si>
    <t xml:space="preserve">komórka lokatorska o pow. 2m2</t>
  </si>
  <si>
    <t xml:space="preserve">3p, k, łazienka z wc, przedpokój</t>
  </si>
  <si>
    <t xml:space="preserve">WA2M/00469364/5</t>
  </si>
  <si>
    <t xml:space="preserve">mg  nr 49 i kom. lok. nr 8</t>
  </si>
  <si>
    <t xml:space="preserve">2p, ak, ł</t>
  </si>
  <si>
    <t xml:space="preserve">WA2M/00503496/0</t>
  </si>
  <si>
    <t xml:space="preserve">k, przed, łaz z wc, pokój</t>
  </si>
  <si>
    <t xml:space="preserve">WA2M/00147233/5</t>
  </si>
  <si>
    <t xml:space="preserve">Stanisława Żaryna</t>
  </si>
  <si>
    <t xml:space="preserve">WA2M/00430507/8</t>
  </si>
  <si>
    <t xml:space="preserve">WA2M/00430507/5</t>
  </si>
  <si>
    <t xml:space="preserve">36/46</t>
  </si>
  <si>
    <t xml:space="preserve">WA2M/00524392/4</t>
  </si>
  <si>
    <t xml:space="preserve">4p,k,ł,wc,przedpokój</t>
  </si>
  <si>
    <t xml:space="preserve">WA2M/00195340/9</t>
  </si>
  <si>
    <t xml:space="preserve">salon z aneksem,pokój, łazienka, hol</t>
  </si>
  <si>
    <t xml:space="preserve">WA2M/00523884/3</t>
  </si>
  <si>
    <t xml:space="preserve">J.S.Bacha</t>
  </si>
  <si>
    <t xml:space="preserve">komórka lokatorska</t>
  </si>
  <si>
    <t xml:space="preserve">2p, k,łazienka z wc, przedpokój</t>
  </si>
  <si>
    <t xml:space="preserve">WA2M/00464713/2</t>
  </si>
  <si>
    <t xml:space="preserve">piwnica nr 29</t>
  </si>
  <si>
    <t xml:space="preserve">3p, k, przed, ł</t>
  </si>
  <si>
    <t xml:space="preserve">WA2M/00065194/0</t>
  </si>
  <si>
    <t xml:space="preserve">4p, ł, balkon</t>
  </si>
  <si>
    <t xml:space="preserve">WA2M/00172825/6</t>
  </si>
  <si>
    <t xml:space="preserve">2p,k,przedpokój,garderoba,łazienka</t>
  </si>
  <si>
    <t xml:space="preserve">WA2M/00436963/4</t>
  </si>
  <si>
    <t xml:space="preserve">3p, k, ł, loggia, mg nr 12, kom lok nr 23</t>
  </si>
  <si>
    <t xml:space="preserve">WA2M/00439913/0</t>
  </si>
  <si>
    <t xml:space="preserve">2p, k, ł, piwnica 1,98</t>
  </si>
  <si>
    <t xml:space="preserve">WA2M/00497683/2</t>
  </si>
  <si>
    <t xml:space="preserve">Aleja Niepodległości</t>
  </si>
  <si>
    <t xml:space="preserve">piwnica pow. 1,98m2</t>
  </si>
  <si>
    <t xml:space="preserve">MPGP</t>
  </si>
  <si>
    <t xml:space="preserve">3p,k,łazienka,wc,hall</t>
  </si>
  <si>
    <t xml:space="preserve">WA2M/00491950/3</t>
  </si>
  <si>
    <t xml:space="preserve">WA2M/00152950/5</t>
  </si>
  <si>
    <t xml:space="preserve">74D</t>
  </si>
  <si>
    <t xml:space="preserve">3p,k,ł,przed</t>
  </si>
  <si>
    <t xml:space="preserve">WA2M/00207056/9</t>
  </si>
  <si>
    <t xml:space="preserve">WA2M/00072852/3</t>
  </si>
  <si>
    <t xml:space="preserve">2p,k,ł z wc,hall</t>
  </si>
  <si>
    <t xml:space="preserve">WA2M/00478052/1</t>
  </si>
  <si>
    <t xml:space="preserve">3p,k,ł,wc,przedpokój</t>
  </si>
  <si>
    <t xml:space="preserve">WA2M/00476968/1</t>
  </si>
  <si>
    <t xml:space="preserve">p,przedpokój,wc</t>
  </si>
  <si>
    <t xml:space="preserve">WA2M/00071476/6</t>
  </si>
  <si>
    <t xml:space="preserve">25A</t>
  </si>
  <si>
    <t xml:space="preserve">3P,K,Ł,wc</t>
  </si>
  <si>
    <t xml:space="preserve">WA2M/00044954/3</t>
  </si>
  <si>
    <t xml:space="preserve">WA2M/00297117/2</t>
  </si>
  <si>
    <t xml:space="preserve">pokój,kuchnia,przedpokój, łazienka z wc</t>
  </si>
  <si>
    <t xml:space="preserve">WA2M/00147733/0</t>
  </si>
  <si>
    <t xml:space="preserve">p,k,przedpokój, łazienka</t>
  </si>
  <si>
    <t xml:space="preserve">WA2M/00083935/9</t>
  </si>
  <si>
    <t xml:space="preserve">pomieszczenie pomocnicze nr 37 o pow. 1,92m2, mpgp</t>
  </si>
  <si>
    <t xml:space="preserve">3P,K,Ł,PRZEDPOKÓJ</t>
  </si>
  <si>
    <t xml:space="preserve">WA2M/00320568/9</t>
  </si>
  <si>
    <t xml:space="preserve">2p,k,ł,przedpokój</t>
  </si>
  <si>
    <t xml:space="preserve">WA2M/00313085/7</t>
  </si>
  <si>
    <t xml:space="preserve">piwnica nr 174 o powierzchni 4,27m2</t>
  </si>
  <si>
    <t xml:space="preserve">HALL, SALON,KUCHNIA,ŁAZIENKA,2POKOJE</t>
  </si>
  <si>
    <t xml:space="preserve">WA2M/00372256/8</t>
  </si>
  <si>
    <t xml:space="preserve">3p,aneks kuchenny,łazienka z wc,przedpokój</t>
  </si>
  <si>
    <t xml:space="preserve">WA2M/00449450/9</t>
  </si>
  <si>
    <t xml:space="preserve">Aleja Wyścigowa</t>
  </si>
  <si>
    <t xml:space="preserve">A125</t>
  </si>
  <si>
    <t xml:space="preserve">mpgp, kom.l</t>
  </si>
  <si>
    <t xml:space="preserve">4p,aneks kuchenny,łazienka,wc,przedpokój</t>
  </si>
  <si>
    <t xml:space="preserve">WA2M/00418539/1</t>
  </si>
  <si>
    <t xml:space="preserve">WA2M/00523946/6</t>
  </si>
  <si>
    <t xml:space="preserve">WA2M/00297006/1</t>
  </si>
  <si>
    <t xml:space="preserve">WA2M/00462396/9</t>
  </si>
  <si>
    <t xml:space="preserve">pokój, aneks kuchenny, przedpokój, łazienka z wc</t>
  </si>
  <si>
    <t xml:space="preserve">WA2M/00480422/3</t>
  </si>
  <si>
    <t xml:space="preserve">Kurpińskiego</t>
  </si>
  <si>
    <t xml:space="preserve">3p,kuchnia,łazienka,wc,przedpokój</t>
  </si>
  <si>
    <t xml:space="preserve">WA2M/00295467/6</t>
  </si>
  <si>
    <t xml:space="preserve">piwnica nr 16 o pow. 11,2</t>
  </si>
  <si>
    <t xml:space="preserve">3p,k,ł,wc, 2  przed</t>
  </si>
  <si>
    <t xml:space="preserve">WA2M/00506221/3</t>
  </si>
  <si>
    <t xml:space="preserve">kom.l o pow. 3,30m2, mpgp</t>
  </si>
  <si>
    <t xml:space="preserve">4p,k,2ł,garderoba,wc,hall</t>
  </si>
  <si>
    <t xml:space="preserve">WA2M/00461724/1</t>
  </si>
  <si>
    <t xml:space="preserve">WA2M/00078358/2</t>
  </si>
  <si>
    <t xml:space="preserve">3p,aneks kuchenny,gaderoba,łazienka z wc, schody,3 komunikacje</t>
  </si>
  <si>
    <t xml:space="preserve">WA2M/00483580/9</t>
  </si>
  <si>
    <t xml:space="preserve">4p,aneks kuchenny,2łazienki,wc,przedpokój</t>
  </si>
  <si>
    <t xml:space="preserve">WA2M/00438115/9</t>
  </si>
  <si>
    <t xml:space="preserve">pokój, kuchnia,łazienka, przedpokój</t>
  </si>
  <si>
    <t xml:space="preserve">WA2M/00065122/5</t>
  </si>
  <si>
    <t xml:space="preserve">komórka lokatorska o pow.1,8</t>
  </si>
  <si>
    <t xml:space="preserve">4p, k, łazienka,wc,przedpokój</t>
  </si>
  <si>
    <t xml:space="preserve">WA2M/00480889/4</t>
  </si>
  <si>
    <t xml:space="preserve">WA2M/00387814/6</t>
  </si>
  <si>
    <t xml:space="preserve">kuchnia,salon,hol,łazienka + BALKO</t>
  </si>
  <si>
    <t xml:space="preserve">WA2M/00523885/0</t>
  </si>
  <si>
    <t xml:space="preserve">przedpokój,4p,kuchnia,łazienka z wc</t>
  </si>
  <si>
    <t xml:space="preserve">WA2M/00487521/6</t>
  </si>
  <si>
    <t xml:space="preserve">Etiuda Rewolucyjna</t>
  </si>
  <si>
    <t xml:space="preserve">piwnia o pow. 0,79m2</t>
  </si>
  <si>
    <t xml:space="preserve">WA2M/00481744/3</t>
  </si>
  <si>
    <t xml:space="preserve">WA2M/00074724/1</t>
  </si>
  <si>
    <t xml:space="preserve">WA2M/00497342/0</t>
  </si>
  <si>
    <t xml:space="preserve">Plac A. Rembowskiego</t>
  </si>
  <si>
    <t xml:space="preserve">mpgp, pom.gosp.</t>
  </si>
  <si>
    <t xml:space="preserve">3p, przedpokój, kuchnia, łazienka z wc, korytarz</t>
  </si>
  <si>
    <t xml:space="preserve">WA2M/00437679/3</t>
  </si>
  <si>
    <t xml:space="preserve">WA2M/00188285/3</t>
  </si>
  <si>
    <t xml:space="preserve">WA2M/00470569/2</t>
  </si>
  <si>
    <t xml:space="preserve">143B</t>
  </si>
  <si>
    <t xml:space="preserve">WA2M/00492637/0</t>
  </si>
  <si>
    <t xml:space="preserve">364b</t>
  </si>
  <si>
    <t xml:space="preserve">w tym m.postojowe</t>
  </si>
  <si>
    <t xml:space="preserve">WA2M/00119792/6</t>
  </si>
  <si>
    <t xml:space="preserve">WA2M/00489323/2</t>
  </si>
  <si>
    <t xml:space="preserve">mpgp, udz. 336/5.901 samodzielny lokal niemieszkalny o pow. 80,98</t>
  </si>
  <si>
    <t xml:space="preserve">WA2M/00446291/5</t>
  </si>
  <si>
    <t xml:space="preserve">WA2M/00483102/5</t>
  </si>
  <si>
    <t xml:space="preserve">kom.l o pow. 2,86m2, 2xmpgp</t>
  </si>
  <si>
    <t xml:space="preserve">hol,wc,łazienka,salon z aneksem,2p</t>
  </si>
  <si>
    <t xml:space="preserve">WA2M/00513062/2</t>
  </si>
  <si>
    <t xml:space="preserve">B29</t>
  </si>
  <si>
    <t xml:space="preserve">pokój,aneks,łazienka z wc,przedpokók</t>
  </si>
  <si>
    <t xml:space="preserve">WA2M/00411368/2</t>
  </si>
  <si>
    <t xml:space="preserve">WA2M/00308134/8</t>
  </si>
  <si>
    <t xml:space="preserve">WA2M/00125503/9</t>
  </si>
  <si>
    <t xml:space="preserve">hol,salon z aneksem kuchennym,sypiania,łazienka+balkon o pow. 4,08m2</t>
  </si>
  <si>
    <t xml:space="preserve">WA2M/00522538/6</t>
  </si>
  <si>
    <t xml:space="preserve">piwnica ne 20</t>
  </si>
  <si>
    <t xml:space="preserve">WA2M/00220585/3</t>
  </si>
  <si>
    <t xml:space="preserve">WA2M/00188007/1</t>
  </si>
  <si>
    <t xml:space="preserve">WA2M/00190787/9</t>
  </si>
  <si>
    <t xml:space="preserve">pom.pomocnicze o pow. 4,8m2, MPGP</t>
  </si>
  <si>
    <t xml:space="preserve">pokój dzienny,kuchnia,2sypialnie,łazienka,wc,pralnia,przedpokój</t>
  </si>
  <si>
    <t xml:space="preserve">WA2M/00505662/9</t>
  </si>
  <si>
    <t xml:space="preserve">WA2M/00069964/7</t>
  </si>
  <si>
    <t xml:space="preserve">WA2M/00091723/9</t>
  </si>
  <si>
    <t xml:space="preserve">1-08-07</t>
  </si>
  <si>
    <t xml:space="preserve">9A</t>
  </si>
  <si>
    <t xml:space="preserve">komórka lokatorska pow. 3,78m2, mpgp</t>
  </si>
  <si>
    <t xml:space="preserve">pokój z aneksem, sypialnia, k,ł,hol</t>
  </si>
  <si>
    <t xml:space="preserve">WA2M/00517842/2</t>
  </si>
  <si>
    <t xml:space="preserve">WA2M/00078906/9</t>
  </si>
  <si>
    <t xml:space="preserve">WA2M/00079706/4</t>
  </si>
  <si>
    <t xml:space="preserve">3p,k,przedpokój,łazienka</t>
  </si>
  <si>
    <t xml:space="preserve">WA2M/00046220/3</t>
  </si>
  <si>
    <t xml:space="preserve">WA2M/00149452/0</t>
  </si>
  <si>
    <t xml:space="preserve">salon z aneksem, pokój,łazienka,przedpokój</t>
  </si>
  <si>
    <t xml:space="preserve">WA2M/00506272/5</t>
  </si>
  <si>
    <t xml:space="preserve">3p, salon, k, 2 ł, pralnia, wc, mg nr 143 pow 11,50 mkw, kom lok 123 pow 3,36 mkw, kom lok nr 79 o pow 2,91 mkw</t>
  </si>
  <si>
    <t xml:space="preserve">WA2M/00460260/3</t>
  </si>
  <si>
    <t xml:space="preserve">116a</t>
  </si>
  <si>
    <t xml:space="preserve">pokój z aneksem,4pokoje,2łazienki,garderoba,korytarz,toaleta,hol + balkon pow. 4,76m2</t>
  </si>
  <si>
    <t xml:space="preserve">WA2M/00516317/6</t>
  </si>
  <si>
    <t xml:space="preserve">Marsylska</t>
  </si>
  <si>
    <t xml:space="preserve">pokójj,kuchnia,przedpokój,łazienka z wc</t>
  </si>
  <si>
    <t xml:space="preserve">WA2M/00514847/6</t>
  </si>
  <si>
    <t xml:space="preserve">piwnia o pow. 1,73m2</t>
  </si>
  <si>
    <t xml:space="preserve">pokój, przedpokój z wnęką kuchenną,łazienka z wc</t>
  </si>
  <si>
    <t xml:space="preserve">WA2M/00411023/2</t>
  </si>
  <si>
    <t xml:space="preserve">Podbipięty</t>
  </si>
  <si>
    <t xml:space="preserve">Tenisowa</t>
  </si>
  <si>
    <t xml:space="preserve">piwnica o pow. 3,42m2</t>
  </si>
  <si>
    <t xml:space="preserve">3p,k,ł,wc,komunikacja</t>
  </si>
  <si>
    <t xml:space="preserve">WA2M/00509568/8</t>
  </si>
  <si>
    <t xml:space="preserve">Aleja Wilanowska</t>
  </si>
  <si>
    <t xml:space="preserve">mpgp, piwnia</t>
  </si>
  <si>
    <t xml:space="preserve">WA2M/00456974/0</t>
  </si>
  <si>
    <t xml:space="preserve">2p,aneks kuchenny,łazienka z wc,hall</t>
  </si>
  <si>
    <t xml:space="preserve">WA2M/00442315/2</t>
  </si>
  <si>
    <t xml:space="preserve">WA2M/00110506/2</t>
  </si>
  <si>
    <t xml:space="preserve">3p,k,ł z wc,przedpokój</t>
  </si>
  <si>
    <t xml:space="preserve">WA2M/00154342/4</t>
  </si>
  <si>
    <t xml:space="preserve">WA2M/00137479/8</t>
  </si>
  <si>
    <t xml:space="preserve">WA2M/00341752/9</t>
  </si>
  <si>
    <t xml:space="preserve">piwnica o pow. 2,6m2</t>
  </si>
  <si>
    <t xml:space="preserve">WA2M/00410309/4</t>
  </si>
  <si>
    <t xml:space="preserve">3p,k,ł,wc, przedpokój</t>
  </si>
  <si>
    <t xml:space="preserve">WA2M/00094468/4</t>
  </si>
  <si>
    <t xml:space="preserve">207A</t>
  </si>
  <si>
    <t xml:space="preserve">3p,aneks,przedpokój,korzytarz,łazienka z wc</t>
  </si>
  <si>
    <t xml:space="preserve">WA2M/00174827/4</t>
  </si>
  <si>
    <t xml:space="preserve">WA2M/00452111/9</t>
  </si>
  <si>
    <t xml:space="preserve">3p,k,ł,2 przedpokoje</t>
  </si>
  <si>
    <t xml:space="preserve">WA2M/00072981/6</t>
  </si>
  <si>
    <t xml:space="preserve">Sułkowicka</t>
  </si>
  <si>
    <t xml:space="preserve">WA2M/00457890/4</t>
  </si>
  <si>
    <t xml:space="preserve">WA2M/00055507/5</t>
  </si>
  <si>
    <t xml:space="preserve">1-04-09</t>
  </si>
  <si>
    <t xml:space="preserve">3p,k,ł z wc,wc,przedpokój</t>
  </si>
  <si>
    <t xml:space="preserve">WA2M/00460005/8</t>
  </si>
  <si>
    <t xml:space="preserve">pokój z aneksem,pokój,łazienka,przedpokój</t>
  </si>
  <si>
    <t xml:space="preserve">WA2M/00523618/2</t>
  </si>
  <si>
    <t xml:space="preserve">balkon pow. 9,89m1, mpgp 3D</t>
  </si>
  <si>
    <t xml:space="preserve">pokój z aneksem, łazienka,przedpokój</t>
  </si>
  <si>
    <t xml:space="preserve">WA2M/00524690/3</t>
  </si>
  <si>
    <t xml:space="preserve">3p,k,hall,łazienka,wc</t>
  </si>
  <si>
    <t xml:space="preserve">WA2M/00471297/1</t>
  </si>
  <si>
    <t xml:space="preserve">36A</t>
  </si>
  <si>
    <t xml:space="preserve">3p,k,ł, przedpokoju</t>
  </si>
  <si>
    <t xml:space="preserve">WA2M/00475199/2</t>
  </si>
  <si>
    <t xml:space="preserve">84a</t>
  </si>
  <si>
    <t xml:space="preserve">3p,k, ł,z wc, przedpokój</t>
  </si>
  <si>
    <t xml:space="preserve">WA2M/00483196/0</t>
  </si>
  <si>
    <t xml:space="preserve">WA2M/00104186/7</t>
  </si>
  <si>
    <t xml:space="preserve">WA2M/00333975/9</t>
  </si>
  <si>
    <t xml:space="preserve">WA2M/00206135/0</t>
  </si>
  <si>
    <t xml:space="preserve">WA2M/00118189/9</t>
  </si>
  <si>
    <t xml:space="preserve">11C</t>
  </si>
  <si>
    <t xml:space="preserve">3 pokoje, kuchnia,przedpokój,korytarz,schowej,łazienka</t>
  </si>
  <si>
    <t xml:space="preserve">WA2M/00464408/1</t>
  </si>
  <si>
    <t xml:space="preserve">salon z kuchnią,pokój,łazienka,hall</t>
  </si>
  <si>
    <t xml:space="preserve">WA2M/00508252/3</t>
  </si>
  <si>
    <t xml:space="preserve">PIWNICa nr 9</t>
  </si>
  <si>
    <t xml:space="preserve">WA2M/00105390/7</t>
  </si>
  <si>
    <t xml:space="preserve">WA2M/00058593/5</t>
  </si>
  <si>
    <t xml:space="preserve"> nieuregulowany grunt (dzierżawa)</t>
  </si>
  <si>
    <t xml:space="preserve">pokój z aneksem , łazienka z wc</t>
  </si>
  <si>
    <t xml:space="preserve">WA2M/00487316/6</t>
  </si>
  <si>
    <t xml:space="preserve">1F</t>
  </si>
  <si>
    <t xml:space="preserve">pom.gosp o pow. 3,86</t>
  </si>
  <si>
    <t xml:space="preserve">pokój z aneksem,łazienka,hol</t>
  </si>
  <si>
    <t xml:space="preserve">WA2M/00516148/0</t>
  </si>
  <si>
    <t xml:space="preserve">5-06-09</t>
  </si>
  <si>
    <t xml:space="preserve">Przemysłowa</t>
  </si>
  <si>
    <t xml:space="preserve">2p,k,ł,wc,przepdokój, hall</t>
  </si>
  <si>
    <t xml:space="preserve">WA2M/00508014/3</t>
  </si>
  <si>
    <t xml:space="preserve">pokój,wnęka kuchenna,przedpokój,łazienka</t>
  </si>
  <si>
    <t xml:space="preserve">WA2M/00078895/8</t>
  </si>
  <si>
    <t xml:space="preserve">91B</t>
  </si>
  <si>
    <t xml:space="preserve">WA2M/00165531/6</t>
  </si>
  <si>
    <t xml:space="preserve">2p,k,ł,hall</t>
  </si>
  <si>
    <t xml:space="preserve">WA2M/00467168/7</t>
  </si>
  <si>
    <t xml:space="preserve">1-02-04</t>
  </si>
  <si>
    <t xml:space="preserve">kom.l o pow. 3,41, 2XMPGP</t>
  </si>
  <si>
    <t xml:space="preserve">pokój dzienny,kuchnia,3pokoje,sypialnia,2łazienki,wc,korytarz,hall</t>
  </si>
  <si>
    <t xml:space="preserve">WA2M/00463415/6</t>
  </si>
  <si>
    <t xml:space="preserve">5/7.</t>
  </si>
  <si>
    <t xml:space="preserve">3p,k</t>
  </si>
  <si>
    <t xml:space="preserve">4p,salon,jadalnia,2ł,wc,hol+taras o pow. 32,02 + taras o pow. 1,69+ogródek 123,2</t>
  </si>
  <si>
    <t xml:space="preserve">WA2M/00506511/3</t>
  </si>
  <si>
    <t xml:space="preserve">WA2M/00225197/1</t>
  </si>
  <si>
    <t xml:space="preserve">piwnica ne 33 o pow. 2,84m2, mpgp</t>
  </si>
  <si>
    <t xml:space="preserve">2p,pokój z aneksem,łazienka z wc,garderoba,przedpokój</t>
  </si>
  <si>
    <t xml:space="preserve">WA2M/00491939/0</t>
  </si>
  <si>
    <t xml:space="preserve">garderoba i m.postojowe</t>
  </si>
  <si>
    <t xml:space="preserve">WA2M/00514801/2</t>
  </si>
  <si>
    <t xml:space="preserve">2p,k,ł,wc,przepdokój</t>
  </si>
  <si>
    <t xml:space="preserve">WA2M/00470035/0</t>
  </si>
  <si>
    <t xml:space="preserve">loggia o pow. 17,4</t>
  </si>
  <si>
    <t xml:space="preserve">2p,aneks,łazienka z wc,przedpokój,loggia</t>
  </si>
  <si>
    <t xml:space="preserve">WA2M/00435331/8</t>
  </si>
  <si>
    <t xml:space="preserve">WA2M/00052719/3</t>
  </si>
  <si>
    <t xml:space="preserve">WA2M/00500517/3</t>
  </si>
  <si>
    <t xml:space="preserve">2p,aneks,łazienka,hall</t>
  </si>
  <si>
    <t xml:space="preserve">WA2M/00473376/3</t>
  </si>
  <si>
    <t xml:space="preserve">WA2M/00236585/8</t>
  </si>
  <si>
    <t xml:space="preserve">WA2M/00374005/8</t>
  </si>
  <si>
    <t xml:space="preserve">piwnica o pow. 1,9m2</t>
  </si>
  <si>
    <t xml:space="preserve">WA2M/00373078/0</t>
  </si>
  <si>
    <t xml:space="preserve">WA2M/00449989/6</t>
  </si>
  <si>
    <t xml:space="preserve">kom.l o pow. 1,9m2</t>
  </si>
  <si>
    <t xml:space="preserve">2p,k,ł z wc, przedpokój</t>
  </si>
  <si>
    <t xml:space="preserve">WA2M/00483735/1</t>
  </si>
  <si>
    <t xml:space="preserve"> Bryły</t>
  </si>
  <si>
    <t xml:space="preserve">ogródek</t>
  </si>
  <si>
    <t xml:space="preserve">p,k</t>
  </si>
  <si>
    <t xml:space="preserve">WA2M/00148048/8</t>
  </si>
  <si>
    <t xml:space="preserve">kom.l o pow. 3,7m2</t>
  </si>
  <si>
    <t xml:space="preserve">2P,Ł,K,HALL</t>
  </si>
  <si>
    <t xml:space="preserve">WA2M/00438594/0</t>
  </si>
  <si>
    <t xml:space="preserve">132A</t>
  </si>
  <si>
    <t xml:space="preserve">p,k,ł,wc,przedpokój</t>
  </si>
  <si>
    <t xml:space="preserve">WA2M/00083219/4</t>
  </si>
  <si>
    <t xml:space="preserve">2mg</t>
  </si>
  <si>
    <t xml:space="preserve">3p,ak</t>
  </si>
  <si>
    <t xml:space="preserve">kom lokat nr 7 o pow 2,28 mkw</t>
  </si>
  <si>
    <t xml:space="preserve">WA2M/00493888/1</t>
  </si>
  <si>
    <t xml:space="preserve">Al..Niepodległości 133</t>
  </si>
  <si>
    <t xml:space="preserve">46/50E</t>
  </si>
  <si>
    <t xml:space="preserve">pokój,łazienka,przedpokój z wnęką kuchenną</t>
  </si>
  <si>
    <t xml:space="preserve">WA2M/00469904/3</t>
  </si>
  <si>
    <t xml:space="preserve">WA2M/00143010/8</t>
  </si>
  <si>
    <t xml:space="preserve">p,wc</t>
  </si>
  <si>
    <t xml:space="preserve">WA2M/00440549/7</t>
  </si>
  <si>
    <t xml:space="preserve">1-05-17</t>
  </si>
  <si>
    <t xml:space="preserve">5p,k</t>
  </si>
  <si>
    <t xml:space="preserve">WA2M/00473811/1</t>
  </si>
  <si>
    <t xml:space="preserve">piwnica pow. 1,58m2</t>
  </si>
  <si>
    <t xml:space="preserve">p,k,ł,holl</t>
  </si>
  <si>
    <t xml:space="preserve">WA2M/00464976/3</t>
  </si>
  <si>
    <t xml:space="preserve">p,aneks,przedpokój,łazienka z wc</t>
  </si>
  <si>
    <t xml:space="preserve">WA2M/00486732/1</t>
  </si>
  <si>
    <t xml:space="preserve">Sikorskiego</t>
  </si>
  <si>
    <t xml:space="preserve">45C</t>
  </si>
  <si>
    <t xml:space="preserve">2p,ak</t>
  </si>
  <si>
    <t xml:space="preserve">2 p, k</t>
  </si>
  <si>
    <t xml:space="preserve">WA2M/00463738/6</t>
  </si>
  <si>
    <t xml:space="preserve">hol,pokój z aneksem,sypialnia,łazienka</t>
  </si>
  <si>
    <t xml:space="preserve">WA2M/00512601/6</t>
  </si>
  <si>
    <t xml:space="preserve">piwnica o pow. 1,96m2</t>
  </si>
  <si>
    <t xml:space="preserve">3p,k,ł z wc,hol</t>
  </si>
  <si>
    <t xml:space="preserve">WA2M/00490474/5</t>
  </si>
  <si>
    <t xml:space="preserve">1-07-23</t>
  </si>
  <si>
    <t xml:space="preserve">Dworkowa</t>
  </si>
  <si>
    <t xml:space="preserve">WA2M/00332996/5</t>
  </si>
  <si>
    <t xml:space="preserve">Konstrunktorska</t>
  </si>
  <si>
    <t xml:space="preserve">3/5.</t>
  </si>
  <si>
    <t xml:space="preserve"> 4/10</t>
  </si>
  <si>
    <t xml:space="preserve">WA2M/00052208/8</t>
  </si>
  <si>
    <t xml:space="preserve">komórka</t>
  </si>
  <si>
    <t xml:space="preserve">Bonifacego</t>
  </si>
  <si>
    <t xml:space="preserve">2p,k,ł z wc,przedpokój</t>
  </si>
  <si>
    <t xml:space="preserve">WA2M/00500713/7</t>
  </si>
  <si>
    <t xml:space="preserve">WA2M/00519346/9</t>
  </si>
  <si>
    <t xml:space="preserve">14/16/18</t>
  </si>
  <si>
    <t xml:space="preserve">piwnica nr 72</t>
  </si>
  <si>
    <t xml:space="preserve">WA2M/00137392/4</t>
  </si>
  <si>
    <t xml:space="preserve">107E</t>
  </si>
  <si>
    <t xml:space="preserve">WA2M/00353940/1</t>
  </si>
  <si>
    <t xml:space="preserve">WA2M/00081371/3</t>
  </si>
  <si>
    <t xml:space="preserve">65B</t>
  </si>
  <si>
    <t xml:space="preserve">komórka lokatorska nr 36 o pow. 2,26</t>
  </si>
  <si>
    <t xml:space="preserve">p,hol,k,ł,antresola</t>
  </si>
  <si>
    <t xml:space="preserve">WA2M/00491925/9</t>
  </si>
  <si>
    <t xml:space="preserve">1p,k,ł, wc</t>
  </si>
  <si>
    <t xml:space="preserve">WA2M/00118751/0</t>
  </si>
  <si>
    <t xml:space="preserve">mgp nr 44</t>
  </si>
  <si>
    <t xml:space="preserve">WA2M/00466087/8</t>
  </si>
  <si>
    <t xml:space="preserve">WA2M/00280571/0</t>
  </si>
  <si>
    <t xml:space="preserve">59A</t>
  </si>
  <si>
    <t xml:space="preserve">2p,k, udział 3/4.</t>
  </si>
  <si>
    <t xml:space="preserve">piwnica nr 19</t>
  </si>
  <si>
    <t xml:space="preserve">WA2M/00078812/3</t>
  </si>
  <si>
    <t xml:space="preserve">2 piwnice P36 i P38, mpg nr 49</t>
  </si>
  <si>
    <t xml:space="preserve">WA2M/00478156/0</t>
  </si>
  <si>
    <t xml:space="preserve">46/48</t>
  </si>
  <si>
    <t xml:space="preserve">3mpgp, kl</t>
  </si>
  <si>
    <t xml:space="preserve">5p,pokój z antresoą,k, 3 łazienki,2 garderoby,pralnia,2hol</t>
  </si>
  <si>
    <t xml:space="preserve">WA2M/00495142/4</t>
  </si>
  <si>
    <t xml:space="preserve">Łyżwiarska</t>
  </si>
  <si>
    <t xml:space="preserve">3p,k,ł</t>
  </si>
  <si>
    <t xml:space="preserve">WA2M/00488448/7</t>
  </si>
  <si>
    <t xml:space="preserve">4p, k, ł, wc</t>
  </si>
  <si>
    <t xml:space="preserve">WA2M/00061922/5</t>
  </si>
  <si>
    <t xml:space="preserve">1-04-12</t>
  </si>
  <si>
    <t xml:space="preserve">Smyczkowa</t>
  </si>
  <si>
    <t xml:space="preserve">mpg 10 i 11</t>
  </si>
  <si>
    <t xml:space="preserve">WA2M/00387986/2</t>
  </si>
  <si>
    <t xml:space="preserve">mgp</t>
  </si>
  <si>
    <t xml:space="preserve">WA2M/00512507/7</t>
  </si>
  <si>
    <t xml:space="preserve">kom lok nr P07 8,35mkw, mgp nr 263 i 264</t>
  </si>
  <si>
    <t xml:space="preserve">4p, k, 2ł, wc, g, pral</t>
  </si>
  <si>
    <t xml:space="preserve">WA2M/00465169/0</t>
  </si>
  <si>
    <t xml:space="preserve">Godebskiego</t>
  </si>
  <si>
    <t xml:space="preserve">komórka nr 2</t>
  </si>
  <si>
    <t xml:space="preserve">pokój, kuchnia,łazienka,korytarz</t>
  </si>
  <si>
    <t xml:space="preserve">WA2M/00373041/5</t>
  </si>
  <si>
    <t xml:space="preserve">WA2M/00520233/4</t>
  </si>
  <si>
    <t xml:space="preserve">WA2M/00313017/0</t>
  </si>
  <si>
    <t xml:space="preserve">WA2M/00523956/9</t>
  </si>
  <si>
    <t xml:space="preserve">WA2M/00387840/7</t>
  </si>
  <si>
    <t xml:space="preserve">pokój z aneksem,sypialnia,łazienka,hall</t>
  </si>
  <si>
    <t xml:space="preserve">WA2M/00506763/4</t>
  </si>
  <si>
    <t xml:space="preserve">WA2M/00523236/6</t>
  </si>
  <si>
    <t xml:space="preserve">17/19</t>
  </si>
  <si>
    <t xml:space="preserve">WA2M/00466873/5</t>
  </si>
  <si>
    <t xml:space="preserve">WA2M/00479731/2</t>
  </si>
  <si>
    <t xml:space="preserve">piwnica nr 22 2,4mkw</t>
  </si>
  <si>
    <t xml:space="preserve">WA2M/00475753/4</t>
  </si>
  <si>
    <t xml:space="preserve">mg,komórka</t>
  </si>
  <si>
    <t xml:space="preserve">2p.+ak,</t>
  </si>
  <si>
    <t xml:space="preserve">109b</t>
  </si>
  <si>
    <t xml:space="preserve">bd.</t>
  </si>
  <si>
    <t xml:space="preserve">antresola, k, ł</t>
  </si>
  <si>
    <t xml:space="preserve">WA2M/00484329/9</t>
  </si>
  <si>
    <t xml:space="preserve">2p, k, ł, wc, pralni</t>
  </si>
  <si>
    <t xml:space="preserve">WA2M/00354649/8</t>
  </si>
  <si>
    <t xml:space="preserve">piwnica nr 26 o pow 9,90 mkw</t>
  </si>
  <si>
    <t xml:space="preserve">WA2M/00468551/6</t>
  </si>
  <si>
    <t xml:space="preserve">WA2M/00496866/2</t>
  </si>
  <si>
    <t xml:space="preserve">WA2M/00169337/4</t>
  </si>
  <si>
    <t xml:space="preserve">WA2M/00136779/4</t>
  </si>
  <si>
    <t xml:space="preserve">WA2M/00453982/8</t>
  </si>
  <si>
    <t xml:space="preserve">WA2M/00181364/2</t>
  </si>
  <si>
    <t xml:space="preserve">2 mgp</t>
  </si>
  <si>
    <t xml:space="preserve">WA2M/00313233/0</t>
  </si>
  <si>
    <t xml:space="preserve">WA2M/00489559/5</t>
  </si>
  <si>
    <t xml:space="preserve">WA2M/00523823/8</t>
  </si>
  <si>
    <t xml:space="preserve">WA2M/00517477/2</t>
  </si>
  <si>
    <t xml:space="preserve">Niedźwiedzia</t>
  </si>
  <si>
    <t xml:space="preserve">5p, k, 2ł, wc</t>
  </si>
  <si>
    <t xml:space="preserve">WA2M/00453322/4</t>
  </si>
  <si>
    <t xml:space="preserve">Pułku AK Baszta</t>
  </si>
  <si>
    <t xml:space="preserve">mgp nr 17</t>
  </si>
  <si>
    <t xml:space="preserve">2p, g, k, ł, wc</t>
  </si>
  <si>
    <t xml:space="preserve">WA2M/00353097/6</t>
  </si>
  <si>
    <t xml:space="preserve">Rejsu</t>
  </si>
  <si>
    <t xml:space="preserve">kom lokat nr 19, mpg nr 22</t>
  </si>
  <si>
    <t xml:space="preserve">2p, k, ł,  wc</t>
  </si>
  <si>
    <t xml:space="preserve">WA2M/00457457/7</t>
  </si>
  <si>
    <t xml:space="preserve">WA2M/00374649/4</t>
  </si>
  <si>
    <t xml:space="preserve">WA2M/00128156/2</t>
  </si>
  <si>
    <t xml:space="preserve">366a</t>
  </si>
  <si>
    <t xml:space="preserve">mgp nr 4</t>
  </si>
  <si>
    <t xml:space="preserve">2p, ak, ł,</t>
  </si>
  <si>
    <t xml:space="preserve">WA2M/00467866/0</t>
  </si>
  <si>
    <t xml:space="preserve">3p, ak, ł, wc</t>
  </si>
  <si>
    <t xml:space="preserve">WA2M/00433052/4</t>
  </si>
  <si>
    <t xml:space="preserve">WA2M/00565110/8</t>
  </si>
  <si>
    <t xml:space="preserve">kom lokat nr 77, mpg nr 70</t>
  </si>
  <si>
    <t xml:space="preserve">WA2M/00444741/1</t>
  </si>
  <si>
    <t xml:space="preserve">piwnica nr 54 2,7mkw łącznie</t>
  </si>
  <si>
    <t xml:space="preserve">WA2M/00462903/7</t>
  </si>
  <si>
    <t xml:space="preserve">mpg nr 160 i 161</t>
  </si>
  <si>
    <t xml:space="preserve">6p, k, 2ł, pom gosp</t>
  </si>
  <si>
    <t xml:space="preserve">WA2M/00296638/3</t>
  </si>
  <si>
    <t xml:space="preserve">mgp nr9</t>
  </si>
  <si>
    <t xml:space="preserve">2p, k, ł, taras</t>
  </si>
  <si>
    <t xml:space="preserve">WA2M/00457024/3</t>
  </si>
  <si>
    <t xml:space="preserve">2p, g, k, ł</t>
  </si>
  <si>
    <t xml:space="preserve">WA2M/00499610/4</t>
  </si>
  <si>
    <t xml:space="preserve">1/3/5'</t>
  </si>
  <si>
    <t xml:space="preserve">WA2M/00450813/2</t>
  </si>
  <si>
    <t xml:space="preserve">WA2M/00496975/9</t>
  </si>
  <si>
    <t xml:space="preserve">368a</t>
  </si>
  <si>
    <t xml:space="preserve">368A</t>
  </si>
  <si>
    <t xml:space="preserve">mgp, kom lok 2,22mkw łacznie</t>
  </si>
  <si>
    <t xml:space="preserve">WA2M/00484479/5</t>
  </si>
  <si>
    <t xml:space="preserve">kom lok nr 34 7,2mkw</t>
  </si>
  <si>
    <t xml:space="preserve">5p, ak, 2ł, wc</t>
  </si>
  <si>
    <t xml:space="preserve">WA2M/00341979/6</t>
  </si>
  <si>
    <t xml:space="preserve">WA2M/00507896/2</t>
  </si>
  <si>
    <t xml:space="preserve">WA2M/00474348/5</t>
  </si>
  <si>
    <t xml:space="preserve">mpg nr 34</t>
  </si>
  <si>
    <t xml:space="preserve">WA2M/00524244/2</t>
  </si>
  <si>
    <t xml:space="preserve">WA2M/00327007/8</t>
  </si>
  <si>
    <t xml:space="preserve">WA2M/00225881/3</t>
  </si>
  <si>
    <t xml:space="preserve">128A</t>
  </si>
  <si>
    <t xml:space="preserve">WA2M/00464115/0</t>
  </si>
  <si>
    <t xml:space="preserve">kom lokat nr 4, mpg nr 30</t>
  </si>
  <si>
    <t xml:space="preserve">WA2M/00523265/8</t>
  </si>
  <si>
    <t xml:space="preserve">WA2M/00446440/5</t>
  </si>
  <si>
    <t xml:space="preserve">WA2M/00353714/8</t>
  </si>
  <si>
    <t xml:space="preserve">piwnica nr 8</t>
  </si>
  <si>
    <t xml:space="preserve">WA2M/00138716/9</t>
  </si>
  <si>
    <t xml:space="preserve">1-05-32</t>
  </si>
  <si>
    <t xml:space="preserve">Kierbiedzia</t>
  </si>
  <si>
    <t xml:space="preserve">3p, ak, ł</t>
  </si>
  <si>
    <t xml:space="preserve">WA2M/00520458/7</t>
  </si>
  <si>
    <t xml:space="preserve">WA2M/00196558/7</t>
  </si>
  <si>
    <t xml:space="preserve">WA2M/00485533/9</t>
  </si>
  <si>
    <t xml:space="preserve">Niepodległości</t>
  </si>
  <si>
    <t xml:space="preserve">WA2M/00467073/4</t>
  </si>
  <si>
    <t xml:space="preserve">komórka lokatorska o pow 3, 54 mkw</t>
  </si>
  <si>
    <t xml:space="preserve">2p, k, 2ł</t>
  </si>
  <si>
    <t xml:space="preserve">WA2M/00501172/9</t>
  </si>
  <si>
    <t xml:space="preserve">piwnica nr 45</t>
  </si>
  <si>
    <t xml:space="preserve">WA2M/00480158/1</t>
  </si>
  <si>
    <t xml:space="preserve">WA2M/00121466/9</t>
  </si>
  <si>
    <t xml:space="preserve">4p, k, 2ł</t>
  </si>
  <si>
    <t xml:space="preserve">WA2M/00503802/9</t>
  </si>
  <si>
    <t xml:space="preserve">WA2M/00280149/3</t>
  </si>
  <si>
    <t xml:space="preserve">WA2M/00522187/0</t>
  </si>
  <si>
    <t xml:space="preserve">WA2M/00466766/2</t>
  </si>
  <si>
    <t xml:space="preserve">WA2M/00457020/5</t>
  </si>
  <si>
    <t xml:space="preserve">WA2M/00476277/0</t>
  </si>
  <si>
    <t xml:space="preserve">mpg nr 188</t>
  </si>
  <si>
    <t xml:space="preserve">WA2M/00482609/2</t>
  </si>
  <si>
    <t xml:space="preserve">WA2M/00098711/1</t>
  </si>
  <si>
    <t xml:space="preserve">WA2M/00411072/0</t>
  </si>
  <si>
    <t xml:space="preserve">WA2M/00523831/7</t>
  </si>
  <si>
    <t xml:space="preserve">piwnica P15 pow 2,56 mkw</t>
  </si>
  <si>
    <t xml:space="preserve">4p, k,ł, wc</t>
  </si>
  <si>
    <t xml:space="preserve">WA2M/00518350/3</t>
  </si>
  <si>
    <t xml:space="preserve">kom lokat nr 44, mpg nr 45</t>
  </si>
  <si>
    <t xml:space="preserve">WA2M/00440096/6</t>
  </si>
  <si>
    <t xml:space="preserve">2p, k ,ł</t>
  </si>
  <si>
    <t xml:space="preserve">piwnica nr 6 o pow 2,90 mkw, mpg nr 5</t>
  </si>
  <si>
    <t xml:space="preserve">4p, k, 2ł, wc</t>
  </si>
  <si>
    <t xml:space="preserve">WA2M/00442620/3</t>
  </si>
  <si>
    <t xml:space="preserve">WA2M/00457195/2</t>
  </si>
  <si>
    <t xml:space="preserve">mgp, kl 5,51mkw</t>
  </si>
  <si>
    <t xml:space="preserve">WA2M/00470606/4</t>
  </si>
  <si>
    <t xml:space="preserve">WA2M/00067535/7</t>
  </si>
  <si>
    <t xml:space="preserve">1p, wk, ł</t>
  </si>
  <si>
    <t xml:space="preserve">pierwotny</t>
  </si>
  <si>
    <t xml:space="preserve">16.05.2019</t>
  </si>
  <si>
    <t xml:space="preserve">WA2M/00523212/2</t>
  </si>
  <si>
    <t xml:space="preserve">1p, wk,ł</t>
  </si>
  <si>
    <t xml:space="preserve">WA2M/00309641/2</t>
  </si>
  <si>
    <t xml:space="preserve">Stefana Batorego</t>
  </si>
  <si>
    <t xml:space="preserve">piwnica nr 33 o pow 2,20 mkw</t>
  </si>
  <si>
    <t xml:space="preserve">WA2M/00474703/2</t>
  </si>
  <si>
    <t xml:space="preserve">piwnica nr 16 o pow 4,50 mkw</t>
  </si>
  <si>
    <t xml:space="preserve">3p,k,ł, wc</t>
  </si>
  <si>
    <t xml:space="preserve">WA2M/00200353/2</t>
  </si>
  <si>
    <t xml:space="preserve">kom. Lok. Pow. 1,5m2, MPGMP NR 35</t>
  </si>
  <si>
    <t xml:space="preserve">4p,k,2łazienk,wc,przedpokók</t>
  </si>
  <si>
    <t xml:space="preserve">WA2M/00447456/7</t>
  </si>
  <si>
    <t xml:space="preserve">mpgp nr 106</t>
  </si>
  <si>
    <t xml:space="preserve">salon z aneksem, hol,łazienka,sypialnia</t>
  </si>
  <si>
    <t xml:space="preserve">WA2M/00524248/0</t>
  </si>
  <si>
    <t xml:space="preserve">2p, ak, ł, wc</t>
  </si>
  <si>
    <t xml:space="preserve">WA2M/00496532/2</t>
  </si>
  <si>
    <t xml:space="preserve">3p, kł, wc</t>
  </si>
  <si>
    <t xml:space="preserve">WA2M/00055488/5</t>
  </si>
  <si>
    <t xml:space="preserve">mpg 236 i 270</t>
  </si>
  <si>
    <t xml:space="preserve">WA2M/00435837/5</t>
  </si>
  <si>
    <t xml:space="preserve">3p ,k ,ł</t>
  </si>
  <si>
    <t xml:space="preserve">WA2M/00321366/0</t>
  </si>
  <si>
    <t xml:space="preserve">mpg nr 319</t>
  </si>
  <si>
    <t xml:space="preserve">WA2M/00525524/6</t>
  </si>
  <si>
    <t xml:space="preserve">WA2M/00410449/7</t>
  </si>
  <si>
    <t xml:space="preserve">WA2M/00457486/9</t>
  </si>
  <si>
    <t xml:space="preserve">1p, ak, ł, wc</t>
  </si>
  <si>
    <t xml:space="preserve">WA2M/00429668/4</t>
  </si>
  <si>
    <t xml:space="preserve">piwnica nr 7 o pow 5,69 mkw</t>
  </si>
  <si>
    <t xml:space="preserve">WA2M/00431004/9</t>
  </si>
  <si>
    <t xml:space="preserve">WA2M/00467453/0</t>
  </si>
  <si>
    <t xml:space="preserve">piwnica nr 10 o pow. 2,1m2</t>
  </si>
  <si>
    <t xml:space="preserve">salon z aneksem, łazienka,hol</t>
  </si>
  <si>
    <t xml:space="preserve">WA2M/00524340/5</t>
  </si>
  <si>
    <t xml:space="preserve">pom. Gosp. O pow. 3033m2, mpgmp, loggia o pow. 4,63m2</t>
  </si>
  <si>
    <t xml:space="preserve">WA2M/00473758/5</t>
  </si>
  <si>
    <t xml:space="preserve">mpg nr 233</t>
  </si>
  <si>
    <t xml:space="preserve">WA2M/00524264/8</t>
  </si>
  <si>
    <t xml:space="preserve">WA2M/00487012/5</t>
  </si>
  <si>
    <t xml:space="preserve">WA2M/00048201/8</t>
  </si>
  <si>
    <t xml:space="preserve">1p,k,ł</t>
  </si>
  <si>
    <t xml:space="preserve">WA2M/00418513/3</t>
  </si>
  <si>
    <t xml:space="preserve">mpg nr 123, kom lokat nr 18 pow 4,10 mkw</t>
  </si>
  <si>
    <t xml:space="preserve">WA2M/00450824/2</t>
  </si>
  <si>
    <t xml:space="preserve">WA2M/00188456/3</t>
  </si>
  <si>
    <t xml:space="preserve">66D</t>
  </si>
  <si>
    <t xml:space="preserve">antresola pow. 31,13, mpgp nr 291, kom. Lok. 124</t>
  </si>
  <si>
    <t xml:space="preserve">pokój, aneks,łazienka</t>
  </si>
  <si>
    <t xml:space="preserve">WA2M/00497292/4</t>
  </si>
  <si>
    <t xml:space="preserve">WA2M/00489576/0</t>
  </si>
  <si>
    <t xml:space="preserve">piwnica 2,42 m2</t>
  </si>
  <si>
    <t xml:space="preserve">3 p, k,ł, wc</t>
  </si>
  <si>
    <t xml:space="preserve">WA2M/00478972/6</t>
  </si>
  <si>
    <t xml:space="preserve">1p,ak, ł</t>
  </si>
  <si>
    <t xml:space="preserve">WA2M/00467405/1</t>
  </si>
  <si>
    <t xml:space="preserve">2p, k,służbówka,hall, przepokój, łazienka</t>
  </si>
  <si>
    <t xml:space="preserve">WA2M/00049474/9</t>
  </si>
  <si>
    <t xml:space="preserve">1p, ł,</t>
  </si>
  <si>
    <t xml:space="preserve">WA2M/00429706/3</t>
  </si>
  <si>
    <t xml:space="preserve">mp - platforma dolna nr 23</t>
  </si>
  <si>
    <t xml:space="preserve">WA2M/00523771/8</t>
  </si>
  <si>
    <t xml:space="preserve">Bernardyńska Woda</t>
  </si>
  <si>
    <t xml:space="preserve">piwnica nr 15</t>
  </si>
  <si>
    <t xml:space="preserve">WA2M/00486090/8</t>
  </si>
  <si>
    <t xml:space="preserve">2p, k,ł</t>
  </si>
  <si>
    <t xml:space="preserve">WA2M/00398859/3</t>
  </si>
  <si>
    <t xml:space="preserve">piwnica nr 65</t>
  </si>
  <si>
    <t xml:space="preserve">WA2M/00469299/8</t>
  </si>
  <si>
    <t xml:space="preserve">kom. Lok. Nr 16 pow. 7,47m2</t>
  </si>
  <si>
    <t xml:space="preserve">pokój,pokój z aneksem, łazienka</t>
  </si>
  <si>
    <t xml:space="preserve">WA2M/00519116/8</t>
  </si>
  <si>
    <t xml:space="preserve">74C</t>
  </si>
  <si>
    <t xml:space="preserve">WA2M/00099875/5</t>
  </si>
  <si>
    <t xml:space="preserve">Rzymowskiego</t>
  </si>
  <si>
    <t xml:space="preserve">WA2M/00160366/3</t>
  </si>
  <si>
    <t xml:space="preserve">WA2M/00069075/8</t>
  </si>
  <si>
    <t xml:space="preserve">Tuchlińska</t>
  </si>
  <si>
    <t xml:space="preserve">piwnica 3,04</t>
  </si>
  <si>
    <t xml:space="preserve">WA2M/00398051/9</t>
  </si>
  <si>
    <t xml:space="preserve">WA2M/00070373/7</t>
  </si>
  <si>
    <t xml:space="preserve">żegiestowska</t>
  </si>
  <si>
    <t xml:space="preserve">2x mpgp, ogródek,dwa tarasy</t>
  </si>
  <si>
    <t xml:space="preserve">salon, hol, 2p,łazienka,wc</t>
  </si>
  <si>
    <t xml:space="preserve">WA2M/00524980/3</t>
  </si>
  <si>
    <t xml:space="preserve">piwnica nr 38 o pow. 2,8m2</t>
  </si>
  <si>
    <t xml:space="preserve">2p, k,ł,przepdokój</t>
  </si>
  <si>
    <t xml:space="preserve">WA2M/00478261/9</t>
  </si>
  <si>
    <t xml:space="preserve">piwnica nr 8 o pow 1,52 mkw</t>
  </si>
  <si>
    <t xml:space="preserve">3p, k ,ł</t>
  </si>
  <si>
    <t xml:space="preserve">WA2M/00218961/6</t>
  </si>
  <si>
    <t xml:space="preserve">2p,ł,k, przedpokój</t>
  </si>
  <si>
    <t xml:space="preserve">WA2M/00521318/1</t>
  </si>
  <si>
    <t xml:space="preserve">MPGP nr 201,202, mp dla jednośladu nr 56</t>
  </si>
  <si>
    <t xml:space="preserve">salon z aneksem, hol. Wc,łazienka, 2 pokoje</t>
  </si>
  <si>
    <t xml:space="preserve">WA2M/00496347/8</t>
  </si>
  <si>
    <t xml:space="preserve">MP, pom. Gosp.</t>
  </si>
  <si>
    <t xml:space="preserve">WA2M/00446532/7</t>
  </si>
  <si>
    <t xml:space="preserve">piwnica nr 120</t>
  </si>
  <si>
    <t xml:space="preserve">WA2M/00067996/6</t>
  </si>
  <si>
    <t xml:space="preserve">43a</t>
  </si>
  <si>
    <t xml:space="preserve">WA2M/00207146/7</t>
  </si>
  <si>
    <t xml:space="preserve">Steinhausa</t>
  </si>
  <si>
    <t xml:space="preserve">piwnica nr 27 o pow. 2,89m2</t>
  </si>
  <si>
    <t xml:space="preserve">2p,hall,kuchnia,łazienka</t>
  </si>
  <si>
    <t xml:space="preserve">WA2M/00470767/0</t>
  </si>
  <si>
    <t xml:space="preserve">mpgp nr 54 pow. 12,,06, mogo nr 55 pow. 11,93m2, pom. Gosp. Nr 30 pow. 3,03m2</t>
  </si>
  <si>
    <t xml:space="preserve">WA2M/00388922/3</t>
  </si>
  <si>
    <t xml:space="preserve">3 balkony, mpgp nr 10</t>
  </si>
  <si>
    <t xml:space="preserve">3p,salon, kuchnia,dwie łazienki,wc,dwa przedpokoje,hol. 3 balkony o pow. 16,5; 18,1; 2,4m2</t>
  </si>
  <si>
    <t xml:space="preserve">WA2M/00464084/3</t>
  </si>
  <si>
    <t xml:space="preserve">WA2M/00523476/0</t>
  </si>
  <si>
    <t xml:space="preserve">loggia o pow. 4,42m2</t>
  </si>
  <si>
    <t xml:space="preserve">2p,aneks,komunikacja, garderoba, dwie łazienki</t>
  </si>
  <si>
    <t xml:space="preserve">WA2M/00505124/6</t>
  </si>
  <si>
    <t xml:space="preserve">WA2M/00448230/4</t>
  </si>
  <si>
    <t xml:space="preserve">WA2M/00215033/1</t>
  </si>
  <si>
    <t xml:space="preserve">mpgp nr 52</t>
  </si>
  <si>
    <t xml:space="preserve">p,k,przedpokój,garderoba,loggia pow. 3,99</t>
  </si>
  <si>
    <t xml:space="preserve">WA2M/00429720/7</t>
  </si>
  <si>
    <t xml:space="preserve">schowek pow. 1,2m2, 2x mpgp nr 18,19, piwnica nr 63,64</t>
  </si>
  <si>
    <t xml:space="preserve">pokój dzienny, 3 sypialnie, gabinet, kuchni, 2 łazienki,wc,hall,koryatrz, garderoba</t>
  </si>
  <si>
    <t xml:space="preserve">WA2M/00456115/1</t>
  </si>
  <si>
    <t xml:space="preserve">WA2M/00112384/4</t>
  </si>
  <si>
    <t xml:space="preserve">WA2M/00099928/2</t>
  </si>
  <si>
    <t xml:space="preserve">piwnica nr 13</t>
  </si>
  <si>
    <t xml:space="preserve">4p,k,ł,przedpokój</t>
  </si>
  <si>
    <t xml:space="preserve">WA2M/00158558/9</t>
  </si>
  <si>
    <t xml:space="preserve">WA2M/00473182/6</t>
  </si>
  <si>
    <t xml:space="preserve">WA2M/00166658/9</t>
  </si>
  <si>
    <t xml:space="preserve">2019-08+V4768:V4786-12</t>
  </si>
  <si>
    <t xml:space="preserve">DOM</t>
  </si>
  <si>
    <t xml:space="preserve">2X  pom. Gosp, pow. 5,44 i 6,64m2, mpgp</t>
  </si>
  <si>
    <t xml:space="preserve">dwa pokoje, pokój z aneksem,dwa halle, łazienka, wc</t>
  </si>
  <si>
    <t xml:space="preserve">WA2M/00497196/1</t>
  </si>
  <si>
    <t xml:space="preserve">111a</t>
  </si>
  <si>
    <t xml:space="preserve">4 p, ak, ł, wc</t>
  </si>
  <si>
    <t xml:space="preserve">WA2M/00505192/3</t>
  </si>
  <si>
    <t xml:space="preserve">piwnica nr 21</t>
  </si>
  <si>
    <t xml:space="preserve">WA2M/00080039/7</t>
  </si>
  <si>
    <t xml:space="preserve">3p</t>
  </si>
  <si>
    <t xml:space="preserve">WA2M/00492507/0</t>
  </si>
  <si>
    <t xml:space="preserve">3p,k,ł, wc,przedpokój</t>
  </si>
  <si>
    <t xml:space="preserve">WA2M/00080790/9</t>
  </si>
  <si>
    <t xml:space="preserve">WA2M/00183741/3</t>
  </si>
  <si>
    <t xml:space="preserve">WA2M/00090309/4</t>
  </si>
  <si>
    <t xml:space="preserve">piwnica nr 21 o pow. 2,72m2</t>
  </si>
  <si>
    <t xml:space="preserve">2p, k,łazienka, wc, przedpokój, hol</t>
  </si>
  <si>
    <t xml:space="preserve">WA2M/00374414/8</t>
  </si>
  <si>
    <t xml:space="preserve">MPGP NR 22</t>
  </si>
  <si>
    <t xml:space="preserve">3p,aneks,przedpokój,łazienka</t>
  </si>
  <si>
    <t xml:space="preserve">WA2M/00453478/2</t>
  </si>
  <si>
    <t xml:space="preserve">WA2M/00354346/4</t>
  </si>
  <si>
    <t xml:space="preserve">dwie piwnice, pow. 10,7m2, 4,8m2</t>
  </si>
  <si>
    <t xml:space="preserve">WA2M/00033479/9</t>
  </si>
  <si>
    <t xml:space="preserve">26C</t>
  </si>
  <si>
    <t xml:space="preserve">2p,k,ł,przedpokój, loggia pow. 8,8m2</t>
  </si>
  <si>
    <t xml:space="preserve">WA2M/00444922/4</t>
  </si>
  <si>
    <t xml:space="preserve">2p. k,,ł</t>
  </si>
  <si>
    <t xml:space="preserve">WA2M/00456720/5</t>
  </si>
  <si>
    <t xml:space="preserve">3p,k,ł,wc,hall, loggia</t>
  </si>
  <si>
    <t xml:space="preserve">WA2M/00471588/8</t>
  </si>
  <si>
    <t xml:space="preserve">pom. Gosp.</t>
  </si>
  <si>
    <t xml:space="preserve">salon, kuchnia, jadalnia,sypialnia,pokój, dwie garderoby,poemieszczenie gospodarcze K46</t>
  </si>
  <si>
    <t xml:space="preserve">WA2M/00456859/8</t>
  </si>
  <si>
    <t xml:space="preserve">WA2M/00065436/9</t>
  </si>
  <si>
    <t xml:space="preserve">MPGP nr 439, pomieszczenie pomocnicze o pow. 4,06m2</t>
  </si>
  <si>
    <t xml:space="preserve">3,k,ł,hall</t>
  </si>
  <si>
    <t xml:space="preserve">WA2M/00485733/1</t>
  </si>
  <si>
    <t xml:space="preserve">piwnica pow. 2,26m2</t>
  </si>
  <si>
    <t xml:space="preserve">3p,ł,k,przedpokój</t>
  </si>
  <si>
    <t xml:space="preserve">WA2M/00519248/2</t>
  </si>
  <si>
    <t xml:space="preserve">kl nr 6 pow. 2,66m2</t>
  </si>
  <si>
    <t xml:space="preserve">WA2M/00447815/2</t>
  </si>
  <si>
    <t xml:space="preserve">pok,k,ł z wc,przedpokój</t>
  </si>
  <si>
    <t xml:space="preserve">WA2M/00141589/3</t>
  </si>
  <si>
    <t xml:space="preserve">WA2M/00388921/6</t>
  </si>
  <si>
    <t xml:space="preserve">WA2M/00236120/1</t>
  </si>
  <si>
    <t xml:space="preserve">WA2M/00459945/9</t>
  </si>
  <si>
    <t xml:space="preserve">3p,k,ł,wc,hall, balkon</t>
  </si>
  <si>
    <t xml:space="preserve">WA2M/00473036/8</t>
  </si>
  <si>
    <t xml:space="preserve">WA2M/00191253/4</t>
  </si>
  <si>
    <t xml:space="preserve">mpgp nr 76</t>
  </si>
  <si>
    <t xml:space="preserve">2p,k,ł,wc,przedpokój, balkon o pow. 7.71m2</t>
  </si>
  <si>
    <t xml:space="preserve">WA2M/00454727/0</t>
  </si>
  <si>
    <t xml:space="preserve">mp nr 52, kom. Lok. Nr 34, balkon o pow. 11,73m3</t>
  </si>
  <si>
    <t xml:space="preserve">salon, pokój, kuchnia,łazienka, hol</t>
  </si>
  <si>
    <t xml:space="preserve">WA2M/00505126/0</t>
  </si>
  <si>
    <t xml:space="preserve">mpgmp nr 100, mpgmp dla jednośladu nr 40, loggia o pow. 5,34, loggia o pow. 1,10</t>
  </si>
  <si>
    <t xml:space="preserve">salon z aneksem, 3 p, hol, łazienka, wc</t>
  </si>
  <si>
    <t xml:space="preserve">WA2M/00496286/2</t>
  </si>
  <si>
    <t xml:space="preserve">piwnica nr 20</t>
  </si>
  <si>
    <t xml:space="preserve">WA2M/00187688/1</t>
  </si>
  <si>
    <t xml:space="preserve">piwnica o pow. 1m2</t>
  </si>
  <si>
    <t xml:space="preserve">WA2M/00525948/4</t>
  </si>
  <si>
    <t xml:space="preserve">WA2M/00493901/9</t>
  </si>
  <si>
    <t xml:space="preserve">mp nr 31 o pow. 13,06m2</t>
  </si>
  <si>
    <t xml:space="preserve">WA2M/00333310/0</t>
  </si>
  <si>
    <t xml:space="preserve">WA2M/00467657/2</t>
  </si>
  <si>
    <t xml:space="preserve">WA2M/00495724/8</t>
  </si>
  <si>
    <t xml:space="preserve">3p,przepokój,sł€żbówka,hall,łazienka,wc</t>
  </si>
  <si>
    <t xml:space="preserve">WA2M/00072031/2</t>
  </si>
  <si>
    <t xml:space="preserve">WA2M/00465399/1</t>
  </si>
  <si>
    <t xml:space="preserve">mpgmp nr 27</t>
  </si>
  <si>
    <t xml:space="preserve">3p, k, wc, łazienka, hall</t>
  </si>
  <si>
    <t xml:space="preserve">WA2M/00468246/5</t>
  </si>
  <si>
    <t xml:space="preserve">piwnica pow. 3,16m2</t>
  </si>
  <si>
    <t xml:space="preserve">WA2M/00451492/2</t>
  </si>
  <si>
    <t xml:space="preserve">mpgp nr 135</t>
  </si>
  <si>
    <t xml:space="preserve">hall,2 łazienki,2pokoje,wnęka garderobiana,kuchnia</t>
  </si>
  <si>
    <t xml:space="preserve">WA2M/00489433/6</t>
  </si>
  <si>
    <t xml:space="preserve">mpgp nr 46</t>
  </si>
  <si>
    <t xml:space="preserve">WA2M/00418904/1</t>
  </si>
  <si>
    <t xml:space="preserve">WA2M/00171821/1</t>
  </si>
  <si>
    <t xml:space="preserve">piwnica nr 25</t>
  </si>
  <si>
    <t xml:space="preserve">WA2M/00508009/5</t>
  </si>
  <si>
    <t xml:space="preserve">2p, k, ł,przedpokój</t>
  </si>
  <si>
    <t xml:space="preserve">WA2M/00065719/7</t>
  </si>
  <si>
    <t xml:space="preserve">ak not</t>
  </si>
  <si>
    <t xml:space="preserve">WA2M/00086910/9</t>
  </si>
  <si>
    <t xml:space="preserve">WA2M/00071608/1</t>
  </si>
  <si>
    <t xml:space="preserve">piwnia nr 13 pow. 4,14m2, mp</t>
  </si>
  <si>
    <t xml:space="preserve">WA2M/00466340/0</t>
  </si>
  <si>
    <t xml:space="preserve">mpgp nr 1/p2</t>
  </si>
  <si>
    <t xml:space="preserve">2p, k,ł,garderoba, przedpokój</t>
  </si>
  <si>
    <t xml:space="preserve">WA2M/00440893/3</t>
  </si>
  <si>
    <t xml:space="preserve">WA2M/00441627/5</t>
  </si>
  <si>
    <t xml:space="preserve">WA2M/00334606/9</t>
  </si>
  <si>
    <t xml:space="preserve">mpgp nr g5</t>
  </si>
  <si>
    <t xml:space="preserve">2p,aneks, łazienka, hall, balkon pow. 3,86m2</t>
  </si>
  <si>
    <t xml:space="preserve">WA2M/00450627/1</t>
  </si>
  <si>
    <t xml:space="preserve">kom. Lok. O pow. 3,1m2</t>
  </si>
  <si>
    <t xml:space="preserve">2p,k,ł z toaletą, przedpokój</t>
  </si>
  <si>
    <t xml:space="preserve">WA2M/00466568/4</t>
  </si>
  <si>
    <t xml:space="preserve">1-05-15</t>
  </si>
  <si>
    <t xml:space="preserve">Neseberska</t>
  </si>
  <si>
    <t xml:space="preserve">WA2M/00480561/9</t>
  </si>
  <si>
    <t xml:space="preserve">WA2M/00313055/8</t>
  </si>
  <si>
    <t xml:space="preserve">WA2M/00046615/9</t>
  </si>
  <si>
    <t xml:space="preserve">piwnica nr 64 pow. 1,78</t>
  </si>
  <si>
    <t xml:space="preserve">WA2M/00512525/9</t>
  </si>
  <si>
    <t xml:space="preserve">34A</t>
  </si>
  <si>
    <t xml:space="preserve">pokój z aneksem,łazienka, garderoba,hall, BALKON O POW. 4,24m2</t>
  </si>
  <si>
    <t xml:space="preserve">WA2M/00491944/8</t>
  </si>
  <si>
    <t xml:space="preserve">97A</t>
  </si>
  <si>
    <t xml:space="preserve">piwnica nr 41</t>
  </si>
  <si>
    <t xml:space="preserve">WA2M/00123744/6</t>
  </si>
  <si>
    <t xml:space="preserve">WA2M/00172196/7</t>
  </si>
  <si>
    <t xml:space="preserve">kom. Lok. O pow. 4,55, mpgp nr 179, loggia o pow. 6,9m2</t>
  </si>
  <si>
    <t xml:space="preserve">WA2M/00512913/6</t>
  </si>
  <si>
    <t xml:space="preserve">Goszczyńskiego</t>
  </si>
  <si>
    <t xml:space="preserve">36/40</t>
  </si>
  <si>
    <t xml:space="preserve">WA2M/00066129/1</t>
  </si>
  <si>
    <t xml:space="preserve">komunikacja, kuchnia, pokój, sypialnia,łazienka, taras pow. 17,8m2, ogródek 21,73m2</t>
  </si>
  <si>
    <t xml:space="preserve">WA2M/00491518/3</t>
  </si>
  <si>
    <t xml:space="preserve">13/13A</t>
  </si>
  <si>
    <t xml:space="preserve">3p,k,ł,przedpokój, wc</t>
  </si>
  <si>
    <t xml:space="preserve">WA2M/00190851/9</t>
  </si>
  <si>
    <t xml:space="preserve">mpgp nr 118</t>
  </si>
  <si>
    <t xml:space="preserve">pokój, pokój z kuchnią,łazienka, hall</t>
  </si>
  <si>
    <t xml:space="preserve">WA2M/00470126/5</t>
  </si>
  <si>
    <t xml:space="preserve">WA2M/00508834/7</t>
  </si>
  <si>
    <t xml:space="preserve">piwnica nr g.14 pow. 2,31m2</t>
  </si>
  <si>
    <t xml:space="preserve">hall,salon z kuchnią, sypialnia, łazienka</t>
  </si>
  <si>
    <t xml:space="preserve">WA2M/00500911/5</t>
  </si>
  <si>
    <t xml:space="preserve">1/2019</t>
  </si>
  <si>
    <t xml:space="preserve">Batalionu AK „Karpaty”</t>
  </si>
  <si>
    <t xml:space="preserve">20-09-2019</t>
  </si>
  <si>
    <t xml:space="preserve">23/2019</t>
  </si>
  <si>
    <t xml:space="preserve">78</t>
  </si>
  <si>
    <t xml:space="preserve">13/2019</t>
  </si>
  <si>
    <t xml:space="preserve">L. Narbutta</t>
  </si>
  <si>
    <t xml:space="preserve">2p,k,ł,przedpokój,wc</t>
  </si>
  <si>
    <t xml:space="preserve">WA2M/00279589/9</t>
  </si>
  <si>
    <t xml:space="preserve">Bernadyńska</t>
  </si>
  <si>
    <t xml:space="preserve">WA2M/00462250/4</t>
  </si>
  <si>
    <t xml:space="preserve">30/2019</t>
  </si>
  <si>
    <t xml:space="preserve">mpgp nr 11</t>
  </si>
  <si>
    <t xml:space="preserve">3p,aneks,łazienka,hall,garderoba,wc</t>
  </si>
  <si>
    <t xml:space="preserve">WA2M/00466673/3</t>
  </si>
  <si>
    <t xml:space="preserve">WA2M/00158035/7</t>
  </si>
  <si>
    <t xml:space="preserve">46/2019</t>
  </si>
  <si>
    <t xml:space="preserve">pom.gosp.</t>
  </si>
  <si>
    <t xml:space="preserve">mpgp A6, A7, A8</t>
  </si>
  <si>
    <t xml:space="preserve">3p,salonmkuchnia,łazienka,wc,garderoba, komunikacja, hall</t>
  </si>
  <si>
    <t xml:space="preserve">WA2M/00478219/0</t>
  </si>
  <si>
    <t xml:space="preserve">mpgp nr 70</t>
  </si>
  <si>
    <t xml:space="preserve">WA2M/00462310/3</t>
  </si>
  <si>
    <t xml:space="preserve">31/2019</t>
  </si>
  <si>
    <t xml:space="preserve">J. K. Chodkiewicza</t>
  </si>
  <si>
    <t xml:space="preserve">76/2019</t>
  </si>
  <si>
    <t xml:space="preserve">W. Żywnego</t>
  </si>
  <si>
    <t xml:space="preserve">pokój,pokój z aneksem, przedpokój, garderoba,łazienka, balkon pow. 6,5m2</t>
  </si>
  <si>
    <t xml:space="preserve">WA2M/00499799/2</t>
  </si>
  <si>
    <t xml:space="preserve">1-06-04</t>
  </si>
  <si>
    <t xml:space="preserve">WA2M/00082463/2</t>
  </si>
  <si>
    <t xml:space="preserve">392/2019</t>
  </si>
  <si>
    <t xml:space="preserve">53/2019</t>
  </si>
  <si>
    <t xml:space="preserve">piwnica ne 88 pow. 2,59m2</t>
  </si>
  <si>
    <t xml:space="preserve">WA2M/00474731/7</t>
  </si>
  <si>
    <t xml:space="preserve">149/2019</t>
  </si>
  <si>
    <t xml:space="preserve">24C</t>
  </si>
  <si>
    <t xml:space="preserve">WA2M/00436414/1</t>
  </si>
  <si>
    <t xml:space="preserve">1 04 19</t>
  </si>
  <si>
    <t xml:space="preserve">kom. Lok. Nr 3 pow. 2,13m2</t>
  </si>
  <si>
    <t xml:space="preserve">WA2M/00519102/7</t>
  </si>
  <si>
    <t xml:space="preserve">140/2019</t>
  </si>
  <si>
    <t xml:space="preserve"> Grottgera</t>
  </si>
  <si>
    <t xml:space="preserve">Ananasowa</t>
  </si>
  <si>
    <t xml:space="preserve">mpgp nr 26</t>
  </si>
  <si>
    <t xml:space="preserve">p,k,ł,przedpokój, balko pow. 5,06m2</t>
  </si>
  <si>
    <t xml:space="preserve">WA2M/00525033/7</t>
  </si>
  <si>
    <t xml:space="preserve">854/2019</t>
  </si>
  <si>
    <t xml:space="preserve">J. Pohoskiego</t>
  </si>
  <si>
    <t xml:space="preserve">223/2019</t>
  </si>
  <si>
    <t xml:space="preserve">120/124</t>
  </si>
  <si>
    <t xml:space="preserve">piwnica nr 40</t>
  </si>
  <si>
    <t xml:space="preserve">WA2M/00177682/6</t>
  </si>
  <si>
    <t xml:space="preserve">mpgp nr 66,67</t>
  </si>
  <si>
    <t xml:space="preserve">5p,k,ł,przedpokój</t>
  </si>
  <si>
    <t xml:space="preserve">WA2M/00387306/2</t>
  </si>
  <si>
    <t xml:space="preserve">108D</t>
  </si>
  <si>
    <t xml:space="preserve">WA2M/00075288/9</t>
  </si>
  <si>
    <t xml:space="preserve">Al.. Wilanowska</t>
  </si>
  <si>
    <t xml:space="preserve">kom. Lok. Pow.3,75m2, 2mpgmp nr 79,80</t>
  </si>
  <si>
    <t xml:space="preserve">pokój z aneksem, 2 pokoje, łaziennka, przedpokój, toaleta</t>
  </si>
  <si>
    <t xml:space="preserve">WA2M/00523997/8</t>
  </si>
  <si>
    <t xml:space="preserve">MPGMP</t>
  </si>
  <si>
    <t xml:space="preserve">salon, sypialnia,kuchnia,łazienka,hol</t>
  </si>
  <si>
    <t xml:space="preserve">WA2M/00524493/2</t>
  </si>
  <si>
    <t xml:space="preserve">8092/2019</t>
  </si>
  <si>
    <t xml:space="preserve">WA2M/00058995/3</t>
  </si>
  <si>
    <t xml:space="preserve">WA2M/00117104/3</t>
  </si>
  <si>
    <t xml:space="preserve">WA2M/00096909/2</t>
  </si>
  <si>
    <t xml:space="preserve">232/2019</t>
  </si>
  <si>
    <t xml:space="preserve">M. Bałuckiego</t>
  </si>
  <si>
    <t xml:space="preserve">WA2M/00170747/1</t>
  </si>
  <si>
    <t xml:space="preserve">pokój z aneksem, pokój, łazienka, przedpokój</t>
  </si>
  <si>
    <t xml:space="preserve">BRAK KW</t>
  </si>
  <si>
    <t xml:space="preserve">3p,k,ł,przedpokój, alkowa, hol</t>
  </si>
  <si>
    <t xml:space="preserve">WA2M/00123602/9</t>
  </si>
  <si>
    <t xml:space="preserve">1-02-33</t>
  </si>
  <si>
    <t xml:space="preserve">Ukryty Raj</t>
  </si>
  <si>
    <t xml:space="preserve">kom. Lok. Nr A13 pow. 5,16m2</t>
  </si>
  <si>
    <t xml:space="preserve">salon, aneks,2p,łazienka, toaleta, komunikacja</t>
  </si>
  <si>
    <t xml:space="preserve">WA2M/00524408/0</t>
  </si>
  <si>
    <t xml:space="preserve">336/2019</t>
  </si>
  <si>
    <t xml:space="preserve">2 mg, komórka</t>
  </si>
  <si>
    <t xml:space="preserve">220/2019</t>
  </si>
  <si>
    <t xml:space="preserve">Z. Modzelewskiego</t>
  </si>
  <si>
    <t xml:space="preserve">1d</t>
  </si>
  <si>
    <t xml:space="preserve">WA2M/00182561/0</t>
  </si>
  <si>
    <t xml:space="preserve">WA2M/00438444/4</t>
  </si>
  <si>
    <t xml:space="preserve">939/2019</t>
  </si>
  <si>
    <t xml:space="preserve">245/2019</t>
  </si>
  <si>
    <t xml:space="preserve">347</t>
  </si>
  <si>
    <t xml:space="preserve">hol z wnęką kuchenną, salom, łazienka, ogór zimowy</t>
  </si>
  <si>
    <t xml:space="preserve">WA2M/00514361/5</t>
  </si>
  <si>
    <t xml:space="preserve">Puławsk</t>
  </si>
  <si>
    <t xml:space="preserve">WA2M/00465667/1</t>
  </si>
  <si>
    <t xml:space="preserve">WA2M/00124797/9</t>
  </si>
  <si>
    <t xml:space="preserve">ogród zimowy</t>
  </si>
  <si>
    <t xml:space="preserve">2p,aneks, przedpokój,łazienka,pralnia,garderoba,przedpokók</t>
  </si>
  <si>
    <t xml:space="preserve">WA2M/00446053/5</t>
  </si>
  <si>
    <t xml:space="preserve">piwnica nr 10</t>
  </si>
  <si>
    <t xml:space="preserve">WA2M/00469681/3</t>
  </si>
  <si>
    <t xml:space="preserve">866/2019</t>
  </si>
  <si>
    <t xml:space="preserve">WA2M/00485010/7</t>
  </si>
  <si>
    <t xml:space="preserve">291/2019</t>
  </si>
  <si>
    <t xml:space="preserve">R. Tagore</t>
  </si>
  <si>
    <t xml:space="preserve">3p,k,ł,wc,przedpokój, pom. Pomocnicze, ogród zimowy</t>
  </si>
  <si>
    <t xml:space="preserve">WA2M/00295201/4</t>
  </si>
  <si>
    <t xml:space="preserve">WA2M/00118182/0</t>
  </si>
  <si>
    <t xml:space="preserve">1-08-08</t>
  </si>
  <si>
    <t xml:space="preserve">kom. Lok. Nr 91 pow. 4,11m2, mpgp nr 118</t>
  </si>
  <si>
    <t xml:space="preserve">3pokoje, kuchnia, przedpokój, łązienka, balkon pow. 6,29m2</t>
  </si>
  <si>
    <t xml:space="preserve">WA2M/00523697/5</t>
  </si>
  <si>
    <t xml:space="preserve">1p,ak, ł,wc</t>
  </si>
  <si>
    <t xml:space="preserve">WA2M/00488401/6</t>
  </si>
  <si>
    <t xml:space="preserve">AK "Północ"</t>
  </si>
  <si>
    <t xml:space="preserve">mpgp jako spółdzielcze własnościowe prawo mp nr 38</t>
  </si>
  <si>
    <t xml:space="preserve">3p,aneks,łazienka,wc,hol</t>
  </si>
  <si>
    <t xml:space="preserve">WA2M/00474498/1</t>
  </si>
  <si>
    <t xml:space="preserve">kom. Lok. Nr 75</t>
  </si>
  <si>
    <t xml:space="preserve">pokój, pokój z aneksem, przedpokój, łazienka</t>
  </si>
  <si>
    <t xml:space="preserve">WA2M/00499720/8</t>
  </si>
  <si>
    <t xml:space="preserve">2p,k,ł, przedpokój</t>
  </si>
  <si>
    <t xml:space="preserve">WA2M/00441391/1</t>
  </si>
  <si>
    <t xml:space="preserve">salon z aneksem, sypialnia, łązienka, hol, balkon pow. 4,22m2</t>
  </si>
  <si>
    <t xml:space="preserve">WA2M/00523940/4</t>
  </si>
  <si>
    <t xml:space="preserve">62/2019</t>
  </si>
  <si>
    <t xml:space="preserve">137</t>
  </si>
  <si>
    <t xml:space="preserve">Grupy AK "Północ"</t>
  </si>
  <si>
    <t xml:space="preserve">pom. Gosp.nr 124 Pow. 3,15m2 swp do mp nr 38</t>
  </si>
  <si>
    <t xml:space="preserve">3p, aneks,łazienka,wc,hol</t>
  </si>
  <si>
    <t xml:space="preserve">Grupy AK „Północ”</t>
  </si>
  <si>
    <t xml:space="preserve">109/2019</t>
  </si>
  <si>
    <t xml:space="preserve">J. Bytnara „Rudego”</t>
  </si>
  <si>
    <t xml:space="preserve">Kraushara</t>
  </si>
  <si>
    <t xml:space="preserve">Szyprów</t>
  </si>
  <si>
    <t xml:space="preserve">kom. Lok. Nr 37 pow. 1,86m2, mpgp nr 9</t>
  </si>
  <si>
    <t xml:space="preserve">WA2M/00455409/2</t>
  </si>
  <si>
    <t xml:space="preserve">611/2019</t>
  </si>
  <si>
    <t xml:space="preserve">Cichy Potok</t>
  </si>
  <si>
    <t xml:space="preserve">252/2019</t>
  </si>
  <si>
    <t xml:space="preserve">Huculska</t>
  </si>
  <si>
    <t xml:space="preserve">6A/8</t>
  </si>
  <si>
    <t xml:space="preserve">kom. Lok. Nr 100 pow. 3,29m2, mpgp nr 247</t>
  </si>
  <si>
    <t xml:space="preserve">pokój, aneks, sypialnia, garderoba, łazienka, wc, korytarz</t>
  </si>
  <si>
    <t xml:space="preserve">WA2M/00506705/0</t>
  </si>
  <si>
    <t xml:space="preserve">311/2019</t>
  </si>
  <si>
    <t xml:space="preserve"> Odyńca</t>
  </si>
  <si>
    <t xml:space="preserve">KOM. LOK. Nr 4A, mpgp</t>
  </si>
  <si>
    <t xml:space="preserve">4p,k,2łazienki,wc,przedpokój,2garderoby</t>
  </si>
  <si>
    <t xml:space="preserve">WA2M/00438371/1</t>
  </si>
  <si>
    <t xml:space="preserve">piwnica nr 23</t>
  </si>
  <si>
    <t xml:space="preserve">2p,k,ł,przedpokoj</t>
  </si>
  <si>
    <t xml:space="preserve">WA2M/00092364/1</t>
  </si>
  <si>
    <t xml:space="preserve">mpgp nr 15</t>
  </si>
  <si>
    <t xml:space="preserve">p,k,ł,hall</t>
  </si>
  <si>
    <t xml:space="preserve">WA2M/00439777/4</t>
  </si>
  <si>
    <t xml:space="preserve">Pogodna</t>
  </si>
  <si>
    <t xml:space="preserve">2p,k,ł,wc, 2 przedpokoje</t>
  </si>
  <si>
    <t xml:space="preserve">WA2M/00146933/5</t>
  </si>
  <si>
    <t xml:space="preserve">kom. Lok. Pow. 2,6m2, gpmp nr 69</t>
  </si>
  <si>
    <t xml:space="preserve">, 4p,k,hall,łazienka z wc, wc, balkon o pow. 11,4 i 4,3</t>
  </si>
  <si>
    <t xml:space="preserve">WA2M/00481973/7</t>
  </si>
  <si>
    <t xml:space="preserve">420/2019</t>
  </si>
  <si>
    <t xml:space="preserve">  Madalińskiego</t>
  </si>
  <si>
    <t xml:space="preserve">438/2019</t>
  </si>
  <si>
    <t xml:space="preserve"> Madalińskiego</t>
  </si>
  <si>
    <t xml:space="preserve">3/5</t>
  </si>
  <si>
    <t xml:space="preserve">18935/2019</t>
  </si>
  <si>
    <t xml:space="preserve">kom. Lok. Nr 43 pow. 2m2, mpgp nr 22</t>
  </si>
  <si>
    <t xml:space="preserve">p,aneks,sypialnia,hall,łazienka, loggia pow. 5m2</t>
  </si>
  <si>
    <t xml:space="preserve">WA2M/00455382/6</t>
  </si>
  <si>
    <t xml:space="preserve">188/2019</t>
  </si>
  <si>
    <t xml:space="preserve">J. P. Woronicza</t>
  </si>
  <si>
    <t xml:space="preserve">p,k,wc,przedpokój</t>
  </si>
  <si>
    <t xml:space="preserve">WA2M/00094415/8</t>
  </si>
  <si>
    <t xml:space="preserve">WA2M/00170147/5</t>
  </si>
  <si>
    <t xml:space="preserve">2p,aneks,łazienka, przedpokój</t>
  </si>
  <si>
    <t xml:space="preserve">WA2M/00446128/2</t>
  </si>
  <si>
    <t xml:space="preserve">341/2019</t>
  </si>
  <si>
    <t xml:space="preserve">216/2019</t>
  </si>
  <si>
    <t xml:space="preserve">66A</t>
  </si>
  <si>
    <t xml:space="preserve">2068/2019</t>
  </si>
  <si>
    <t xml:space="preserve">WA2M/00481400/0</t>
  </si>
  <si>
    <t xml:space="preserve">salon z aneksem, 2 sypialnie, łazienka, hall</t>
  </si>
  <si>
    <t xml:space="preserve">WA2M/00489659/6</t>
  </si>
  <si>
    <t xml:space="preserve">206/2019</t>
  </si>
  <si>
    <t xml:space="preserve"> Malczewskiego</t>
  </si>
  <si>
    <t xml:space="preserve">37/41</t>
  </si>
  <si>
    <t xml:space="preserve">WA2M/00340847/5</t>
  </si>
  <si>
    <t xml:space="preserve">432/2019</t>
  </si>
  <si>
    <t xml:space="preserve">WA2M/00194628/5</t>
  </si>
  <si>
    <t xml:space="preserve">450/2019</t>
  </si>
  <si>
    <t xml:space="preserve">WA2M/00449096/9</t>
  </si>
  <si>
    <t xml:space="preserve">236/2019</t>
  </si>
  <si>
    <t xml:space="preserve">mpgp 231</t>
  </si>
  <si>
    <t xml:space="preserve">hall,salon z aneksem, sypialnia,łazienka</t>
  </si>
  <si>
    <t xml:space="preserve">WA2M/00519679/2</t>
  </si>
  <si>
    <t xml:space="preserve">schowek nr 82 pow. 115,47m2</t>
  </si>
  <si>
    <t xml:space="preserve">2p,pokój z aneksem,łazienka, wc, garderoba, przedpokój, balkon</t>
  </si>
  <si>
    <t xml:space="preserve">WA2M/00471098/6</t>
  </si>
  <si>
    <t xml:space="preserve">kom. Lok. Nr 34 pow. 5,622</t>
  </si>
  <si>
    <t xml:space="preserve">WA2M/00509792/7</t>
  </si>
  <si>
    <t xml:space="preserve">WA2M/00119983/2</t>
  </si>
  <si>
    <t xml:space="preserve">297/2019</t>
  </si>
  <si>
    <t xml:space="preserve">mpgp nr 25 pow. 11,5m2</t>
  </si>
  <si>
    <t xml:space="preserve">pokój, pokój z aneksem, łazieka, hall</t>
  </si>
  <si>
    <t xml:space="preserve">WA2M/00525034/4</t>
  </si>
  <si>
    <t xml:space="preserve">WA2M/00441116/0</t>
  </si>
  <si>
    <t xml:space="preserve">1355/2019</t>
  </si>
  <si>
    <t xml:space="preserve">św. Bonifacego</t>
  </si>
  <si>
    <t xml:space="preserve">p, k, ł, przedpokój</t>
  </si>
  <si>
    <t xml:space="preserve">WA2M/00090301/8</t>
  </si>
  <si>
    <t xml:space="preserve">mpgp nr 48</t>
  </si>
  <si>
    <t xml:space="preserve">2p,k,ł,hall, balkon</t>
  </si>
  <si>
    <t xml:space="preserve">WA2M/00525754/7</t>
  </si>
  <si>
    <t xml:space="preserve">hol,salon z aneksem,sypialnia,łazienka</t>
  </si>
  <si>
    <t xml:space="preserve">WA2M/00522029/5</t>
  </si>
  <si>
    <t xml:space="preserve">holl,salon z aneksem, sypialnia,łazienka</t>
  </si>
  <si>
    <t xml:space="preserve">WA2M/00522027/1</t>
  </si>
  <si>
    <t xml:space="preserve">2p,k,ł,przedpkój</t>
  </si>
  <si>
    <t xml:space="preserve">WA2M/00477207/6</t>
  </si>
  <si>
    <t xml:space="preserve">WA2M/00106504/7</t>
  </si>
  <si>
    <t xml:space="preserve">514/2019</t>
  </si>
  <si>
    <t xml:space="preserve">2p,k,ł,korytarz</t>
  </si>
  <si>
    <t xml:space="preserve">WA2M/00494876/1</t>
  </si>
  <si>
    <t xml:space="preserve">piwnica nr 3</t>
  </si>
  <si>
    <t xml:space="preserve">WA2M/00524036/1</t>
  </si>
  <si>
    <t xml:space="preserve">578/2019</t>
  </si>
  <si>
    <t xml:space="preserve">kom. Lok. Nr 38, mpgp nr 77</t>
  </si>
  <si>
    <t xml:space="preserve">WA2M/00444020/1</t>
  </si>
  <si>
    <t xml:space="preserve">1006/2019</t>
  </si>
  <si>
    <t xml:space="preserve">3p,k,ł,wc,hol</t>
  </si>
  <si>
    <t xml:space="preserve">WA2M/00481654/5</t>
  </si>
  <si>
    <t xml:space="preserve">3p,k,2ł,garderob,schowek, komunikacha, Lokal powstał z połączenia 2 lokali mieszkalnych nr 31 i 32.</t>
  </si>
  <si>
    <t xml:space="preserve">WA2M/00504270/7</t>
  </si>
  <si>
    <t xml:space="preserve">salon z aneksem, sypialnia,łazienka, hall0</t>
  </si>
  <si>
    <t xml:space="preserve">WA2M/00512263/4</t>
  </si>
  <si>
    <t xml:space="preserve">150/2019</t>
  </si>
  <si>
    <t xml:space="preserve">WA2M/00466258/8</t>
  </si>
  <si>
    <t xml:space="preserve">WA2M/00033356/1</t>
  </si>
  <si>
    <t xml:space="preserve">594/2019</t>
  </si>
  <si>
    <t xml:space="preserve">pokój z hallem, kuchnia, sypialnia,łazienka</t>
  </si>
  <si>
    <t xml:space="preserve">WA2M/00451867/2</t>
  </si>
  <si>
    <t xml:space="preserve">406/2019</t>
  </si>
  <si>
    <t xml:space="preserve">46/50A</t>
  </si>
  <si>
    <t xml:space="preserve">2p,k,przedpokój,łazienka,wc</t>
  </si>
  <si>
    <t xml:space="preserve">WA2M/00058114/4</t>
  </si>
  <si>
    <t xml:space="preserve">WA2M/00482170/5</t>
  </si>
  <si>
    <t xml:space="preserve">1072/2019</t>
  </si>
  <si>
    <t xml:space="preserve">2 mg</t>
  </si>
  <si>
    <t xml:space="preserve">995/2019</t>
  </si>
  <si>
    <t xml:space="preserve">S. Żaryna</t>
  </si>
  <si>
    <t xml:space="preserve">mg, ogródek</t>
  </si>
  <si>
    <t xml:space="preserve">mpgp nr 9</t>
  </si>
  <si>
    <t xml:space="preserve">3p,k,ł,pralnia, przedpokój, ogródek pow. 7,78m2, loggia pow. 6,01m2</t>
  </si>
  <si>
    <t xml:space="preserve">WA2M/00439724/8</t>
  </si>
  <si>
    <t xml:space="preserve">kom. Lok.</t>
  </si>
  <si>
    <t xml:space="preserve">WA2M/00458882/2</t>
  </si>
  <si>
    <t xml:space="preserve">WA2M/00138111/8</t>
  </si>
  <si>
    <t xml:space="preserve">172/2019</t>
  </si>
  <si>
    <t xml:space="preserve">607</t>
  </si>
  <si>
    <t xml:space="preserve">449/2019</t>
  </si>
  <si>
    <t xml:space="preserve">124/2019</t>
  </si>
  <si>
    <t xml:space="preserve">M. Gandhiego</t>
  </si>
  <si>
    <t xml:space="preserve">Nabielaka</t>
  </si>
  <si>
    <t xml:space="preserve">mpgp nr 23</t>
  </si>
  <si>
    <t xml:space="preserve">2p,k,ł,hall, balkon pow. 5,71m2</t>
  </si>
  <si>
    <t xml:space="preserve">WA2M/00340249/3</t>
  </si>
  <si>
    <t xml:space="preserve">mpgp nr 136</t>
  </si>
  <si>
    <t xml:space="preserve">2p,k,ł,przepokój</t>
  </si>
  <si>
    <t xml:space="preserve">WA2M/00451084/9</t>
  </si>
  <si>
    <t xml:space="preserve">WA2M/00068002/9</t>
  </si>
  <si>
    <t xml:space="preserve">mpgp nr 50,51,52, kom.lok. Nr k.134 pow. 10,7m2</t>
  </si>
  <si>
    <t xml:space="preserve">7 pokoi, garderoba, kuchnia, trzy łazienki, wc , korytarz, 2 halle</t>
  </si>
  <si>
    <t xml:space="preserve">WA2M/00443423/9</t>
  </si>
  <si>
    <t xml:space="preserve">mpgp nr 96,96A, kom. Lok. Nr 41</t>
  </si>
  <si>
    <t xml:space="preserve">4p,k,wc,2łazienki, przedpokój, garderoba, korytarz, balkon pow. 4,29m2, taras pow. 20,89m2</t>
  </si>
  <si>
    <t xml:space="preserve">WA2M/00516842/5</t>
  </si>
  <si>
    <t xml:space="preserve">3p,k,ł,hol</t>
  </si>
  <si>
    <t xml:space="preserve">WA2M/00463070/5</t>
  </si>
  <si>
    <t xml:space="preserve">476/2019</t>
  </si>
  <si>
    <t xml:space="preserve">piwnica pow. 1,39m2</t>
  </si>
  <si>
    <t xml:space="preserve">WA2M/00410972/2</t>
  </si>
  <si>
    <t xml:space="preserve">2 mg, boks</t>
  </si>
  <si>
    <t xml:space="preserve">4p,k,dwie komunikacjie,dwie łazienki</t>
  </si>
  <si>
    <t xml:space="preserve">WA2M/00509484/5</t>
  </si>
  <si>
    <t xml:space="preserve">piwnica pow. 4m2</t>
  </si>
  <si>
    <t xml:space="preserve">5p,k,ł,wc,przedpokój</t>
  </si>
  <si>
    <t xml:space="preserve">WA2M/00374222/5</t>
  </si>
  <si>
    <t xml:space="preserve">838/2019</t>
  </si>
  <si>
    <t xml:space="preserve">piwnica nr 19A</t>
  </si>
  <si>
    <t xml:space="preserve">salon, kucnia z jadalnią, łazienka, wc, garderoba, przedpokój</t>
  </si>
  <si>
    <t xml:space="preserve">WA2M/00524406/6</t>
  </si>
  <si>
    <t xml:space="preserve">1-07-05</t>
  </si>
  <si>
    <t xml:space="preserve">Melomanów</t>
  </si>
  <si>
    <t xml:space="preserve">2p,k,jadalnia,łazienka,przedpokój</t>
  </si>
  <si>
    <t xml:space="preserve">WA2M/00460681/0</t>
  </si>
  <si>
    <t xml:space="preserve">mpgp nr 58</t>
  </si>
  <si>
    <t xml:space="preserve">garderoba,hall,łazienka,sypialnia,pokój, aneks</t>
  </si>
  <si>
    <t xml:space="preserve">WA2M/00502458/5</t>
  </si>
  <si>
    <t xml:space="preserve">529/2019</t>
  </si>
  <si>
    <t xml:space="preserve">WA2M/00464606/9</t>
  </si>
  <si>
    <t xml:space="preserve">1885/2019</t>
  </si>
  <si>
    <t xml:space="preserve">kom. Lok. Nr 2, pow. 6,17m2</t>
  </si>
  <si>
    <t xml:space="preserve">p,k,ł, przedpokój</t>
  </si>
  <si>
    <t xml:space="preserve">WA2M/00519101/0</t>
  </si>
  <si>
    <t xml:space="preserve">423/2019</t>
  </si>
  <si>
    <t xml:space="preserve">93</t>
  </si>
  <si>
    <t xml:space="preserve">mpgp nr 19</t>
  </si>
  <si>
    <t xml:space="preserve">pokój, 2 sypialnie, kuchnie, przedpokój, hall, schowek,łazienka</t>
  </si>
  <si>
    <t xml:space="preserve">WA2M/00464480/9</t>
  </si>
  <si>
    <t xml:space="preserve">WA2M/00462736/5</t>
  </si>
  <si>
    <t xml:space="preserve">WA2M/00466042/1</t>
  </si>
  <si>
    <t xml:space="preserve">1939/2019</t>
  </si>
  <si>
    <t xml:space="preserve">piwnica ne P26, pow. 5,63m2</t>
  </si>
  <si>
    <t xml:space="preserve">WA2M/00443382/9</t>
  </si>
  <si>
    <t xml:space="preserve">kom. Lok. Nr 46pow. 5,3m2, mpgp nr 59</t>
  </si>
  <si>
    <t xml:space="preserve">2p,pokój z aneksem,łazienka,wc,przedpokój</t>
  </si>
  <si>
    <t xml:space="preserve">WA2M/00325707/1</t>
  </si>
  <si>
    <t xml:space="preserve">WA2M/00333769/2</t>
  </si>
  <si>
    <t xml:space="preserve">935/2019</t>
  </si>
  <si>
    <t xml:space="preserve">WA2M/00185023/8</t>
  </si>
  <si>
    <t xml:space="preserve">MPGP nr 119</t>
  </si>
  <si>
    <t xml:space="preserve">2p,k,ł,wc,hall</t>
  </si>
  <si>
    <t xml:space="preserve">WA2M/00399585/8</t>
  </si>
  <si>
    <t xml:space="preserve">kom. Lok. Pow. 3,1m2</t>
  </si>
  <si>
    <t xml:space="preserve">3p,k,l,wc,przedpokój</t>
  </si>
  <si>
    <t xml:space="preserve">WA2M/00482005/8</t>
  </si>
  <si>
    <t xml:space="preserve">WA2M/00093857/1</t>
  </si>
  <si>
    <t xml:space="preserve">P,Ł,przedpokój</t>
  </si>
  <si>
    <t xml:space="preserve">WA2M/00180788/3</t>
  </si>
  <si>
    <t xml:space="preserve">2p,,przepokój,łazienka</t>
  </si>
  <si>
    <t xml:space="preserve">WA2M/00398691/7</t>
  </si>
  <si>
    <t xml:space="preserve">3p,aneks,hol,łazenka,wc</t>
  </si>
  <si>
    <t xml:space="preserve">WA2M/00418846/6</t>
  </si>
  <si>
    <t xml:space="preserve">2p,k,ł,wc,przedsionek</t>
  </si>
  <si>
    <t xml:space="preserve">WA2M/00295724/6</t>
  </si>
  <si>
    <t xml:space="preserve">WA2M/00219397/8</t>
  </si>
  <si>
    <t xml:space="preserve">666/2019</t>
  </si>
  <si>
    <t xml:space="preserve">WA2M/00509111/0</t>
  </si>
  <si>
    <t xml:space="preserve">WA2M/00132485/8</t>
  </si>
  <si>
    <t xml:space="preserve">WA2M/00122663/7</t>
  </si>
  <si>
    <t xml:space="preserve">mpgp nr 39</t>
  </si>
  <si>
    <t xml:space="preserve">2p, k, 2 łazienki, hall, loggia 7,4,taras pow. 26,9, taras11,5, taras 17,2</t>
  </si>
  <si>
    <t xml:space="preserve">WA2M/00499670/2</t>
  </si>
  <si>
    <t xml:space="preserve">20B</t>
  </si>
  <si>
    <t xml:space="preserve">2p,k,2łazienek,hall</t>
  </si>
  <si>
    <t xml:space="preserve">WA2M/00436179/1</t>
  </si>
  <si>
    <t xml:space="preserve">2p,k,ł,przedpokój,hall,pralnia</t>
  </si>
  <si>
    <t xml:space="preserve">WA2M/00446004/7</t>
  </si>
  <si>
    <t xml:space="preserve">840/2019</t>
  </si>
  <si>
    <t xml:space="preserve">3p,k,ł,hall,spiżarnia</t>
  </si>
  <si>
    <t xml:space="preserve">WA3M/00458182/5</t>
  </si>
  <si>
    <t xml:space="preserve">Zwierzyniecka</t>
  </si>
  <si>
    <t xml:space="preserve">WA2M/00410861/1</t>
  </si>
  <si>
    <t xml:space="preserve">mpgp nr 36</t>
  </si>
  <si>
    <t xml:space="preserve">salon,2p,k,łazienka,wc,garderoba,komunikacja, balkony o pow. 3,1m2 oraz 7,6m2</t>
  </si>
  <si>
    <t xml:space="preserve">WA2M/00397433/4</t>
  </si>
  <si>
    <t xml:space="preserve">1-11-06</t>
  </si>
  <si>
    <t xml:space="preserve">WA2M/00332512/9</t>
  </si>
  <si>
    <t xml:space="preserve">WA2M/00312995/2</t>
  </si>
  <si>
    <t xml:space="preserve">Etiudy Rewolucyjnej</t>
  </si>
  <si>
    <t xml:space="preserve">piwnica nr 15 pow. 1,92m2</t>
  </si>
  <si>
    <t xml:space="preserve">p,aneks,łazienka, hall</t>
  </si>
  <si>
    <t xml:space="preserve">WA2M/00500602/6</t>
  </si>
  <si>
    <t xml:space="preserve">WA2M/00127740/6</t>
  </si>
  <si>
    <t xml:space="preserve">mpgp nr 110</t>
  </si>
  <si>
    <t xml:space="preserve">WA2M/00410572/8</t>
  </si>
  <si>
    <t xml:space="preserve">WA2M/00053797/0</t>
  </si>
  <si>
    <t xml:space="preserve">3p,garderoba,aneks,łazienka,wc,przedpokój</t>
  </si>
  <si>
    <t xml:space="preserve">WA2M/00440318/9</t>
  </si>
  <si>
    <t xml:space="preserve">A</t>
  </si>
  <si>
    <t xml:space="preserve">pom. Gosp. Nr 605D</t>
  </si>
  <si>
    <t xml:space="preserve">3p,pokój z aneksem, korytarz, 2łazienki</t>
  </si>
  <si>
    <t xml:space="preserve">WA2M/00456408/2</t>
  </si>
  <si>
    <t xml:space="preserve">kom. Lok. Nr 6 pow. 4,19m2, mpgp</t>
  </si>
  <si>
    <t xml:space="preserve">3p,k,ł,hall</t>
  </si>
  <si>
    <t xml:space="preserve">WA2M/00515117/7</t>
  </si>
  <si>
    <t xml:space="preserve">mpgp nr 40</t>
  </si>
  <si>
    <t xml:space="preserve">p,hall, garderoba,kuchnia,3sypialnie,2łazienki</t>
  </si>
  <si>
    <t xml:space="preserve">WA2M/00451413/5</t>
  </si>
  <si>
    <t xml:space="preserve">WA2M/00158361/1</t>
  </si>
  <si>
    <t xml:space="preserve">piwnica nr 2</t>
  </si>
  <si>
    <t xml:space="preserve">WA2M/00112593/2</t>
  </si>
  <si>
    <t xml:space="preserve">WA2M/00182345/0</t>
  </si>
  <si>
    <t xml:space="preserve">WA2M/00112360/0</t>
  </si>
  <si>
    <t xml:space="preserve">WA2M/00487546/7</t>
  </si>
  <si>
    <t xml:space="preserve">WA2M/00107404/3</t>
  </si>
  <si>
    <t xml:space="preserve">piwnica, schowek</t>
  </si>
  <si>
    <t xml:space="preserve">WA2M/00320360/1</t>
  </si>
  <si>
    <t xml:space="preserve">3p,k,ł,wc</t>
  </si>
  <si>
    <t xml:space="preserve">WA2M/00083547/2</t>
  </si>
  <si>
    <t xml:space="preserve">3p,k,spiżarnia,łazienka,hall</t>
  </si>
  <si>
    <t xml:space="preserve">WA2M/00495743/7</t>
  </si>
  <si>
    <t xml:space="preserve">aneks kuchenny</t>
  </si>
  <si>
    <t xml:space="preserve">kom. Lok. Pow. 1,8m2 nr 610</t>
  </si>
  <si>
    <t xml:space="preserve">2p,k,ł,przedpokój, BALKON POW. 3,8M2</t>
  </si>
  <si>
    <t xml:space="preserve">WA2M/00461408/0</t>
  </si>
  <si>
    <t xml:space="preserve">pom.gosp. Nr 10, mpgp nr 3</t>
  </si>
  <si>
    <t xml:space="preserve">salon,kuchnia,komuniakacja,łazienka,wc</t>
  </si>
  <si>
    <t xml:space="preserve">WA2M/00497081/2</t>
  </si>
  <si>
    <t xml:space="preserve">pokój z aneksem,łazienka, pokój, garderoba, spiżarnia</t>
  </si>
  <si>
    <t xml:space="preserve">WA2M/00525613/7</t>
  </si>
  <si>
    <t xml:space="preserve">WA2M/00457849/2</t>
  </si>
  <si>
    <t xml:space="preserve">piwnica nr 51</t>
  </si>
  <si>
    <t xml:space="preserve">WA2M/00073861/6</t>
  </si>
  <si>
    <t xml:space="preserve">WA2M/00295748/0</t>
  </si>
  <si>
    <t xml:space="preserve">3p,k,ł,wc,przedpokój, balkon</t>
  </si>
  <si>
    <t xml:space="preserve">WA2M/00463261/1</t>
  </si>
  <si>
    <t xml:space="preserve">kom. Lok.. Nr K.20 pow. 3,34m2, mpgp nr 52</t>
  </si>
  <si>
    <t xml:space="preserve">pokój, pokój z aneksem, łazienka, hall</t>
  </si>
  <si>
    <t xml:space="preserve">WA2M/00501108/0</t>
  </si>
  <si>
    <t xml:space="preserve">salon z aneksem, 2p,łązienka,schody,hall</t>
  </si>
  <si>
    <t xml:space="preserve">WA2M/00488480/3</t>
  </si>
  <si>
    <t xml:space="preserve">PIWNICA nr 111 pow. 1,8</t>
  </si>
  <si>
    <t xml:space="preserve">WA2M/00476824/0</t>
  </si>
  <si>
    <t xml:space="preserve">15A</t>
  </si>
  <si>
    <t xml:space="preserve">2p,k,ł,wc, dwa korytarze</t>
  </si>
  <si>
    <t xml:space="preserve">WA2M/00106159/3</t>
  </si>
  <si>
    <t xml:space="preserve">WA2M/00460366/6</t>
  </si>
  <si>
    <t xml:space="preserve">mpgp pow.12,7m2</t>
  </si>
  <si>
    <t xml:space="preserve">WA2M/00279742/0</t>
  </si>
  <si>
    <t xml:space="preserve">WA2M/00072818/3</t>
  </si>
  <si>
    <t xml:space="preserve">WA2M/00124332/2</t>
  </si>
  <si>
    <t xml:space="preserve">Korsykańskiej</t>
  </si>
  <si>
    <t xml:space="preserve">WA2M/00504938/7</t>
  </si>
  <si>
    <t xml:space="preserve">WA2M/00411412/6</t>
  </si>
  <si>
    <t xml:space="preserve">pom.gosp. Nr 35 pow. 4,38m2, mpgp nr A149</t>
  </si>
  <si>
    <t xml:space="preserve">3p,aneks,hall,łazienka z wc</t>
  </si>
  <si>
    <t xml:space="preserve">WA2M/00495808/1</t>
  </si>
  <si>
    <t xml:space="preserve">WA2M/00470074/5</t>
  </si>
  <si>
    <t xml:space="preserve">1-11-07</t>
  </si>
  <si>
    <t xml:space="preserve">Stryjeńskich</t>
  </si>
  <si>
    <t xml:space="preserve">13C</t>
  </si>
  <si>
    <t xml:space="preserve">pom. Gosp P1,P2 pow. 5,44m2, mpgp nr 187</t>
  </si>
  <si>
    <t xml:space="preserve">2p,k,ł,hall, taras pow. 18,68m2</t>
  </si>
  <si>
    <t xml:space="preserve">WA2M/00441647/1</t>
  </si>
  <si>
    <t xml:space="preserve">kom. Lok. 323 pow. 4,29m2, MPGP</t>
  </si>
  <si>
    <t xml:space="preserve">pokój, aneks, korytarz, wc , sypialnia,łazienka,garderoba,schody</t>
  </si>
  <si>
    <t xml:space="preserve">WA2M/00506962/9</t>
  </si>
  <si>
    <t xml:space="preserve">aneks, sypialnia,hall,łazienka</t>
  </si>
  <si>
    <t xml:space="preserve">WA2M/00479498/6</t>
  </si>
  <si>
    <t xml:space="preserve">WA2M/00058127/4</t>
  </si>
  <si>
    <t xml:space="preserve">p,k,ł,hall, loggia pow.2,2m2</t>
  </si>
  <si>
    <t xml:space="preserve">WA2M/00462345/7</t>
  </si>
  <si>
    <t xml:space="preserve">mpgp nr 196</t>
  </si>
  <si>
    <t xml:space="preserve">3 i 4</t>
  </si>
  <si>
    <t xml:space="preserve">8/8A</t>
  </si>
  <si>
    <t xml:space="preserve">mpgp nr 8 i 9</t>
  </si>
  <si>
    <t xml:space="preserve">5p,2łazienki,kuchnia,schowek,2halle,klatka schodowa</t>
  </si>
  <si>
    <t xml:space="preserve">WA2M/00481067/3</t>
  </si>
  <si>
    <t xml:space="preserve">WA2M/00105077/7</t>
  </si>
  <si>
    <t xml:space="preserve">WA2M/00155616/3</t>
  </si>
  <si>
    <t xml:space="preserve">WA2M/00114632/2</t>
  </si>
  <si>
    <t xml:space="preserve">piwnia nr 11</t>
  </si>
  <si>
    <t xml:space="preserve">WA2M/00052740/9</t>
  </si>
  <si>
    <t xml:space="preserve">pomieszczenie pomocnicze nr 40, mpgp nr 5</t>
  </si>
  <si>
    <t xml:space="preserve">4p,k,2łazienki,2 przedpokoje,taras</t>
  </si>
  <si>
    <t xml:space="preserve">WA2M/00313461/7</t>
  </si>
  <si>
    <t xml:space="preserve">mpgp nr H29, J28</t>
  </si>
  <si>
    <t xml:space="preserve">2p,aneks,łazienka,hall, loggia</t>
  </si>
  <si>
    <t xml:space="preserve">WA2M/00474204/4</t>
  </si>
  <si>
    <t xml:space="preserve">8/10</t>
  </si>
  <si>
    <t xml:space="preserve">WA2M/00132398/1</t>
  </si>
  <si>
    <t xml:space="preserve">3p,k,trzy przedpokoje,służbówka,łazienka,wc</t>
  </si>
  <si>
    <t xml:space="preserve">WA2M/00046085/4</t>
  </si>
  <si>
    <t xml:space="preserve">3p,k,alkowa,łazienka,wc,przedpokój</t>
  </si>
  <si>
    <t xml:space="preserve">WA2M/00062130/3</t>
  </si>
  <si>
    <t xml:space="preserve">WA2M/00133736/0</t>
  </si>
  <si>
    <t xml:space="preserve">15287/2019</t>
  </si>
  <si>
    <t xml:space="preserve">piwnica pow. 3,61</t>
  </si>
  <si>
    <t xml:space="preserve">4p,k,2garderoby,przedpokój,łazienka,toaleta, loggia pow. 54,79</t>
  </si>
  <si>
    <t xml:space="preserve">WA2M/00461471/2</t>
  </si>
  <si>
    <t xml:space="preserve">WA2M/00168010/9</t>
  </si>
  <si>
    <t xml:space="preserve">WA2M/00140536/0</t>
  </si>
  <si>
    <t xml:space="preserve">piwnica nr 19B</t>
  </si>
  <si>
    <t xml:space="preserve">salon, łazienka,kuchnia,przedpokój, sypialnia</t>
  </si>
  <si>
    <t xml:space="preserve">WA2M/00523998/5</t>
  </si>
  <si>
    <t xml:space="preserve">49/51</t>
  </si>
  <si>
    <t xml:space="preserve">PIWNICA NR 14</t>
  </si>
  <si>
    <t xml:space="preserve">WA2M/00134261/6</t>
  </si>
  <si>
    <t xml:space="preserve">mpgp nr 5</t>
  </si>
  <si>
    <t xml:space="preserve">p,aneks,jadalnia,3sypialni,2łazienki,pralnia,korytazr,hol</t>
  </si>
  <si>
    <t xml:space="preserve">WA2M/00522371/7</t>
  </si>
  <si>
    <t xml:space="preserve">mpgp nr K 287</t>
  </si>
  <si>
    <t xml:space="preserve">2p,k,łazienka, hol</t>
  </si>
  <si>
    <t xml:space="preserve">WA2M/00168695/4</t>
  </si>
  <si>
    <t xml:space="preserve">2p,aneks,łazienka,przedpokój</t>
  </si>
  <si>
    <t xml:space="preserve">WA2M/00502051/2</t>
  </si>
  <si>
    <t xml:space="preserve">5p,k,ł,taras,przedpokój,wc</t>
  </si>
  <si>
    <t xml:space="preserve">WA2M/00430045/1</t>
  </si>
  <si>
    <t xml:space="preserve">mpgp nr 85</t>
  </si>
  <si>
    <t xml:space="preserve">pokój, pokój z aneksem, łązienka, korytarz</t>
  </si>
  <si>
    <t xml:space="preserve">WA2M/00479174/9</t>
  </si>
  <si>
    <t xml:space="preserve">mpgp nr 124</t>
  </si>
  <si>
    <t xml:space="preserve">WA2M/00437608/5</t>
  </si>
  <si>
    <t xml:space="preserve">piwnica nr 52</t>
  </si>
  <si>
    <t xml:space="preserve">WA2M/00463914/4</t>
  </si>
  <si>
    <t xml:space="preserve">37/38</t>
  </si>
  <si>
    <t xml:space="preserve">WA2M/00398117/0</t>
  </si>
  <si>
    <t xml:space="preserve">MPGP nr 126</t>
  </si>
  <si>
    <t xml:space="preserve">pokój,łazienka,wc,kuchnia,sypialnia,garderoba</t>
  </si>
  <si>
    <t xml:space="preserve">WA2M/00446025/0</t>
  </si>
  <si>
    <t xml:space="preserve">71a</t>
  </si>
  <si>
    <t xml:space="preserve">piwnica nr 17</t>
  </si>
  <si>
    <t xml:space="preserve">WA2M/00129927/5</t>
  </si>
  <si>
    <t xml:space="preserve">WA2M/00062386/2</t>
  </si>
  <si>
    <t xml:space="preserve">WA2M/00058174/2</t>
  </si>
  <si>
    <t xml:space="preserve">WA2M/00085615/4</t>
  </si>
  <si>
    <t xml:space="preserve">WA2M/00117285/5</t>
  </si>
  <si>
    <t xml:space="preserve">WA2M/00353785/6</t>
  </si>
  <si>
    <t xml:space="preserve">21a</t>
  </si>
  <si>
    <t xml:space="preserve">kom. Lok. Nr 6pow. 3,9m2m mpgp nr 32 pow. 15m2</t>
  </si>
  <si>
    <t xml:space="preserve">2p,salon z aneksem,aneks do pracy,łazienka,wc,pomieszczenie komunikacyjne</t>
  </si>
  <si>
    <t xml:space="preserve">WA2M/00398340/2</t>
  </si>
  <si>
    <t xml:space="preserve">PIWNICA POW. 10M2</t>
  </si>
  <si>
    <t xml:space="preserve">2p,k,ł,spiżarnia,przedpokój</t>
  </si>
  <si>
    <t xml:space="preserve">WA2M/00042689/0</t>
  </si>
  <si>
    <t xml:space="preserve">WA2M/00488668/5</t>
  </si>
  <si>
    <t xml:space="preserve">3p,k,ł,wc,przedpokój,alkowa</t>
  </si>
  <si>
    <t xml:space="preserve">WA2M/00040709/3</t>
  </si>
  <si>
    <t xml:space="preserve">2p,k,ł,komunikacja</t>
  </si>
  <si>
    <t xml:space="preserve">WA2M/00509894/2</t>
  </si>
  <si>
    <t xml:space="preserve">3p,k,przedpokój,łazienka,wc</t>
  </si>
  <si>
    <t xml:space="preserve">WA2M/00296157/7</t>
  </si>
  <si>
    <t xml:space="preserve">p,k,ł,garderoba,hall</t>
  </si>
  <si>
    <t xml:space="preserve">WA2M/00473308/6</t>
  </si>
  <si>
    <t xml:space="preserve">3p,k,ł,przedpokój,wc</t>
  </si>
  <si>
    <t xml:space="preserve">WA2M/00230327/0</t>
  </si>
  <si>
    <t xml:space="preserve">WA2M/00070944/1</t>
  </si>
  <si>
    <t xml:space="preserve">4p,k,ł,wc,hall, loggia pow. 7,34m2</t>
  </si>
  <si>
    <t xml:space="preserve">WA2M/00466140/8</t>
  </si>
  <si>
    <t xml:space="preserve">p,k,ł,przedpokoj</t>
  </si>
  <si>
    <t xml:space="preserve">WA2M/00195837/0</t>
  </si>
  <si>
    <t xml:space="preserve">WA2M/0052703/7</t>
  </si>
  <si>
    <t xml:space="preserve">salon z aneksem,2sypialnie,łazienka,wc,hol</t>
  </si>
  <si>
    <t xml:space="preserve">WA2M/00525386/6</t>
  </si>
  <si>
    <t xml:space="preserve">mpgp nr 156, kom. Lok. Pow. 5,01m2</t>
  </si>
  <si>
    <t xml:space="preserve">2p,aneks,łazienka,garderiba,hol, loggia pow. 4,03m2</t>
  </si>
  <si>
    <t xml:space="preserve">WA2M/00515566/9</t>
  </si>
  <si>
    <t xml:space="preserve">42A</t>
  </si>
  <si>
    <t xml:space="preserve">PIWNICA nr 12</t>
  </si>
  <si>
    <t xml:space="preserve">2p,k,pokój,alkowa,łazienka,wc</t>
  </si>
  <si>
    <t xml:space="preserve">WA2M/00086909/9</t>
  </si>
  <si>
    <t xml:space="preserve">WA2M/00076378/4</t>
  </si>
  <si>
    <t xml:space="preserve">WA2M/00134670/6</t>
  </si>
  <si>
    <t xml:space="preserve">WA2M/00131407/1</t>
  </si>
  <si>
    <t xml:space="preserve">WA2M/00410687/7</t>
  </si>
  <si>
    <t xml:space="preserve">WA2M/00465041/7</t>
  </si>
  <si>
    <t xml:space="preserve">pokój, kuchnia,łazienka,przedpokój</t>
  </si>
  <si>
    <t xml:space="preserve">WA2M/00445671/6</t>
  </si>
  <si>
    <t xml:space="preserve">WA2M00166150/8</t>
  </si>
  <si>
    <t xml:space="preserve">mg, komórka</t>
  </si>
  <si>
    <t xml:space="preserve">WA2M/00196857/3</t>
  </si>
  <si>
    <t xml:space="preserve">3p,k,ł,przedpokoj</t>
  </si>
  <si>
    <t xml:space="preserve">WA2M/00163900/0</t>
  </si>
  <si>
    <t xml:space="preserve"> Malawskiego</t>
  </si>
  <si>
    <t xml:space="preserve">333/2019</t>
  </si>
  <si>
    <t xml:space="preserve">piwnca</t>
  </si>
  <si>
    <t xml:space="preserve">Langego</t>
  </si>
  <si>
    <t xml:space="preserve">2047</t>
  </si>
  <si>
    <t xml:space="preserve">3p, k, ł, pp,wc</t>
  </si>
  <si>
    <t xml:space="preserve">5336/2019</t>
  </si>
  <si>
    <t xml:space="preserve">W. A. Mozarta</t>
  </si>
  <si>
    <t xml:space="preserve">1011/2019</t>
  </si>
  <si>
    <t xml:space="preserve">1011</t>
  </si>
  <si>
    <t xml:space="preserve">p,k, ł,pp,ł</t>
  </si>
  <si>
    <t xml:space="preserve">6243/2019</t>
  </si>
  <si>
    <t xml:space="preserve">13519/2019</t>
  </si>
  <si>
    <t xml:space="preserve">9218</t>
  </si>
  <si>
    <t xml:space="preserve">3p, an, ł, pp, schowek</t>
  </si>
  <si>
    <t xml:space="preserve">4357</t>
  </si>
  <si>
    <t xml:space="preserve">3p, k, ł, pp, spiżarnia, piwnica, łancza pow. 91,31 m2</t>
  </si>
  <si>
    <t xml:space="preserve">WA2M/00033780/2</t>
  </si>
  <si>
    <t xml:space="preserve">7519</t>
  </si>
  <si>
    <t xml:space="preserve">5p, k,2ł, ,wc, gard,pp</t>
  </si>
  <si>
    <t xml:space="preserve">3192</t>
  </si>
  <si>
    <t xml:space="preserve">sprzedswany jest udział 1/10 w tym lokalu</t>
  </si>
  <si>
    <t xml:space="preserve">3p, k,ł, wc, pp</t>
  </si>
  <si>
    <t xml:space="preserve">12395</t>
  </si>
  <si>
    <t xml:space="preserve">2p,k, ł, pp</t>
  </si>
  <si>
    <t xml:space="preserve">9309</t>
  </si>
  <si>
    <t xml:space="preserve">3p, an, ł, pp </t>
  </si>
  <si>
    <t xml:space="preserve">12234</t>
  </si>
  <si>
    <t xml:space="preserve">mg (platforma), nmp</t>
  </si>
  <si>
    <t xml:space="preserve">3p, k, ł, wc, gard,pp</t>
  </si>
  <si>
    <t xml:space="preserve">739</t>
  </si>
  <si>
    <t xml:space="preserve">120</t>
  </si>
  <si>
    <t xml:space="preserve">2p, k, ł,pp</t>
  </si>
  <si>
    <t xml:space="preserve">12242</t>
  </si>
  <si>
    <t xml:space="preserve">5a</t>
  </si>
  <si>
    <t xml:space="preserve">2p, k,ł,pp</t>
  </si>
  <si>
    <t xml:space="preserve">2p, k,ł, pp</t>
  </si>
  <si>
    <t xml:space="preserve">2110</t>
  </si>
  <si>
    <t xml:space="preserve">3p,k,ł, wc,pp</t>
  </si>
  <si>
    <t xml:space="preserve">7631</t>
  </si>
  <si>
    <t xml:space="preserve">3c</t>
  </si>
  <si>
    <t xml:space="preserve">3p, k,pp,wc</t>
  </si>
  <si>
    <t xml:space="preserve">9134</t>
  </si>
  <si>
    <t xml:space="preserve">2p, k, pp ł</t>
  </si>
  <si>
    <t xml:space="preserve">WA2M/00225586/5</t>
  </si>
  <si>
    <t xml:space="preserve">4036</t>
  </si>
  <si>
    <t xml:space="preserve">7b</t>
  </si>
  <si>
    <t xml:space="preserve">12479</t>
  </si>
  <si>
    <t xml:space="preserve">sprzedswany jest udział 1/2 w tym lokalu</t>
  </si>
  <si>
    <t xml:space="preserve">8184</t>
  </si>
  <si>
    <t xml:space="preserve">2p, k, ł,pp, piwnica</t>
  </si>
  <si>
    <t xml:space="preserve">WA2M/00209157/1</t>
  </si>
  <si>
    <t xml:space="preserve">12548</t>
  </si>
  <si>
    <t xml:space="preserve">1114</t>
  </si>
  <si>
    <t xml:space="preserve">komórka 2,5 m2</t>
  </si>
  <si>
    <t xml:space="preserve">2p,k,ł, wc,pp</t>
  </si>
  <si>
    <t xml:space="preserve">4727</t>
  </si>
  <si>
    <t xml:space="preserve">1-05-22</t>
  </si>
  <si>
    <t xml:space="preserve">16b</t>
  </si>
  <si>
    <t xml:space="preserve">komórka 3,01, mg</t>
  </si>
  <si>
    <t xml:space="preserve">2p, an, ł, pp</t>
  </si>
  <si>
    <t xml:space="preserve">2p, an, ł,pp</t>
  </si>
  <si>
    <t xml:space="preserve">8019</t>
  </si>
  <si>
    <t xml:space="preserve">kom 2,69, taras 106,30</t>
  </si>
  <si>
    <t xml:space="preserve">4p, an,3ł, 2 gard, ppl, </t>
  </si>
  <si>
    <t xml:space="preserve">9229</t>
  </si>
  <si>
    <t xml:space="preserve">kom. 1,8</t>
  </si>
  <si>
    <t xml:space="preserve">4104</t>
  </si>
  <si>
    <t xml:space="preserve">1311</t>
  </si>
  <si>
    <t xml:space="preserve">3p, an, ł.wc,pp</t>
  </si>
  <si>
    <t xml:space="preserve">2p, an, ł.,pp</t>
  </si>
  <si>
    <t xml:space="preserve">12670</t>
  </si>
  <si>
    <t xml:space="preserve">2p,k,ł, pp</t>
  </si>
  <si>
    <t xml:space="preserve">850</t>
  </si>
  <si>
    <t xml:space="preserve">Śniadrwy</t>
  </si>
  <si>
    <t xml:space="preserve">1259</t>
  </si>
  <si>
    <t xml:space="preserve">5622</t>
  </si>
  <si>
    <t xml:space="preserve">172</t>
  </si>
  <si>
    <t xml:space="preserve">4p, 3ł, k, pp, gard</t>
  </si>
  <si>
    <t xml:space="preserve">1551</t>
  </si>
  <si>
    <t xml:space="preserve">p,k, pp, wc</t>
  </si>
  <si>
    <t xml:space="preserve">6006</t>
  </si>
  <si>
    <t xml:space="preserve">2p, k, ł, pp </t>
  </si>
  <si>
    <t xml:space="preserve">otwarta przestrzeń, p, an, ł, schowki</t>
  </si>
  <si>
    <t xml:space="preserve">4369</t>
  </si>
  <si>
    <t xml:space="preserve">3p, k,l, pp</t>
  </si>
  <si>
    <t xml:space="preserve">3657</t>
  </si>
  <si>
    <t xml:space="preserve">kom 3,26</t>
  </si>
  <si>
    <t xml:space="preserve">2p, an, ł</t>
  </si>
  <si>
    <t xml:space="preserve">1621</t>
  </si>
  <si>
    <t xml:space="preserve">3p,k,ł., pp,wc</t>
  </si>
  <si>
    <t xml:space="preserve">3249</t>
  </si>
  <si>
    <t xml:space="preserve">p,k,ł.pp</t>
  </si>
  <si>
    <t xml:space="preserve">3730</t>
  </si>
  <si>
    <t xml:space="preserve">2p, k,ł, wc, pp</t>
  </si>
  <si>
    <t xml:space="preserve">11452</t>
  </si>
  <si>
    <t xml:space="preserve">5685</t>
  </si>
  <si>
    <t xml:space="preserve">16a</t>
  </si>
  <si>
    <t xml:space="preserve">4p, k, 2ł, pp, pralnia</t>
  </si>
  <si>
    <t xml:space="preserve">2p, k, ł, gard. Pp</t>
  </si>
  <si>
    <t xml:space="preserve">2874</t>
  </si>
  <si>
    <t xml:space="preserve">8425</t>
  </si>
  <si>
    <t xml:space="preserve">3 p,k, ł. Pp</t>
  </si>
  <si>
    <t xml:space="preserve">5663</t>
  </si>
  <si>
    <t xml:space="preserve">606</t>
  </si>
  <si>
    <t xml:space="preserve">4p, k, ł, pp, wc, gard.</t>
  </si>
  <si>
    <t xml:space="preserve">1425</t>
  </si>
  <si>
    <t xml:space="preserve">p,k,ł,pp</t>
  </si>
  <si>
    <t xml:space="preserve">6751</t>
  </si>
  <si>
    <t xml:space="preserve">piwnica 2,59</t>
  </si>
  <si>
    <t xml:space="preserve">p, k, ł,pp</t>
  </si>
  <si>
    <t xml:space="preserve">2200</t>
  </si>
  <si>
    <t xml:space="preserve">124</t>
  </si>
  <si>
    <t xml:space="preserve">4p, k, 2ł, pp</t>
  </si>
  <si>
    <t xml:space="preserve">125</t>
  </si>
  <si>
    <t xml:space="preserve">7901</t>
  </si>
  <si>
    <t xml:space="preserve"> p,k, ł, pp (spółka to sprzedaje)</t>
  </si>
  <si>
    <t xml:space="preserve">WA2M/00481623/9</t>
  </si>
  <si>
    <t xml:space="preserve">4540</t>
  </si>
  <si>
    <t xml:space="preserve">4162</t>
  </si>
  <si>
    <r>
      <rPr>
        <sz val="11"/>
        <color rgb="FF000000"/>
        <rFont val="Arial"/>
        <family val="2"/>
      </rPr>
      <t xml:space="preserve">przynależna kom 8,47, </t>
    </r>
    <r>
      <rPr>
        <b val="true"/>
        <sz val="11"/>
        <color rgb="FF000000"/>
        <rFont val=""/>
        <family val="2"/>
        <charset val="2"/>
      </rPr>
      <t xml:space="preserve">mg</t>
    </r>
  </si>
  <si>
    <t xml:space="preserve">2p, k,2ł, pp</t>
  </si>
  <si>
    <t xml:space="preserve">14150</t>
  </si>
  <si>
    <t xml:space="preserve">1p, an, ł</t>
  </si>
  <si>
    <t xml:space="preserve">1541</t>
  </si>
  <si>
    <t xml:space="preserve">16849</t>
  </si>
  <si>
    <t xml:space="preserve">1993</t>
  </si>
  <si>
    <t xml:space="preserve">2p, k, ł, pp,wc</t>
  </si>
  <si>
    <t xml:space="preserve">8466</t>
  </si>
  <si>
    <t xml:space="preserve">134a</t>
  </si>
  <si>
    <t xml:space="preserve">p,pp,wc</t>
  </si>
  <si>
    <t xml:space="preserve">piwnica nr 93 pow. 2,48m2</t>
  </si>
  <si>
    <t xml:space="preserve">2p,k,ł,hol</t>
  </si>
  <si>
    <t xml:space="preserve">WA2M/00468415/1</t>
  </si>
  <si>
    <t xml:space="preserve">311</t>
  </si>
  <si>
    <t xml:space="preserve">komórka  2,28</t>
  </si>
  <si>
    <t xml:space="preserve"> p, k, ł,pp</t>
  </si>
  <si>
    <t xml:space="preserve">11348</t>
  </si>
  <si>
    <t xml:space="preserve">2123</t>
  </si>
  <si>
    <t xml:space="preserve">2p, k,ł, pp, schowek</t>
  </si>
  <si>
    <t xml:space="preserve">3604</t>
  </si>
  <si>
    <t xml:space="preserve">4570</t>
  </si>
  <si>
    <t xml:space="preserve">1a</t>
  </si>
  <si>
    <t xml:space="preserve">204</t>
  </si>
  <si>
    <r>
      <rPr>
        <sz val="11"/>
        <color rgb="FF000000"/>
        <rFont val="Arial"/>
        <family val="2"/>
      </rPr>
      <t xml:space="preserve">komórka przynależna  , </t>
    </r>
    <r>
      <rPr>
        <b val="true"/>
        <sz val="11"/>
        <color rgb="FF000000"/>
        <rFont val=""/>
        <family val="2"/>
        <charset val="2"/>
      </rPr>
      <t xml:space="preserve">mg</t>
    </r>
  </si>
  <si>
    <t xml:space="preserve">3+J337920</t>
  </si>
  <si>
    <t xml:space="preserve">3p, an, ł, wc, gard.</t>
  </si>
  <si>
    <t xml:space="preserve">7716</t>
  </si>
  <si>
    <t xml:space="preserve">2 p,k,ł, pp</t>
  </si>
  <si>
    <t xml:space="preserve">1366</t>
  </si>
  <si>
    <t xml:space="preserve">Stopowa</t>
  </si>
  <si>
    <t xml:space="preserve">3282</t>
  </si>
  <si>
    <t xml:space="preserve">49/53</t>
  </si>
  <si>
    <t xml:space="preserve">33c</t>
  </si>
  <si>
    <t xml:space="preserve">3p,k,ł,pp</t>
  </si>
  <si>
    <t xml:space="preserve">4324</t>
  </si>
  <si>
    <t xml:space="preserve">69a</t>
  </si>
  <si>
    <r>
      <rPr>
        <sz val="11"/>
        <color rgb="FF000000"/>
        <rFont val="Arial"/>
        <family val="2"/>
      </rPr>
      <t xml:space="preserve">przynależna komórka 4,14m2, </t>
    </r>
    <r>
      <rPr>
        <b val="true"/>
        <sz val="11"/>
        <color rgb="FF000000"/>
        <rFont val=""/>
        <family val="2"/>
        <charset val="2"/>
      </rPr>
      <t xml:space="preserve">mg</t>
    </r>
  </si>
  <si>
    <t xml:space="preserve">p, an, ł, pp</t>
  </si>
  <si>
    <t xml:space="preserve">5090</t>
  </si>
  <si>
    <t xml:space="preserve">mg +komórka</t>
  </si>
  <si>
    <t xml:space="preserve">2p, k,ł, pp, gard</t>
  </si>
  <si>
    <t xml:space="preserve">9141</t>
  </si>
  <si>
    <t xml:space="preserve">Grupy AK  Północ</t>
  </si>
  <si>
    <t xml:space="preserve">2p, an, ł.wc,pp</t>
  </si>
  <si>
    <t xml:space="preserve">1638</t>
  </si>
  <si>
    <t xml:space="preserve">24583</t>
  </si>
  <si>
    <t xml:space="preserve">5850</t>
  </si>
  <si>
    <t xml:space="preserve">1c</t>
  </si>
  <si>
    <r>
      <rPr>
        <sz val="11"/>
        <color rgb="FF000000"/>
        <rFont val="Arial"/>
        <family val="2"/>
      </rPr>
      <t xml:space="preserve">przynależna kom.2,39, </t>
    </r>
    <r>
      <rPr>
        <b val="true"/>
        <sz val="11"/>
        <color rgb="FF000000"/>
        <rFont val=""/>
        <family val="2"/>
        <charset val="2"/>
      </rPr>
      <t xml:space="preserve">mg</t>
    </r>
  </si>
  <si>
    <t xml:space="preserve">1077</t>
  </si>
  <si>
    <t xml:space="preserve">3p,k, pp, 2ł, pom gosp</t>
  </si>
  <si>
    <t xml:space="preserve">17155</t>
  </si>
  <si>
    <t xml:space="preserve">2p, an, ł, pralnia, pp</t>
  </si>
  <si>
    <t xml:space="preserve">2286</t>
  </si>
  <si>
    <t xml:space="preserve">3852</t>
  </si>
  <si>
    <t xml:space="preserve">2p, k,ł.pp</t>
  </si>
  <si>
    <t xml:space="preserve">2489</t>
  </si>
  <si>
    <t xml:space="preserve">13629</t>
  </si>
  <si>
    <t xml:space="preserve">3p,k,ł,pp,wc</t>
  </si>
  <si>
    <t xml:space="preserve">8566</t>
  </si>
  <si>
    <t xml:space="preserve">8902</t>
  </si>
  <si>
    <t xml:space="preserve">3p, k, ł, wc, pralnia, gard</t>
  </si>
  <si>
    <t xml:space="preserve">7704</t>
  </si>
  <si>
    <t xml:space="preserve">p,k,ł, pp</t>
  </si>
  <si>
    <t xml:space="preserve">3428</t>
  </si>
  <si>
    <t xml:space="preserve">3p, gard, k,ł, pp,wc</t>
  </si>
  <si>
    <t xml:space="preserve">1074</t>
  </si>
  <si>
    <t xml:space="preserve">4773</t>
  </si>
  <si>
    <t xml:space="preserve">162</t>
  </si>
  <si>
    <t xml:space="preserve">3p, 2ł, pp, k, gard.</t>
  </si>
  <si>
    <t xml:space="preserve">p+an, p, hal, ł, pie=wnica</t>
  </si>
  <si>
    <t xml:space="preserve">3486</t>
  </si>
  <si>
    <t xml:space="preserve">160</t>
  </si>
  <si>
    <t xml:space="preserve">3533</t>
  </si>
  <si>
    <t xml:space="preserve">350</t>
  </si>
  <si>
    <t xml:space="preserve">2p, an, ł, wc, pp, gard</t>
  </si>
  <si>
    <t xml:space="preserve">WA2M/00103003/4</t>
  </si>
  <si>
    <t xml:space="preserve">2895</t>
  </si>
  <si>
    <t xml:space="preserve">198</t>
  </si>
  <si>
    <t xml:space="preserve">2p, k,l, pp, wc</t>
  </si>
  <si>
    <t xml:space="preserve">21438</t>
  </si>
  <si>
    <t xml:space="preserve">p, wc,pp </t>
  </si>
  <si>
    <t xml:space="preserve">1652</t>
  </si>
  <si>
    <t xml:space="preserve">8b</t>
  </si>
  <si>
    <t xml:space="preserve">2p, k, ,pp</t>
  </si>
  <si>
    <t xml:space="preserve">1750</t>
  </si>
  <si>
    <t xml:space="preserve">Żenczykowskiego</t>
  </si>
  <si>
    <t xml:space="preserve">2 komórki</t>
  </si>
  <si>
    <t xml:space="preserve">4p, k, ł, pp</t>
  </si>
  <si>
    <t xml:space="preserve">2127</t>
  </si>
  <si>
    <t xml:space="preserve">4801</t>
  </si>
  <si>
    <t xml:space="preserve">29a</t>
  </si>
  <si>
    <t xml:space="preserve">4p, ł, k, wc, pp</t>
  </si>
  <si>
    <t xml:space="preserve">4713</t>
  </si>
  <si>
    <t xml:space="preserve">5424</t>
  </si>
  <si>
    <t xml:space="preserve">4p, jadalnia, 2ł, pp, schowek</t>
  </si>
  <si>
    <t xml:space="preserve">84</t>
  </si>
  <si>
    <t xml:space="preserve">kom 4,10</t>
  </si>
  <si>
    <t xml:space="preserve">3p, k,ł, pp</t>
  </si>
  <si>
    <t xml:space="preserve">1492</t>
  </si>
  <si>
    <t xml:space="preserve">6987</t>
  </si>
  <si>
    <t xml:space="preserve">4224</t>
  </si>
  <si>
    <t xml:space="preserve">7417</t>
  </si>
  <si>
    <t xml:space="preserve">705</t>
  </si>
  <si>
    <t xml:space="preserve">2p, gard, k,ł, pp</t>
  </si>
  <si>
    <t xml:space="preserve">11486</t>
  </si>
  <si>
    <t xml:space="preserve">nmp</t>
  </si>
  <si>
    <t xml:space="preserve">p+an, 2p, ł, wc, hol</t>
  </si>
  <si>
    <t xml:space="preserve">10851</t>
  </si>
  <si>
    <t xml:space="preserve">Bachnmacka</t>
  </si>
  <si>
    <t xml:space="preserve">p,k, ł, pp</t>
  </si>
  <si>
    <t xml:space="preserve">6962</t>
  </si>
  <si>
    <t xml:space="preserve">2p, an,ł, pp</t>
  </si>
  <si>
    <t xml:space="preserve">4398</t>
  </si>
  <si>
    <t xml:space="preserve">26601</t>
  </si>
  <si>
    <t xml:space="preserve">10761</t>
  </si>
  <si>
    <t xml:space="preserve">3799</t>
  </si>
  <si>
    <t xml:space="preserve">3p, an, ł, pp</t>
  </si>
  <si>
    <t xml:space="preserve">4292</t>
  </si>
  <si>
    <t xml:space="preserve">15/19</t>
  </si>
  <si>
    <t xml:space="preserve"> p,k,ł, pp</t>
  </si>
  <si>
    <t xml:space="preserve">2540</t>
  </si>
  <si>
    <t xml:space="preserve">102-06</t>
  </si>
  <si>
    <t xml:space="preserve">p, k, pp, ł </t>
  </si>
  <si>
    <t xml:space="preserve">3559</t>
  </si>
  <si>
    <t xml:space="preserve">piwnica 6,88</t>
  </si>
  <si>
    <t xml:space="preserve">3941</t>
  </si>
  <si>
    <t xml:space="preserve">2 p, k, ł,pp</t>
  </si>
  <si>
    <t xml:space="preserve">WA2M/00373166/7</t>
  </si>
  <si>
    <t xml:space="preserve">9564</t>
  </si>
  <si>
    <t xml:space="preserve">176</t>
  </si>
  <si>
    <t xml:space="preserve">4p, k, 2ł, pp, gard, pom gosp</t>
  </si>
  <si>
    <t xml:space="preserve">3110</t>
  </si>
  <si>
    <t xml:space="preserve">Odolańaka</t>
  </si>
  <si>
    <t xml:space="preserve">2p,k, ł,wc,  pp</t>
  </si>
  <si>
    <t xml:space="preserve">2p, k,ł,wc, pp</t>
  </si>
  <si>
    <t xml:space="preserve">10340</t>
  </si>
  <si>
    <t xml:space="preserve">E1</t>
  </si>
  <si>
    <t xml:space="preserve">kom 1,67, mg</t>
  </si>
  <si>
    <t xml:space="preserve">5573</t>
  </si>
  <si>
    <t xml:space="preserve">274</t>
  </si>
  <si>
    <t xml:space="preserve">2p,k,łazienka, wc, przedpokój</t>
  </si>
  <si>
    <t xml:space="preserve">WA2M/00466663/0</t>
  </si>
  <si>
    <t xml:space="preserve">2546</t>
  </si>
  <si>
    <t xml:space="preserve">2a</t>
  </si>
  <si>
    <t xml:space="preserve">3p,k, ł, pp</t>
  </si>
  <si>
    <t xml:space="preserve">salon,kuchnia,łazienka,hol+balkon</t>
  </si>
  <si>
    <t xml:space="preserve">WA2M/00510947/9</t>
  </si>
  <si>
    <t xml:space="preserve">108B</t>
  </si>
  <si>
    <t xml:space="preserve">pokój, przedpokój,łazienka z wc</t>
  </si>
  <si>
    <t xml:space="preserve">WA2M/00196562/8</t>
  </si>
  <si>
    <t xml:space="preserve">47C</t>
  </si>
  <si>
    <t xml:space="preserve">6p,k,3łazienki, przedpokój, 3 garderoby</t>
  </si>
  <si>
    <t xml:space="preserve">WA2M/00501134/1</t>
  </si>
  <si>
    <t xml:space="preserve">WA2M/00457190/7</t>
  </si>
  <si>
    <t xml:space="preserve">WA2M/00493499/7</t>
  </si>
  <si>
    <t xml:space="preserve">2p., k,ł, wc, pp</t>
  </si>
  <si>
    <t xml:space="preserve">14062</t>
  </si>
  <si>
    <t xml:space="preserve">3 p, k, pp, ł</t>
  </si>
  <si>
    <t xml:space="preserve">Kazimierzowskiej</t>
  </si>
  <si>
    <t xml:space="preserve">3p,hol,łazienka, alkowa, przedpokój</t>
  </si>
  <si>
    <t xml:space="preserve">WA2M/00073023/0</t>
  </si>
  <si>
    <t xml:space="preserve">pokój, k,ł,przedpokój</t>
  </si>
  <si>
    <t xml:space="preserve">1794</t>
  </si>
  <si>
    <t xml:space="preserve">2 p, k, pplł</t>
  </si>
  <si>
    <t xml:space="preserve">1153</t>
  </si>
  <si>
    <t xml:space="preserve">WA2M/00081391/9</t>
  </si>
  <si>
    <t xml:space="preserve">WA2M/00497056/8</t>
  </si>
  <si>
    <t xml:space="preserve">1807</t>
  </si>
  <si>
    <t xml:space="preserve">p+an, p, ł, hall, garderoba +komórka 4,78</t>
  </si>
  <si>
    <t xml:space="preserve">4467</t>
  </si>
  <si>
    <t xml:space="preserve">3537</t>
  </si>
  <si>
    <t xml:space="preserve">p+ an, p, ł, haal</t>
  </si>
  <si>
    <t xml:space="preserve">1790</t>
  </si>
  <si>
    <t xml:space="preserve">p,k,.pp</t>
  </si>
  <si>
    <t xml:space="preserve">3984</t>
  </si>
  <si>
    <t xml:space="preserve">p+an, k, ł, hall</t>
  </si>
  <si>
    <t xml:space="preserve">WA2M/00044291/7</t>
  </si>
  <si>
    <t xml:space="preserve">2p,k,ł,przedpokók</t>
  </si>
  <si>
    <t xml:space="preserve">WA2M/00062586/4</t>
  </si>
  <si>
    <t xml:space="preserve">piwnica nr 28</t>
  </si>
  <si>
    <t xml:space="preserve">p,ł,k,przedpokój</t>
  </si>
  <si>
    <t xml:space="preserve">WA2M/00129347/5</t>
  </si>
  <si>
    <t xml:space="preserve">kom.lok nr 17 pow 3m2</t>
  </si>
  <si>
    <t xml:space="preserve">WA2M/00313969/8</t>
  </si>
  <si>
    <t xml:space="preserve">414</t>
  </si>
  <si>
    <t xml:space="preserve">542</t>
  </si>
  <si>
    <t xml:space="preserve">2 p, k, , hol, pp, ł</t>
  </si>
  <si>
    <t xml:space="preserve">2x piwnica</t>
  </si>
  <si>
    <t xml:space="preserve">p,k,ł</t>
  </si>
  <si>
    <t xml:space="preserve">WA2M/00066892/0</t>
  </si>
  <si>
    <t xml:space="preserve">WA2M/00110509/3</t>
  </si>
  <si>
    <t xml:space="preserve">Racjonalizacji</t>
  </si>
  <si>
    <t xml:space="preserve">mpgp nr 95</t>
  </si>
  <si>
    <t xml:space="preserve">WA2M/00529340/0</t>
  </si>
  <si>
    <t xml:space="preserve">2p,k,służbówka,łazienka,wc,przedpokój</t>
  </si>
  <si>
    <t xml:space="preserve">WA2M/00087512/6</t>
  </si>
  <si>
    <t xml:space="preserve">21/23</t>
  </si>
  <si>
    <t xml:space="preserve">WA2M/00411725/3</t>
  </si>
  <si>
    <t xml:space="preserve">mpgp nr 63</t>
  </si>
  <si>
    <t xml:space="preserve">WA2M/00470428/2</t>
  </si>
  <si>
    <t xml:space="preserve">1812</t>
  </si>
  <si>
    <t xml:space="preserve">3 p, k, ł, pp</t>
  </si>
  <si>
    <t xml:space="preserve">2p,k,ł,hol,schowek</t>
  </si>
  <si>
    <t xml:space="preserve">WA2M/00465593/1</t>
  </si>
  <si>
    <t xml:space="preserve">Obrzeżna </t>
  </si>
  <si>
    <t xml:space="preserve">pom.pom, mpgp</t>
  </si>
  <si>
    <t xml:space="preserve">2p,aneks,łazienka,wc,hall</t>
  </si>
  <si>
    <t xml:space="preserve">WA2M/00483834/5</t>
  </si>
  <si>
    <t xml:space="preserve">WA2M/00197724/9</t>
  </si>
  <si>
    <t xml:space="preserve">3484</t>
  </si>
  <si>
    <t xml:space="preserve">805</t>
  </si>
  <si>
    <t xml:space="preserve">63a</t>
  </si>
  <si>
    <t xml:space="preserve">Warowna </t>
  </si>
  <si>
    <t xml:space="preserve">kom.lok. Nr 19, mpgp nr </t>
  </si>
  <si>
    <t xml:space="preserve">3p,k,2łazienki,2garderoby,schowek,sauna,hall, 2 balkony</t>
  </si>
  <si>
    <t xml:space="preserve">WA2M/00449486/0</t>
  </si>
  <si>
    <t xml:space="preserve">salon z aneksem, pokój, łazienka, hol</t>
  </si>
  <si>
    <t xml:space="preserve">WA2M/00497050/6</t>
  </si>
  <si>
    <t xml:space="preserve">kom.lok nr 1 pow. 1,97m2, mpgp</t>
  </si>
  <si>
    <t xml:space="preserve">salon z jadalnią, aneks, 3 sypialnie,pralnia,garderobra, łazienka, wc</t>
  </si>
  <si>
    <t xml:space="preserve">WA2M/00496683/5</t>
  </si>
  <si>
    <t xml:space="preserve">salon z aneksem, pokój, łazienka,hall</t>
  </si>
  <si>
    <t xml:space="preserve">WA2M/00523294/0</t>
  </si>
  <si>
    <t xml:space="preserve">WA2M/00117777/1</t>
  </si>
  <si>
    <t xml:space="preserve">WA2M/00129940/2</t>
  </si>
  <si>
    <t xml:space="preserve">1-08-12</t>
  </si>
  <si>
    <t xml:space="preserve">Komputerowa</t>
  </si>
  <si>
    <t xml:space="preserve">pokój, aneks, łazienka z wc, hol, pokój, BALKON</t>
  </si>
  <si>
    <t xml:space="preserve">WA2M/00528436/3</t>
  </si>
  <si>
    <t xml:space="preserve">p,k,ł,przedokój</t>
  </si>
  <si>
    <t xml:space="preserve">WA2M/00433598/3</t>
  </si>
  <si>
    <t xml:space="preserve">4p,k,2łazienki,3 schowki, hall+ balkon, 2 loggie</t>
  </si>
  <si>
    <t xml:space="preserve">WA2M/00508530/6</t>
  </si>
  <si>
    <t xml:space="preserve">Śródziemnomorska</t>
  </si>
  <si>
    <t xml:space="preserve">komórka lokatorska nr 4</t>
  </si>
  <si>
    <t xml:space="preserve">4p,k,łazienka,wc,korytarz, przedpokój</t>
  </si>
  <si>
    <t xml:space="preserve">WA2M/00374152/3</t>
  </si>
  <si>
    <t xml:space="preserve">2p,k,alkowa,przedpokój,łazienka,wc</t>
  </si>
  <si>
    <t xml:space="preserve">WA2M/00096530/4</t>
  </si>
  <si>
    <t xml:space="preserve">1-07-08</t>
  </si>
  <si>
    <t xml:space="preserve">Gościniec</t>
  </si>
  <si>
    <t xml:space="preserve">14B</t>
  </si>
  <si>
    <t xml:space="preserve">4p, k,przedpokój</t>
  </si>
  <si>
    <t xml:space="preserve">WA2M/00447699/2</t>
  </si>
  <si>
    <t xml:space="preserve">WA2M/00278704/5</t>
  </si>
  <si>
    <t xml:space="preserve">WA2M/00498965/0</t>
  </si>
  <si>
    <t xml:space="preserve">WA2M/00446948/6</t>
  </si>
  <si>
    <t xml:space="preserve">WA2M/00499034/2</t>
  </si>
  <si>
    <t xml:space="preserve">WA2M/00480626/3</t>
  </si>
  <si>
    <t xml:space="preserve">Merliniego</t>
  </si>
  <si>
    <t xml:space="preserve">pom. Gosp 1G pow. 3,48, mp nr 213</t>
  </si>
  <si>
    <t xml:space="preserve">4p,k,ł</t>
  </si>
  <si>
    <t xml:space="preserve">WA2M/00418241/5</t>
  </si>
  <si>
    <t xml:space="preserve">33B</t>
  </si>
  <si>
    <t xml:space="preserve">mp, boks lokatorski</t>
  </si>
  <si>
    <t xml:space="preserve">2 hole, salon z aneksem, 2 p, łązienka, wc</t>
  </si>
  <si>
    <t xml:space="preserve">WA2M/00525814/6</t>
  </si>
  <si>
    <t xml:space="preserve">WA2M/00079713/6</t>
  </si>
  <si>
    <t xml:space="preserve">2p.k,przedpokój,łazoenka z wc</t>
  </si>
  <si>
    <t xml:space="preserve">WA2M/005210109/5</t>
  </si>
  <si>
    <t xml:space="preserve">WA2M/00313985/6</t>
  </si>
  <si>
    <t xml:space="preserve">pom.gosp. Nr 6 pow. 4,4m2, MPGP</t>
  </si>
  <si>
    <t xml:space="preserve">p,k,hall,łazienka</t>
  </si>
  <si>
    <t xml:space="preserve">WA2M/00486076/6</t>
  </si>
  <si>
    <t xml:space="preserve">WA2M/00070906/3</t>
  </si>
  <si>
    <t xml:space="preserve">kom. Lok. 18, pgp</t>
  </si>
  <si>
    <t xml:space="preserve">2p,pokój z aneksem, łazienka,pralnia,hall</t>
  </si>
  <si>
    <t xml:space="preserve">WA2M/00456779/3</t>
  </si>
  <si>
    <t xml:space="preserve">mpgp nr 90</t>
  </si>
  <si>
    <t xml:space="preserve">WA2M/00457526/2</t>
  </si>
  <si>
    <t xml:space="preserve">WA2M/00126860/6</t>
  </si>
  <si>
    <t xml:space="preserve">WA2M/00196128/4</t>
  </si>
  <si>
    <t xml:space="preserve">koórka lokatorska, piwnica</t>
  </si>
  <si>
    <t xml:space="preserve">WA2M/00058736/0</t>
  </si>
  <si>
    <t xml:space="preserve">WA2M/00457998/1</t>
  </si>
  <si>
    <t xml:space="preserve">mpgp nr 31, kom.lok. Nr 53</t>
  </si>
  <si>
    <t xml:space="preserve">3p, k,łazienka, przedpokój</t>
  </si>
  <si>
    <t xml:space="preserve">WA2M/00440794/9</t>
  </si>
  <si>
    <t xml:space="preserve">p,k,łazienka, garderoba</t>
  </si>
  <si>
    <t xml:space="preserve">WA2M/00441108/1</t>
  </si>
  <si>
    <t xml:space="preserve">mpgp nr 20,21</t>
  </si>
  <si>
    <t xml:space="preserve">WA2M/00511770/4</t>
  </si>
  <si>
    <t xml:space="preserve">WA2M/00388146/9</t>
  </si>
  <si>
    <t xml:space="preserve">1645</t>
  </si>
  <si>
    <t xml:space="preserve">Konstuktorska</t>
  </si>
  <si>
    <t xml:space="preserve">pokój z aneksme,łazienka,wc,hall, 2p</t>
  </si>
  <si>
    <t xml:space="preserve">WA2M/00514317/2</t>
  </si>
  <si>
    <t xml:space="preserve">1-02-03</t>
  </si>
  <si>
    <t xml:space="preserve">Olimpijska</t>
  </si>
  <si>
    <t xml:space="preserve">3p, k, wc, przedpokói</t>
  </si>
  <si>
    <t xml:space="preserve">WA2M/00145153/6</t>
  </si>
  <si>
    <t xml:space="preserve">WA2M/00124719/9</t>
  </si>
  <si>
    <t xml:space="preserve">WA2M/00508818/9</t>
  </si>
  <si>
    <t xml:space="preserve">WA2M/00114738/5</t>
  </si>
  <si>
    <t xml:space="preserve">WA2M/00352497/3</t>
  </si>
  <si>
    <t xml:space="preserve">67/69</t>
  </si>
  <si>
    <t xml:space="preserve">WA2M/00077167/9</t>
  </si>
  <si>
    <t xml:space="preserve">2p, k , ł</t>
  </si>
  <si>
    <t xml:space="preserve">WA2M/00104949/4</t>
  </si>
  <si>
    <t xml:space="preserve">Goraszewska</t>
  </si>
  <si>
    <t xml:space="preserve">WA2M/00492696/1</t>
  </si>
  <si>
    <t xml:space="preserve">WA2M/00527756/5</t>
  </si>
  <si>
    <t xml:space="preserve">pokój, wnęka kuchenna, łazienka, przedpokój</t>
  </si>
  <si>
    <t xml:space="preserve">WA2M/00445606/0</t>
  </si>
  <si>
    <t xml:space="preserve">WA2M/00410727/0</t>
  </si>
  <si>
    <t xml:space="preserve">WA2M/00197529/2</t>
  </si>
  <si>
    <t xml:space="preserve">WA2M/00112366/2</t>
  </si>
  <si>
    <t xml:space="preserve">mpgp nr 26,30</t>
  </si>
  <si>
    <t xml:space="preserve">3p,aneks,2łazienki,garderobra, przedpokój, taras o pow. 81,64, loggia 9,22</t>
  </si>
  <si>
    <t xml:space="preserve">WA2M/00445623/5</t>
  </si>
  <si>
    <t xml:space="preserve">8C</t>
  </si>
  <si>
    <t xml:space="preserve">4p,k,wc,jadalnia,2łazienki,hol,2 korytarze, garderoba</t>
  </si>
  <si>
    <t xml:space="preserve">WA2M/00433468/3</t>
  </si>
  <si>
    <t xml:space="preserve">WA2M/00436892/5</t>
  </si>
  <si>
    <t xml:space="preserve">WA2M/00229487/9</t>
  </si>
  <si>
    <t xml:space="preserve">WA2M/00048122/0</t>
  </si>
  <si>
    <t xml:space="preserve">Frederyka Joliot Curie</t>
  </si>
  <si>
    <t xml:space="preserve">pokój z aneksem, łązienka, przedpokój</t>
  </si>
  <si>
    <t xml:space="preserve">WA2M/00433968/8</t>
  </si>
  <si>
    <t xml:space="preserve">kom.lok nrB11, mpgp</t>
  </si>
  <si>
    <t xml:space="preserve">WA2M/00454715/3</t>
  </si>
  <si>
    <t xml:space="preserve">Asfatltowa</t>
  </si>
  <si>
    <t xml:space="preserve">p,aneks,wc</t>
  </si>
  <si>
    <t xml:space="preserve">WA2M/00437526/6</t>
  </si>
  <si>
    <t xml:space="preserve">WA2M/00235968/0</t>
  </si>
  <si>
    <t xml:space="preserve">Kartaginy </t>
  </si>
  <si>
    <t xml:space="preserve">WA2M/00471542/4</t>
  </si>
  <si>
    <t xml:space="preserve">WA2M/00526469/9</t>
  </si>
  <si>
    <t xml:space="preserve">24/30</t>
  </si>
  <si>
    <t xml:space="preserve">piwnica nr 24 o pow 2,98 mkw</t>
  </si>
  <si>
    <t xml:space="preserve">WA2M/00467882/8</t>
  </si>
  <si>
    <t xml:space="preserve">piwnic nr 21 o pow 2,97 mkw</t>
  </si>
  <si>
    <t xml:space="preserve">WA2M/00515255/6</t>
  </si>
  <si>
    <t xml:space="preserve">134A</t>
  </si>
  <si>
    <t xml:space="preserve">WA2M/00072913/9</t>
  </si>
  <si>
    <t xml:space="preserve">mpgp nr 98 i boks rowerowy nr B.18</t>
  </si>
  <si>
    <t xml:space="preserve">WA2M/00529353/4</t>
  </si>
  <si>
    <t xml:space="preserve">mpgp nr 47</t>
  </si>
  <si>
    <t xml:space="preserve">WA2M/00516775/4</t>
  </si>
  <si>
    <t xml:space="preserve">MPGP </t>
  </si>
  <si>
    <t xml:space="preserve">WA2M/00528721/8</t>
  </si>
  <si>
    <t xml:space="preserve">38/40</t>
  </si>
  <si>
    <t xml:space="preserve">WA2M/00051925/3</t>
  </si>
  <si>
    <t xml:space="preserve">mpgp nr 49</t>
  </si>
  <si>
    <t xml:space="preserve">3p,aneks,garderoba,ł,wc,przepdokój</t>
  </si>
  <si>
    <t xml:space="preserve">WA2M/00440032/0</t>
  </si>
  <si>
    <t xml:space="preserve">WA2M/00430753/7</t>
  </si>
  <si>
    <t xml:space="preserve">mpgp nr 53</t>
  </si>
  <si>
    <t xml:space="preserve">4p, k, ł</t>
  </si>
  <si>
    <t xml:space="preserve">WA2M/00469570/2</t>
  </si>
  <si>
    <t xml:space="preserve">kom lok nr 5 o pow 9,34 mkw, 4 balkony, taras 55,90 mkw, mpgp nr 01 i 02</t>
  </si>
  <si>
    <t xml:space="preserve">3p, ak, pd, ł, pom gosp</t>
  </si>
  <si>
    <t xml:space="preserve">WA2M/00484680/0</t>
  </si>
  <si>
    <t xml:space="preserve">mpgp nr 25</t>
  </si>
  <si>
    <t xml:space="preserve">salon z aneksem, sypialnia,łazienka, hol</t>
  </si>
  <si>
    <t xml:space="preserve">WA2M/00528850/1</t>
  </si>
  <si>
    <t xml:space="preserve">WA2M/00180185/6</t>
  </si>
  <si>
    <t xml:space="preserve">p,k,ł,przedpokók</t>
  </si>
  <si>
    <t xml:space="preserve">WA2M/00185826/7</t>
  </si>
  <si>
    <t xml:space="preserve">1-05-29</t>
  </si>
  <si>
    <t xml:space="preserve">mpgp nr G.70</t>
  </si>
  <si>
    <t xml:space="preserve">WA2M/00524198/4</t>
  </si>
  <si>
    <t xml:space="preserve">WA2M/00067847/7</t>
  </si>
  <si>
    <t xml:space="preserve">mpgp nr 5, schowek o pow 3,40 mkw</t>
  </si>
  <si>
    <t xml:space="preserve">3p, ak, ł, 2 garderoby, wc</t>
  </si>
  <si>
    <t xml:space="preserve">WA2M/00443146/3</t>
  </si>
  <si>
    <t xml:space="preserve">4 mpgp, pom gosp nr 9 o pow 6,20 mkw</t>
  </si>
  <si>
    <t xml:space="preserve">4p,k ,ł</t>
  </si>
  <si>
    <t xml:space="preserve">WA2M/00511786/9</t>
  </si>
  <si>
    <t xml:space="preserve">WA2M/00313343/4</t>
  </si>
  <si>
    <t xml:space="preserve">WA2M/00069979/5</t>
  </si>
  <si>
    <t xml:space="preserve">WA2M/00060741/5</t>
  </si>
  <si>
    <t xml:space="preserve">5285</t>
  </si>
  <si>
    <t xml:space="preserve">2p, k, ł z wc, pp</t>
  </si>
  <si>
    <t xml:space="preserve">WA2M/00081899/0</t>
  </si>
  <si>
    <t xml:space="preserve">WA2M/00191089/3</t>
  </si>
  <si>
    <t xml:space="preserve">WA2M/00466717/4</t>
  </si>
  <si>
    <t xml:space="preserve">WA2M/00498709/8</t>
  </si>
  <si>
    <t xml:space="preserve">sypialnia,kuchnia,łazienka,hall</t>
  </si>
  <si>
    <t xml:space="preserve">WA2M/00312429/4</t>
  </si>
  <si>
    <t xml:space="preserve">WA2M/00219573/6</t>
  </si>
  <si>
    <t xml:space="preserve">mpgp nr 8</t>
  </si>
  <si>
    <t xml:space="preserve">pokój z aneksem,sypialnia,hol,łazienka, gareroba, hol</t>
  </si>
  <si>
    <t xml:space="preserve">WA2M/00307718/9</t>
  </si>
  <si>
    <t xml:space="preserve">2p,aneks,łązienka,hall</t>
  </si>
  <si>
    <t xml:space="preserve">WA2M/00470654/5</t>
  </si>
  <si>
    <t xml:space="preserve">WA2M/00441293/4</t>
  </si>
  <si>
    <t xml:space="preserve">piwnica nr 27 o pow 1,63 mkw</t>
  </si>
  <si>
    <t xml:space="preserve">WA2M/00483664/2</t>
  </si>
  <si>
    <t xml:space="preserve">WA2M/00418829/1</t>
  </si>
  <si>
    <t xml:space="preserve">mpgp, kom lok nr 24 o pow 3,30 mkw</t>
  </si>
  <si>
    <t xml:space="preserve">4p,k,ł garderoba</t>
  </si>
  <si>
    <t xml:space="preserve">WA2M/00448599/8</t>
  </si>
  <si>
    <t xml:space="preserve">WA2M/00440868/9</t>
  </si>
  <si>
    <t xml:space="preserve">MPGP nr 178, kom.lokl. Nr 45 pow. 4,96</t>
  </si>
  <si>
    <t xml:space="preserve">hall,kuchnia,salon,łazienka</t>
  </si>
  <si>
    <t xml:space="preserve">WA2M/00494536/6</t>
  </si>
  <si>
    <t xml:space="preserve">kom lok o pow 3,59 mkw</t>
  </si>
  <si>
    <t xml:space="preserve">WA2M/00502290/9</t>
  </si>
  <si>
    <t xml:space="preserve">WA2M/00052728/9</t>
  </si>
  <si>
    <t xml:space="preserve">1p, k, ł, wc</t>
  </si>
  <si>
    <t xml:space="preserve">WA2M/00160559/3</t>
  </si>
  <si>
    <t xml:space="preserve">kom. Lok. Nr 72 pow. 4,04, mpgp ne 2.05</t>
  </si>
  <si>
    <t xml:space="preserve">salon z aneksem, 2 sypialnie, hall,łazienka, wc</t>
  </si>
  <si>
    <t xml:space="preserve">WA2M/00502992/0</t>
  </si>
  <si>
    <t xml:space="preserve">Kolady</t>
  </si>
  <si>
    <t xml:space="preserve">WA2M/00051320/2</t>
  </si>
  <si>
    <t xml:space="preserve">mpgp nr 4,kom lok nr 15 o pow 2,88 mkw</t>
  </si>
  <si>
    <t xml:space="preserve">3, k, 2ł, pom gosp, </t>
  </si>
  <si>
    <t xml:space="preserve">WA2M/00451222/9</t>
  </si>
  <si>
    <t xml:space="preserve">WA2M/00473595/4</t>
  </si>
  <si>
    <t xml:space="preserve">mpgp nr 162</t>
  </si>
  <si>
    <t xml:space="preserve">WA2M/00450118/0</t>
  </si>
  <si>
    <t xml:space="preserve">WA2M/00117579/3</t>
  </si>
  <si>
    <t xml:space="preserve">WA2M/00519100/3</t>
  </si>
  <si>
    <t xml:space="preserve">26/28</t>
  </si>
  <si>
    <t xml:space="preserve">WA2M/00062661/4</t>
  </si>
  <si>
    <t xml:space="preserve">WA2M/00125733/0</t>
  </si>
  <si>
    <t xml:space="preserve">mpgp nr D45</t>
  </si>
  <si>
    <t xml:space="preserve">WA2M/00451175/4</t>
  </si>
  <si>
    <t xml:space="preserve">WA2M/00518729/1</t>
  </si>
  <si>
    <t xml:space="preserve">1p,k, ł, wc</t>
  </si>
  <si>
    <t xml:space="preserve">WA2M/00196370/5</t>
  </si>
  <si>
    <t xml:space="preserve">WA2M/00047782/7</t>
  </si>
  <si>
    <t xml:space="preserve">współwłasność</t>
  </si>
  <si>
    <t xml:space="preserve">WA2M/00127625/4</t>
  </si>
  <si>
    <t xml:space="preserve">WA2M/00061504/9</t>
  </si>
  <si>
    <t xml:space="preserve">WA2M/00327130/9</t>
  </si>
  <si>
    <t xml:space="preserve">ak, k,ł </t>
  </si>
  <si>
    <t xml:space="preserve">WA2M/00521317/4</t>
  </si>
  <si>
    <t xml:space="preserve">WA2M/00520663/7</t>
  </si>
  <si>
    <t xml:space="preserve">Maławskiego</t>
  </si>
  <si>
    <t xml:space="preserve">piwnica 76 o pow 0,98 mkw</t>
  </si>
  <si>
    <t xml:space="preserve">WA2M/00489456/3</t>
  </si>
  <si>
    <t xml:space="preserve">pom gosp 3K/G19 o pow 5,81 mkw, taraso pow 4.70 mkw, ogródek o pow 14,30 mkw, </t>
  </si>
  <si>
    <t xml:space="preserve">1p, ak, ł, garderoba</t>
  </si>
  <si>
    <t xml:space="preserve">WA2M/00502937/7</t>
  </si>
  <si>
    <t xml:space="preserve">WA2M/00334460/3</t>
  </si>
  <si>
    <t xml:space="preserve">WA2M/00170727/5</t>
  </si>
  <si>
    <t xml:space="preserve">WA2M/00053715/2</t>
  </si>
  <si>
    <t xml:space="preserve">33C</t>
  </si>
  <si>
    <t xml:space="preserve">WA2M/00517654/7</t>
  </si>
  <si>
    <t xml:space="preserve">kom lok</t>
  </si>
  <si>
    <t xml:space="preserve">WA2M/00495664/9</t>
  </si>
  <si>
    <t xml:space="preserve">kom lok, mpgp nr 24 oraz 116</t>
  </si>
  <si>
    <t xml:space="preserve">s, 2p, k, ł, wc</t>
  </si>
  <si>
    <t xml:space="preserve">WA2M/00492995/7</t>
  </si>
  <si>
    <t xml:space="preserve">mpgp nr 225, pom gosp nr 57</t>
  </si>
  <si>
    <t xml:space="preserve">WA2M/00471862/3</t>
  </si>
  <si>
    <t xml:space="preserve">WA2M/00467268/8</t>
  </si>
  <si>
    <t xml:space="preserve">piwnica nr 7 o pow 9,73 mkw</t>
  </si>
  <si>
    <t xml:space="preserve">WA2M/00122064/8</t>
  </si>
  <si>
    <t xml:space="preserve">3p, k ł</t>
  </si>
  <si>
    <t xml:space="preserve">WA2M/00085866/8</t>
  </si>
  <si>
    <t xml:space="preserve">WA2M/00436110/0</t>
  </si>
  <si>
    <t xml:space="preserve">WA2M/00529018/4</t>
  </si>
  <si>
    <t xml:space="preserve">2p,k, ł , ogród zimowy</t>
  </si>
  <si>
    <t xml:space="preserve">WA2M/00449905/4</t>
  </si>
  <si>
    <t xml:space="preserve">2 pom pomocnicze</t>
  </si>
  <si>
    <t xml:space="preserve">4p, k, 2 ł, wc</t>
  </si>
  <si>
    <t xml:space="preserve">WA2M/00388427/3</t>
  </si>
  <si>
    <t xml:space="preserve">WA2M/00046269/8</t>
  </si>
  <si>
    <t xml:space="preserve">piwnica nr 123 o pow 1,40 mkw</t>
  </si>
  <si>
    <t xml:space="preserve">1-06-19</t>
  </si>
  <si>
    <t xml:space="preserve">Zaściankowa</t>
  </si>
  <si>
    <t xml:space="preserve">kom lok nr 7</t>
  </si>
  <si>
    <t xml:space="preserve">3p, k, 2 ł, jadalnia, pom tech</t>
  </si>
  <si>
    <t xml:space="preserve">WA2M/00490230/3</t>
  </si>
  <si>
    <t xml:space="preserve">udział w drodze wew za 1000 zł</t>
  </si>
  <si>
    <t xml:space="preserve">WA2M/00221148/5</t>
  </si>
  <si>
    <t xml:space="preserve">10623</t>
  </si>
  <si>
    <t xml:space="preserve">mpgp nr 67G, loggia, pom gosp nr KL/A/4 i KL/B/10</t>
  </si>
  <si>
    <t xml:space="preserve">WA2M/00528890/3</t>
  </si>
  <si>
    <t xml:space="preserve">WA2M/00464911/0</t>
  </si>
  <si>
    <t xml:space="preserve">mpgp nr 42</t>
  </si>
  <si>
    <t xml:space="preserve">3p, k, 2ł, garderoba</t>
  </si>
  <si>
    <t xml:space="preserve">WA2M/00449493/2</t>
  </si>
  <si>
    <t xml:space="preserve">Fryderyka Joliot-Curie</t>
  </si>
  <si>
    <t xml:space="preserve">piwnica nr 1</t>
  </si>
  <si>
    <t xml:space="preserve">WA2M/00486675/3</t>
  </si>
  <si>
    <t xml:space="preserve">Piaseczyńkska</t>
  </si>
  <si>
    <t xml:space="preserve">kom lok nr 7 o pow 3,41 mkw</t>
  </si>
  <si>
    <t xml:space="preserve">WA2M/00519107/2</t>
  </si>
  <si>
    <t xml:space="preserve">piwnica nr 3 o pow 2,70 mkw</t>
  </si>
  <si>
    <t xml:space="preserve">WA2M/00527017/3</t>
  </si>
  <si>
    <t xml:space="preserve">3p,k, ł</t>
  </si>
  <si>
    <t xml:space="preserve">WA2M/00214459/6</t>
  </si>
  <si>
    <t xml:space="preserve">Włoska</t>
  </si>
  <si>
    <t xml:space="preserve">5p k, ł</t>
  </si>
  <si>
    <t xml:space="preserve">WA2M/00049611/2</t>
  </si>
  <si>
    <t xml:space="preserve">taras, kom lok, mpgp</t>
  </si>
  <si>
    <t xml:space="preserve">3p, k, 2ł, wc</t>
  </si>
  <si>
    <t xml:space="preserve">WA2M/00417856/2</t>
  </si>
  <si>
    <t xml:space="preserve">mpgp nr 55, pom gosp G/36 o pow 3,50 mkw</t>
  </si>
  <si>
    <t xml:space="preserve">1p, ak, ł, wnęka na szafę</t>
  </si>
  <si>
    <t xml:space="preserve">WA2M/00525638/8</t>
  </si>
  <si>
    <t xml:space="preserve">WA2M/00326972/6</t>
  </si>
  <si>
    <t xml:space="preserve">piwnica nr 33 o pow 3,30 mkw</t>
  </si>
  <si>
    <t xml:space="preserve">WA2M/00050268/2</t>
  </si>
  <si>
    <t xml:space="preserve">3p, k, ł, służbówka, alkowa, </t>
  </si>
  <si>
    <t xml:space="preserve">WA2M/00070900/1</t>
  </si>
  <si>
    <t xml:space="preserve">Al.. Wyścigowa</t>
  </si>
  <si>
    <t xml:space="preserve">WA2M/00498242/6</t>
  </si>
  <si>
    <t xml:space="preserve">Balonowa</t>
  </si>
  <si>
    <t xml:space="preserve">4p, ł (sprzedaż i darowizna)</t>
  </si>
  <si>
    <t xml:space="preserve">WA2M/00034800/6</t>
  </si>
  <si>
    <t xml:space="preserve">WA2M/00477552/9</t>
  </si>
  <si>
    <t xml:space="preserve">piwnica o pow 1,95 mkw, lok do generalnego remontu</t>
  </si>
  <si>
    <t xml:space="preserve">WA2M/00451514/3</t>
  </si>
  <si>
    <t xml:space="preserve">WA2M/00320347/4</t>
  </si>
  <si>
    <t xml:space="preserve">WA2M/00434835/4</t>
  </si>
  <si>
    <t xml:space="preserve">mpgp nr 72</t>
  </si>
  <si>
    <t xml:space="preserve">WA2M/00455664/7</t>
  </si>
  <si>
    <t xml:space="preserve">WA2M/00457324/6</t>
  </si>
  <si>
    <t xml:space="preserve">WA2M/00469831/0</t>
  </si>
  <si>
    <t xml:space="preserve">4p, k, koryt, hall, ł, wc i magazyn gospo., piwnica</t>
  </si>
  <si>
    <t xml:space="preserve">WA2M/00482605/4</t>
  </si>
  <si>
    <t xml:space="preserve">WA2M/00491459/1</t>
  </si>
  <si>
    <t xml:space="preserve">3p, ak, 3ł, garderoba</t>
  </si>
  <si>
    <t xml:space="preserve">WA2M/00489692/9</t>
  </si>
  <si>
    <t xml:space="preserve">WA2M/00069056/9</t>
  </si>
  <si>
    <t xml:space="preserve">mpgp nr 219, kom lok nr 125 o pow 3,88 mkw</t>
  </si>
  <si>
    <t xml:space="preserve">WA2M/00508233/4</t>
  </si>
  <si>
    <t xml:space="preserve">piwnica nr 80</t>
  </si>
  <si>
    <t xml:space="preserve">WA2M/00207256/1</t>
  </si>
  <si>
    <t xml:space="preserve">Boryszewska</t>
  </si>
  <si>
    <t xml:space="preserve">piwnica nr 6 o pow 3,01 mkw</t>
  </si>
  <si>
    <t xml:space="preserve">WA2M/00502511/5</t>
  </si>
  <si>
    <t xml:space="preserve">2/3</t>
  </si>
  <si>
    <t xml:space="preserve">WA2M/00374418/6</t>
  </si>
  <si>
    <t xml:space="preserve">WA2M/00456359/3</t>
  </si>
  <si>
    <t xml:space="preserve">WA2M/00110635/5</t>
  </si>
  <si>
    <t xml:space="preserve">WA2M/00183475/7</t>
  </si>
  <si>
    <t xml:space="preserve">mpgp nr 17 piwnica nr 0-111-6</t>
  </si>
  <si>
    <t xml:space="preserve">WA2M/00507916/9</t>
  </si>
  <si>
    <t xml:space="preserve">Rabindranatha Tagore</t>
  </si>
  <si>
    <t xml:space="preserve">WA2M/00071783/8</t>
  </si>
  <si>
    <t xml:space="preserve">WA2M/00458791/7</t>
  </si>
  <si>
    <t xml:space="preserve">3847</t>
  </si>
  <si>
    <t xml:space="preserve">2p, k, pp, ł, sprzedaż udziału 9111/10000</t>
  </si>
  <si>
    <t xml:space="preserve">WA2M/00086294/4</t>
  </si>
  <si>
    <t xml:space="preserve">WA2M/00071470/4</t>
  </si>
  <si>
    <t xml:space="preserve">WA2M/00447468/4</t>
  </si>
  <si>
    <t xml:space="preserve">5428</t>
  </si>
  <si>
    <t xml:space="preserve">pom. Gosp . Pow. 80,98m2, mpgp nr 58</t>
  </si>
  <si>
    <t xml:space="preserve">WA2M/00445691/2</t>
  </si>
  <si>
    <t xml:space="preserve">KOM.LOK. NR 26POW. 3,59m2</t>
  </si>
  <si>
    <t xml:space="preserve">salon,kuchnia,2sypialnie,hall,łazienka</t>
  </si>
  <si>
    <t xml:space="preserve">WA2M/00502989/6</t>
  </si>
  <si>
    <t xml:space="preserve">23564</t>
  </si>
  <si>
    <t xml:space="preserve">123</t>
  </si>
  <si>
    <t xml:space="preserve">2p, k, ł z wc, pp, kom. Lok. o pow. 1,10 m2, łączna pow. 48,90</t>
  </si>
  <si>
    <t xml:space="preserve">WA2M/00464405/0</t>
  </si>
  <si>
    <t xml:space="preserve">WA2M/00216762/7</t>
  </si>
  <si>
    <t xml:space="preserve">mp nr 20 i 21 (platforma)</t>
  </si>
  <si>
    <t xml:space="preserve">4p, k, ł, wc z pralnią, garderboa, hall, sprzedaż 1/2 udziału</t>
  </si>
  <si>
    <t xml:space="preserve">WA2M/00499477/9</t>
  </si>
  <si>
    <t xml:space="preserve">12221</t>
  </si>
  <si>
    <t xml:space="preserve">2p, ł, wc, k, garderoba, komunikacja, piwnica o pow. 3,42 m2, łączna pow. 77,85 m2</t>
  </si>
  <si>
    <t xml:space="preserve">WA2M/00509569/5</t>
  </si>
  <si>
    <t xml:space="preserve">pokój,kuchnia,przedpokój,łazienka</t>
  </si>
  <si>
    <t xml:space="preserve">WA2M/00117108/1</t>
  </si>
  <si>
    <t xml:space="preserve">5662</t>
  </si>
  <si>
    <t xml:space="preserve">Łowicka </t>
  </si>
  <si>
    <t xml:space="preserve">WA2M/00112031/5</t>
  </si>
  <si>
    <t xml:space="preserve">12530</t>
  </si>
  <si>
    <t xml:space="preserve">I1</t>
  </si>
  <si>
    <t xml:space="preserve">-1</t>
  </si>
  <si>
    <t xml:space="preserve">PIWNICA nr 5 pow. 12,51m2, mp nr 67,96</t>
  </si>
  <si>
    <t xml:space="preserve">salon z aneksem kuchennym,4 pokoje,pomieszczenia kina domowego,garderoba,2łazienki,2wc,2halle przynależna jest piwnica na 5 pow. 12,51m2. Lokal usytuowany na -1 kondygnacji budynku</t>
  </si>
  <si>
    <t xml:space="preserve">WA2M/00458248/6</t>
  </si>
  <si>
    <t xml:space="preserve">6654</t>
  </si>
  <si>
    <t xml:space="preserve">75/77</t>
  </si>
  <si>
    <t xml:space="preserve">mpgp nr 5 pow. 11,25m2</t>
  </si>
  <si>
    <t xml:space="preserve">5p,k,2ł,garderoba,pralnia,wc,hall + taras pow. 12,7m2</t>
  </si>
  <si>
    <t xml:space="preserve">WA2M/00209340/1</t>
  </si>
  <si>
    <t xml:space="preserve">6646</t>
  </si>
  <si>
    <t xml:space="preserve">121</t>
  </si>
  <si>
    <t xml:space="preserve">mpgp nr 211 pow. 13,5</t>
  </si>
  <si>
    <t xml:space="preserve">p,k,ł,wc,hall</t>
  </si>
  <si>
    <t xml:space="preserve">WA2M/00279750/9</t>
  </si>
  <si>
    <t xml:space="preserve">12627</t>
  </si>
  <si>
    <t xml:space="preserve">WA2M/00077155/2</t>
  </si>
  <si>
    <t xml:space="preserve">12788</t>
  </si>
  <si>
    <t xml:space="preserve">mpgp nr 41</t>
  </si>
  <si>
    <t xml:space="preserve">pokój z aneksem,pokój,łazienka, przedpokój+BALKON POW. 5,12m2</t>
  </si>
  <si>
    <t xml:space="preserve">WA2M/00526806/4</t>
  </si>
  <si>
    <t xml:space="preserve">WA2M/00231181/1</t>
  </si>
  <si>
    <t xml:space="preserve">1222</t>
  </si>
  <si>
    <t xml:space="preserve">mp nr 36 i 137</t>
  </si>
  <si>
    <t xml:space="preserve">2p, ak, ł, hall, mp udział</t>
  </si>
  <si>
    <t xml:space="preserve">WA2M/00467285/3</t>
  </si>
  <si>
    <t xml:space="preserve">12486</t>
  </si>
  <si>
    <t xml:space="preserve">2 balkony</t>
  </si>
  <si>
    <t xml:space="preserve">pokój, pokój z aneksem,garderoba,łazienka,korytarz</t>
  </si>
  <si>
    <t xml:space="preserve">WA2M/00478901/8</t>
  </si>
  <si>
    <t xml:space="preserve">8189</t>
  </si>
  <si>
    <t xml:space="preserve">3b</t>
  </si>
  <si>
    <t xml:space="preserve">salon,kuchnia,2p,hol,łazienka,wc</t>
  </si>
  <si>
    <t xml:space="preserve">WA2M/00506922/7</t>
  </si>
  <si>
    <t xml:space="preserve">6726</t>
  </si>
  <si>
    <t xml:space="preserve">mpgp nr 75</t>
  </si>
  <si>
    <t xml:space="preserve">2p,aneks,hol,łazienka</t>
  </si>
  <si>
    <t xml:space="preserve">WA2M/00468171/8</t>
  </si>
  <si>
    <t xml:space="preserve">14319</t>
  </si>
  <si>
    <t xml:space="preserve">97</t>
  </si>
  <si>
    <t xml:space="preserve">mpgp nr 187 oraz schowek nr 19</t>
  </si>
  <si>
    <t xml:space="preserve">sypialnia, kuchnia,łazienka, hol</t>
  </si>
  <si>
    <t xml:space="preserve">WA2M/00512657/3</t>
  </si>
  <si>
    <t xml:space="preserve">5336</t>
  </si>
  <si>
    <t xml:space="preserve">2p, k, h, ł</t>
  </si>
  <si>
    <t xml:space="preserve">WA2M/00497387/7</t>
  </si>
  <si>
    <t xml:space="preserve">6294</t>
  </si>
  <si>
    <t xml:space="preserve">Orzycka </t>
  </si>
  <si>
    <t xml:space="preserve">pokój,pokój z aneksem,hall,łazienka z wc</t>
  </si>
  <si>
    <t xml:space="preserve">WA2M/00372271/9</t>
  </si>
  <si>
    <t xml:space="preserve">6705</t>
  </si>
  <si>
    <t xml:space="preserve">mp nr 20</t>
  </si>
  <si>
    <t xml:space="preserve">pokój z aneksem,2p,łazienka,wc,hall</t>
  </si>
  <si>
    <t xml:space="preserve">WA2M/00490244/4</t>
  </si>
  <si>
    <t xml:space="preserve">233</t>
  </si>
  <si>
    <t xml:space="preserve">mpgp nr 26 oraz 27</t>
  </si>
  <si>
    <t xml:space="preserve">pokój,kuchnia,2pokoje,łazienka,wc,hall</t>
  </si>
  <si>
    <t xml:space="preserve">WA2M/00448304/4</t>
  </si>
  <si>
    <t xml:space="preserve">5759</t>
  </si>
  <si>
    <t xml:space="preserve">WA2M/00296027/7</t>
  </si>
  <si>
    <t xml:space="preserve">pokój,kuchnia,łazienka z wc,przedpokój</t>
  </si>
  <si>
    <t xml:space="preserve">WA2M/00231184/2</t>
  </si>
  <si>
    <t xml:space="preserve">5537</t>
  </si>
  <si>
    <t xml:space="preserve">WA2M/00374644/9</t>
  </si>
  <si>
    <t xml:space="preserve">WA2M/00170433/7</t>
  </si>
  <si>
    <t xml:space="preserve">1-04-13</t>
  </si>
  <si>
    <t xml:space="preserve">Szturmowa</t>
  </si>
  <si>
    <t xml:space="preserve">4p, k, gard, pp, ł, wc pom. przynn. O pow. 2,70 m2, łaczna pow. 94,18 m2</t>
  </si>
  <si>
    <t xml:space="preserve">WA2M/00464935/4</t>
  </si>
  <si>
    <t xml:space="preserve">380</t>
  </si>
  <si>
    <t xml:space="preserve">5p, jadalnia, k, 2ł, wc, 2 garderoby, pp, kom. Lok. </t>
  </si>
  <si>
    <t xml:space="preserve">WA2M/00449589/2</t>
  </si>
  <si>
    <t xml:space="preserve">55A</t>
  </si>
  <si>
    <t xml:space="preserve">mp nr 128</t>
  </si>
  <si>
    <t xml:space="preserve">2p, ak, ł z wc, pp, mp</t>
  </si>
  <si>
    <t xml:space="preserve">WA2M/00526236/7</t>
  </si>
  <si>
    <t xml:space="preserve">1537</t>
  </si>
  <si>
    <t xml:space="preserve">P,K,ł,przedpokój</t>
  </si>
  <si>
    <t xml:space="preserve">WA2M/00083253/4</t>
  </si>
  <si>
    <t xml:space="preserve">WA2M/00051585/7</t>
  </si>
  <si>
    <t xml:space="preserve">WA2M/00133252/3</t>
  </si>
  <si>
    <t xml:space="preserve">7012</t>
  </si>
  <si>
    <t xml:space="preserve">WA2M/00040135/8</t>
  </si>
  <si>
    <t xml:space="preserve">5774</t>
  </si>
  <si>
    <t xml:space="preserve">WA2M/00196519/2</t>
  </si>
  <si>
    <t xml:space="preserve">7151</t>
  </si>
  <si>
    <t xml:space="preserve">1-01-01</t>
  </si>
  <si>
    <t xml:space="preserve">22C</t>
  </si>
  <si>
    <t xml:space="preserve">WA2M/00434762/1</t>
  </si>
  <si>
    <t xml:space="preserve">WA2M/00411527/5</t>
  </si>
  <si>
    <t xml:space="preserve">kupuje spółka</t>
  </si>
  <si>
    <t xml:space="preserve">WA2M/00091885/2</t>
  </si>
  <si>
    <t xml:space="preserve">4460</t>
  </si>
  <si>
    <t xml:space="preserve">WA2M/00468889/4</t>
  </si>
  <si>
    <t xml:space="preserve">13299</t>
  </si>
  <si>
    <t xml:space="preserve">POM.GOSP. Kl/24 POW. 2,4M2, mpgp nr 129g</t>
  </si>
  <si>
    <t xml:space="preserve">salon, łazienka,hol, anseks</t>
  </si>
  <si>
    <t xml:space="preserve">WA2M/05291010/3</t>
  </si>
  <si>
    <t xml:space="preserve">4532</t>
  </si>
  <si>
    <t xml:space="preserve">2p,aneks,ł,hol</t>
  </si>
  <si>
    <t xml:space="preserve">WA2M/00526840/4</t>
  </si>
  <si>
    <t xml:space="preserve">3017</t>
  </si>
  <si>
    <t xml:space="preserve">WA2M/00352667/6</t>
  </si>
  <si>
    <t xml:space="preserve">8313</t>
  </si>
  <si>
    <t xml:space="preserve">2p,k,ł,przedpokoju</t>
  </si>
  <si>
    <t xml:space="preserve">WA2M/00374648/7</t>
  </si>
  <si>
    <t xml:space="preserve">4591</t>
  </si>
  <si>
    <t xml:space="preserve">WA2M/00221851/6</t>
  </si>
  <si>
    <t xml:space="preserve">1p, k, ł, pp</t>
  </si>
  <si>
    <t xml:space="preserve">WA2M/00041173/7</t>
  </si>
  <si>
    <t xml:space="preserve">2509</t>
  </si>
  <si>
    <t xml:space="preserve">2p, k, pp, ł + 185 000 zł darowizny za mieszkanie</t>
  </si>
  <si>
    <t xml:space="preserve">WA2M/00105273/1</t>
  </si>
  <si>
    <t xml:space="preserve">1778</t>
  </si>
  <si>
    <t xml:space="preserve">1p, pp, k, ł z wc</t>
  </si>
  <si>
    <t xml:space="preserve">WA2M/00158534/5</t>
  </si>
  <si>
    <t xml:space="preserve">22510</t>
  </si>
  <si>
    <t xml:space="preserve">401</t>
  </si>
  <si>
    <t xml:space="preserve">3p, k, ł, wc, pp, kom. Lok o pow. 1,60 m2, łaczna pow. 57,20 m2</t>
  </si>
  <si>
    <t xml:space="preserve">WA2M/00460770/1</t>
  </si>
  <si>
    <t xml:space="preserve">13139</t>
  </si>
  <si>
    <t xml:space="preserve">2p, k, pp, ł z wc</t>
  </si>
  <si>
    <t xml:space="preserve">WA2M/00153995/9</t>
  </si>
  <si>
    <t xml:space="preserve">WA2M/00095427/2</t>
  </si>
  <si>
    <t xml:space="preserve">4308</t>
  </si>
  <si>
    <t xml:space="preserve">11H</t>
  </si>
  <si>
    <t xml:space="preserve">pokój, 2p,sypialnia,k,przedpokój, korytarz,schowek,łazienka</t>
  </si>
  <si>
    <t xml:space="preserve">WA2M/00464471/3</t>
  </si>
  <si>
    <t xml:space="preserve">5586</t>
  </si>
  <si>
    <t xml:space="preserve">WA2M/00115560/3</t>
  </si>
  <si>
    <t xml:space="preserve">115euro</t>
  </si>
  <si>
    <t xml:space="preserve">3p,kuchnia,łazienka,wc,2garderoby,pralnia,2przedpokoje</t>
  </si>
  <si>
    <t xml:space="preserve">WA2M/00354650/8</t>
  </si>
  <si>
    <t xml:space="preserve">Grupa AK "Północ"</t>
  </si>
  <si>
    <t xml:space="preserve">mpgp nr 3</t>
  </si>
  <si>
    <t xml:space="preserve">WA2M/00488890/0</t>
  </si>
  <si>
    <t xml:space="preserve">28/29</t>
  </si>
  <si>
    <t xml:space="preserve">WA2M/00114728/2</t>
  </si>
  <si>
    <t xml:space="preserve">mpgp mpgp nr 42 </t>
  </si>
  <si>
    <t xml:space="preserve">salon, pokój,kuchnia,hall,łazienka</t>
  </si>
  <si>
    <t xml:space="preserve">WA2M/00461156/8</t>
  </si>
  <si>
    <t xml:space="preserve">3p,hall,kuchnia,łazienka,wc</t>
  </si>
  <si>
    <t xml:space="preserve">BRAK WK </t>
  </si>
  <si>
    <t xml:space="preserve">9700</t>
  </si>
  <si>
    <t xml:space="preserve">WA2M/00476320/7</t>
  </si>
  <si>
    <t xml:space="preserve">41/43</t>
  </si>
  <si>
    <t xml:space="preserve">WA2M/00165276/0</t>
  </si>
  <si>
    <t xml:space="preserve">2626</t>
  </si>
  <si>
    <t xml:space="preserve">p,ł,przedpokój</t>
  </si>
  <si>
    <t xml:space="preserve">WA2M/00195942/9</t>
  </si>
  <si>
    <t xml:space="preserve">7138</t>
  </si>
  <si>
    <t xml:space="preserve">mpgp nr 323 pow.13,1m2</t>
  </si>
  <si>
    <t xml:space="preserve">2p,k,ł,wc,hall,garderoba</t>
  </si>
  <si>
    <t xml:space="preserve">WA2M/00224421/4</t>
  </si>
  <si>
    <t xml:space="preserve">12835</t>
  </si>
  <si>
    <t xml:space="preserve">366A</t>
  </si>
  <si>
    <t xml:space="preserve">mp nr 7</t>
  </si>
  <si>
    <t xml:space="preserve">4p, k, ł, garderoba, wc, hall, balkon pow. 6,72 m2, taras pow. 38,44 m2, mp udział</t>
  </si>
  <si>
    <t xml:space="preserve">WA2M/00432915/5</t>
  </si>
  <si>
    <t xml:space="preserve">12827</t>
  </si>
  <si>
    <t xml:space="preserve">3p, k, ł,pp</t>
  </si>
  <si>
    <t xml:space="preserve">WA2M/00137470/5</t>
  </si>
  <si>
    <t xml:space="preserve">MPGP NR 2 I 25</t>
  </si>
  <si>
    <t xml:space="preserve">4p,2ł,kuchnia,hll,wc,garderoba</t>
  </si>
  <si>
    <t xml:space="preserve">WA2M/00443161/4</t>
  </si>
  <si>
    <t xml:space="preserve">6927</t>
  </si>
  <si>
    <t xml:space="preserve">WA2M/00295259/5</t>
  </si>
  <si>
    <t xml:space="preserve">364B</t>
  </si>
  <si>
    <t xml:space="preserve">mpgp nr B1</t>
  </si>
  <si>
    <t xml:space="preserve">pokój,kuchnia,sypialnia,łazienka,przedpokój,przesionek</t>
  </si>
  <si>
    <t xml:space="preserve">WA2M/00524647/7</t>
  </si>
  <si>
    <t xml:space="preserve">11260</t>
  </si>
  <si>
    <t xml:space="preserve">3p,ogrodu zimowego,przedpokój,łazienka</t>
  </si>
  <si>
    <t xml:space="preserve">WA2M/00454156/6</t>
  </si>
  <si>
    <t xml:space="preserve">3280</t>
  </si>
  <si>
    <t xml:space="preserve">kom.lok. 223, MPGP NR  53,54</t>
  </si>
  <si>
    <t xml:space="preserve">WA2M/00501870/2</t>
  </si>
  <si>
    <t xml:space="preserve">5178</t>
  </si>
  <si>
    <t xml:space="preserve">6090</t>
  </si>
  <si>
    <t xml:space="preserve">395</t>
  </si>
  <si>
    <t xml:space="preserve">3p, k, ł, wc, hall, pom. przyn. Nr 395</t>
  </si>
  <si>
    <t xml:space="preserve">WA2M/00474564/5</t>
  </si>
  <si>
    <t xml:space="preserve">6099</t>
  </si>
  <si>
    <t xml:space="preserve">WA2M/00084611/9</t>
  </si>
  <si>
    <t xml:space="preserve">3139</t>
  </si>
  <si>
    <t xml:space="preserve">2p, k, pp, ł, pwinica</t>
  </si>
  <si>
    <t xml:space="preserve">WA2M/00102222/8</t>
  </si>
  <si>
    <t xml:space="preserve">4354</t>
  </si>
  <si>
    <t xml:space="preserve">mp nr 129</t>
  </si>
  <si>
    <t xml:space="preserve">2p, k, ł z wc, hol, mp udział</t>
  </si>
  <si>
    <t xml:space="preserve">WA2M/00528525/4</t>
  </si>
  <si>
    <t xml:space="preserve">mp nr H19</t>
  </si>
  <si>
    <t xml:space="preserve">3p, k, ł, wc, hall, mp udział</t>
  </si>
  <si>
    <t xml:space="preserve">WA2M/00459680/3</t>
  </si>
  <si>
    <t xml:space="preserve">11959</t>
  </si>
  <si>
    <t xml:space="preserve">Capri</t>
  </si>
  <si>
    <t xml:space="preserve">WA2M/00462439/3</t>
  </si>
  <si>
    <t xml:space="preserve">3928</t>
  </si>
  <si>
    <t xml:space="preserve">2p, pp, k, ł, sprzedaż 1/2 udziału</t>
  </si>
  <si>
    <t xml:space="preserve">WA2M/00469161/2</t>
  </si>
  <si>
    <t xml:space="preserve">5866</t>
  </si>
  <si>
    <t xml:space="preserve">2p,aneks,hall,łazienka z wc</t>
  </si>
  <si>
    <t xml:space="preserve">WA2M/00476683/9</t>
  </si>
  <si>
    <t xml:space="preserve">6230</t>
  </si>
  <si>
    <t xml:space="preserve">mp nr 8</t>
  </si>
  <si>
    <t xml:space="preserve">4p, salon z jadalnią, k, 2 ł, wc, komunik, hall, 2 balkony, mp, sprzedaż 3/10 udziału, transakcja w rodzinie</t>
  </si>
  <si>
    <t xml:space="preserve">WA2M/00529286/3</t>
  </si>
  <si>
    <t xml:space="preserve">1p, k, ł z wc, pp</t>
  </si>
  <si>
    <t xml:space="preserve">WA2M/00437113/8</t>
  </si>
  <si>
    <t xml:space="preserve">342</t>
  </si>
  <si>
    <t xml:space="preserve">3p, ak, schowek, ł, wc, hall</t>
  </si>
  <si>
    <t xml:space="preserve">WA2M.00446107/9</t>
  </si>
  <si>
    <t xml:space="preserve">sprzedaje spółka</t>
  </si>
  <si>
    <t xml:space="preserve">WA2M/00505490/2</t>
  </si>
  <si>
    <t xml:space="preserve">1421</t>
  </si>
  <si>
    <t xml:space="preserve">kom. Lok. Nr 142, mpgp nr 227</t>
  </si>
  <si>
    <t xml:space="preserve">pokój, aneks, łazienka, hall</t>
  </si>
  <si>
    <t xml:space="preserve">WA2M/00467673/0</t>
  </si>
  <si>
    <t xml:space="preserve">pom. Gopos.</t>
  </si>
  <si>
    <t xml:space="preserve">WA2M/00454118/8</t>
  </si>
  <si>
    <t xml:space="preserve">Karłowicza</t>
  </si>
  <si>
    <t xml:space="preserve">4p, k, ł, wc, pom. gosp, pp, korytarz, pom. przyn. O pow. 13,77 m2, łączna pow. 111,97 m2</t>
  </si>
  <si>
    <t xml:space="preserve">WA2M/00506830/5</t>
  </si>
  <si>
    <t xml:space="preserve">6144</t>
  </si>
  <si>
    <t xml:space="preserve">WA2M/00159869/8</t>
  </si>
  <si>
    <t xml:space="preserve">Gruszczyńskiego</t>
  </si>
  <si>
    <t xml:space="preserve">WA2M/00055674/6</t>
  </si>
  <si>
    <t xml:space="preserve">4962</t>
  </si>
  <si>
    <t xml:space="preserve">801</t>
  </si>
  <si>
    <t xml:space="preserve">garderoba, 2p, k, hol, ł, wc, loggia 23,80 m2</t>
  </si>
  <si>
    <t xml:space="preserve">WA2M/00505498/8</t>
  </si>
  <si>
    <t xml:space="preserve">sprzedaje Spółka Spółce, cena brutto</t>
  </si>
  <si>
    <t xml:space="preserve">802</t>
  </si>
  <si>
    <t xml:space="preserve">garderoba, 2p, k, hol, ł, wc, loggia 23,80 m3, taras 18,50 m2</t>
  </si>
  <si>
    <t xml:space="preserve">WA2M/00505499/5</t>
  </si>
  <si>
    <t xml:space="preserve">803</t>
  </si>
  <si>
    <t xml:space="preserve">garderoba, 2p, k, hol, ł, loggia 11,70 m2</t>
  </si>
  <si>
    <t xml:space="preserve">WA2M/00505500/6</t>
  </si>
  <si>
    <t xml:space="preserve">11412</t>
  </si>
  <si>
    <t xml:space="preserve">mpgp 143, 29</t>
  </si>
  <si>
    <t xml:space="preserve">3p,k,ł,hall,wc</t>
  </si>
  <si>
    <t xml:space="preserve">WA2M/00496390/4</t>
  </si>
  <si>
    <t xml:space="preserve">mp nr 5</t>
  </si>
  <si>
    <t xml:space="preserve">2p, k, pp, ł, piwnica o pow. 3,60 m2, mp udział</t>
  </si>
  <si>
    <t xml:space="preserve">WA2M/00418140/7</t>
  </si>
  <si>
    <t xml:space="preserve">brak stron AN z ceną</t>
  </si>
  <si>
    <t xml:space="preserve">19731</t>
  </si>
  <si>
    <t xml:space="preserve">3p, k, pp, ł, piwnica nr 54</t>
  </si>
  <si>
    <t xml:space="preserve">WA2M/00453708/4</t>
  </si>
  <si>
    <t xml:space="preserve">6273</t>
  </si>
  <si>
    <t xml:space="preserve">50/52</t>
  </si>
  <si>
    <t xml:space="preserve">3p, k, pp, ł, wc, hall, koryt, pwinica</t>
  </si>
  <si>
    <t xml:space="preserve">WA2M/00072767/0</t>
  </si>
  <si>
    <t xml:space="preserve">4924</t>
  </si>
  <si>
    <t xml:space="preserve">mp nr 190C</t>
  </si>
  <si>
    <t xml:space="preserve">2p, ak, hall, ł, garderoba, pom. gosp. nr 19 o pow. 3,31 m2, łaczna pow. 50,77 m2, mp udział</t>
  </si>
  <si>
    <t xml:space="preserve">WA2N/00474136/6</t>
  </si>
  <si>
    <t xml:space="preserve">WA2M/00120757/9</t>
  </si>
  <si>
    <t xml:space="preserve">2p, k, pp, ł, wc </t>
  </si>
  <si>
    <t xml:space="preserve">Wa2M/00453902/4</t>
  </si>
  <si>
    <t xml:space="preserve">WA2M/00340122/7</t>
  </si>
  <si>
    <t xml:space="preserve">4347</t>
  </si>
  <si>
    <t xml:space="preserve">Gotarda </t>
  </si>
  <si>
    <t xml:space="preserve">WA2M/00076519/5</t>
  </si>
  <si>
    <t xml:space="preserve">3457</t>
  </si>
  <si>
    <t xml:space="preserve">WA2M/00086512/9</t>
  </si>
  <si>
    <t xml:space="preserve">8088</t>
  </si>
  <si>
    <t xml:space="preserve">2p, k, pp, ł, piwnica</t>
  </si>
  <si>
    <t xml:space="preserve">WA2M/00054372/2</t>
  </si>
  <si>
    <t xml:space="preserve">7315</t>
  </si>
  <si>
    <t xml:space="preserve">mp nr 50 i 51 oraz pom. jednoślady</t>
  </si>
  <si>
    <t xml:space="preserve">3p, ak, ł, wc, pralnia, hall, mp udział</t>
  </si>
  <si>
    <t xml:space="preserve">WA2M/00503426/9</t>
  </si>
  <si>
    <t xml:space="preserve">2p, k, ł z wc, pp, pom. przynal., łączna pow. 47,40 m2</t>
  </si>
  <si>
    <t xml:space="preserve">WA2M/00461134/8</t>
  </si>
  <si>
    <t xml:space="preserve">5146</t>
  </si>
  <si>
    <t xml:space="preserve">2p, ciemna k, ł z wc, pp</t>
  </si>
  <si>
    <t xml:space="preserve">WA2M/00308207/1</t>
  </si>
  <si>
    <t xml:space="preserve">3p, k, ł, wc, pp, piwnica o pow. 2,00 m2, łączna pow. 59,10 m2</t>
  </si>
  <si>
    <t xml:space="preserve">WA2M/00480312/9</t>
  </si>
  <si>
    <t xml:space="preserve">69067</t>
  </si>
  <si>
    <t xml:space="preserve">66/70</t>
  </si>
  <si>
    <t xml:space="preserve">3p, k, pp, ł z wc, piwnica o pow. 3,25 , łączna pow. 56,59 m2</t>
  </si>
  <si>
    <t xml:space="preserve">WA2M/00492234/5</t>
  </si>
  <si>
    <t xml:space="preserve">663</t>
  </si>
  <si>
    <t xml:space="preserve">2p, k, ł, pp, piwnica o pow. 4,20 m2, łączna pow. 51,87 m2</t>
  </si>
  <si>
    <t xml:space="preserve">WA2M/00312983/5</t>
  </si>
  <si>
    <t xml:space="preserve">4076</t>
  </si>
  <si>
    <t xml:space="preserve">WA2M/00225052/3</t>
  </si>
  <si>
    <t xml:space="preserve">69338</t>
  </si>
  <si>
    <t xml:space="preserve">B-10</t>
  </si>
  <si>
    <t xml:space="preserve">WA2M/00452229/5</t>
  </si>
  <si>
    <t xml:space="preserve">6769</t>
  </si>
  <si>
    <t xml:space="preserve">mp nr 92 i boks nr 92S</t>
  </si>
  <si>
    <t xml:space="preserve">3p, k, hol, ł i wc, mp udział, kupuje Spółka</t>
  </si>
  <si>
    <t xml:space="preserve">WA2m/00515429/7</t>
  </si>
  <si>
    <t xml:space="preserve">mp 202</t>
  </si>
  <si>
    <t xml:space="preserve">3p, k, ł, wc, hall, udział mp</t>
  </si>
  <si>
    <t xml:space="preserve">WA2M/00469192/8</t>
  </si>
  <si>
    <t xml:space="preserve">15539</t>
  </si>
  <si>
    <t xml:space="preserve">mp nr 31</t>
  </si>
  <si>
    <t xml:space="preserve">3p, k, pp, ł, wc, kom. Lok. nr 65 o pow. 2,57 m2, łączna pow. 67,55 m2, mp udział</t>
  </si>
  <si>
    <t xml:space="preserve">WA2M/00457381/3</t>
  </si>
  <si>
    <t xml:space="preserve">mp G45</t>
  </si>
  <si>
    <t xml:space="preserve">salon z ak, 2p, ł, wc, holl, pom. gosp. nr KL/B/15 o pow. 2,44m łaczna pow. 65,24 m2, przynależy mp </t>
  </si>
  <si>
    <t xml:space="preserve">WA2M/00529755/2</t>
  </si>
  <si>
    <t xml:space="preserve">8652</t>
  </si>
  <si>
    <t xml:space="preserve">mp nr 211</t>
  </si>
  <si>
    <t xml:space="preserve">1p, k, ł, hol, mp, balkon</t>
  </si>
  <si>
    <t xml:space="preserve">WA2M/00517075/4</t>
  </si>
  <si>
    <t xml:space="preserve">8325</t>
  </si>
  <si>
    <t xml:space="preserve">67C</t>
  </si>
  <si>
    <t xml:space="preserve">3p, k, hall, 2ł, piwnica nr 2 o pow. 4,12, łaczna pow. 106,44 m2, mp udział</t>
  </si>
  <si>
    <t xml:space="preserve">WA2M/00487574/2</t>
  </si>
  <si>
    <t xml:space="preserve">3p, k, ł, wc, pp, do remontu, sprzedaż 1/2 udziału</t>
  </si>
  <si>
    <t xml:space="preserve">WA2M/00411065/8</t>
  </si>
  <si>
    <t xml:space="preserve">mp nr 90 i 91 oraz schowek nr 64</t>
  </si>
  <si>
    <t xml:space="preserve">3p, ak, 2ł, hol, mp udział, taras o pow. 126,04 m2</t>
  </si>
  <si>
    <t xml:space="preserve">WA2M/00517678/1</t>
  </si>
  <si>
    <t xml:space="preserve">mp nr 51</t>
  </si>
  <si>
    <t xml:space="preserve">3p, k, ł z wc, pp, mp</t>
  </si>
  <si>
    <t xml:space="preserve">WA2M/00469567/8</t>
  </si>
  <si>
    <t xml:space="preserve">1p, ciemna k, ł, pp</t>
  </si>
  <si>
    <t xml:space="preserve">WA2M/00230957/5</t>
  </si>
  <si>
    <t xml:space="preserve">5239</t>
  </si>
  <si>
    <t xml:space="preserve">2p, k, pp, ł z wc, pwinica 5,41 m2, łaczna pow. 54,31 m2</t>
  </si>
  <si>
    <t xml:space="preserve">WA2M/00387415/9</t>
  </si>
  <si>
    <t xml:space="preserve">4336</t>
  </si>
  <si>
    <t xml:space="preserve">WA2M/00053168/2</t>
  </si>
  <si>
    <t xml:space="preserve">6279</t>
  </si>
  <si>
    <t xml:space="preserve">1p, k,pp, ł, pwinica</t>
  </si>
  <si>
    <t xml:space="preserve">WA2M/00198751/4</t>
  </si>
  <si>
    <t xml:space="preserve">6260</t>
  </si>
  <si>
    <t xml:space="preserve">mp nr 312 o pow. 26,70 m2</t>
  </si>
  <si>
    <t xml:space="preserve">4p, k, 3 halle, 2 ł, wc, mp przynależy, pow. lokalu 159,40 m2</t>
  </si>
  <si>
    <t xml:space="preserve">WA2M/00309103/9</t>
  </si>
  <si>
    <t xml:space="preserve">7784</t>
  </si>
  <si>
    <t xml:space="preserve">WA2M/00187880/7</t>
  </si>
  <si>
    <t xml:space="preserve">mp nr 130</t>
  </si>
  <si>
    <t xml:space="preserve">2p, k, ł z wc, hol</t>
  </si>
  <si>
    <t xml:space="preserve">WA2M/00528526/1</t>
  </si>
  <si>
    <t xml:space="preserve">WA2M/00041485/3</t>
  </si>
  <si>
    <t xml:space="preserve">C-114</t>
  </si>
  <si>
    <t xml:space="preserve">mp nr 262</t>
  </si>
  <si>
    <t xml:space="preserve">2p, ak, pp, ł z wc, pom. przyn. Nr 25 o pow. 5,67 m2, łączna pow 66,78 m2, mp 262</t>
  </si>
  <si>
    <t xml:space="preserve">WA2M/00442342/0</t>
  </si>
  <si>
    <t xml:space="preserve">759</t>
  </si>
  <si>
    <t xml:space="preserve">3p, k, hol, ł</t>
  </si>
  <si>
    <t xml:space="preserve">WA2M/00508000/2</t>
  </si>
  <si>
    <t xml:space="preserve">WA2M/00481558/2</t>
  </si>
  <si>
    <t xml:space="preserve">10308</t>
  </si>
  <si>
    <t xml:space="preserve">1p, wk, ł, piwnica</t>
  </si>
  <si>
    <t xml:space="preserve">WA2M/00049480/4</t>
  </si>
  <si>
    <t xml:space="preserve">70090</t>
  </si>
  <si>
    <t xml:space="preserve">1p, k, ł, kom. Lok. C17 , łaczna pow. 34,12 m2</t>
  </si>
  <si>
    <t xml:space="preserve">WA2M/00440992/7</t>
  </si>
  <si>
    <t xml:space="preserve">1571</t>
  </si>
  <si>
    <t xml:space="preserve">2p, k, pp, ł, wc, zamina loklau z mieszklanego na niemieszklany</t>
  </si>
  <si>
    <t xml:space="preserve">WA2M/00077714/9</t>
  </si>
  <si>
    <t xml:space="preserve">mg nr C42 i bl nr C.B52</t>
  </si>
  <si>
    <t xml:space="preserve">3p, a, 2ł,</t>
  </si>
  <si>
    <t xml:space="preserve">WA2M/00530104/4</t>
  </si>
  <si>
    <t xml:space="preserve">2p, k, ł, pp, piwnica</t>
  </si>
  <si>
    <t xml:space="preserve">WA2M/00157809/7</t>
  </si>
  <si>
    <t xml:space="preserve">7081</t>
  </si>
  <si>
    <t xml:space="preserve">mp nr 173, pom. jed. nr 15 (udział)</t>
  </si>
  <si>
    <t xml:space="preserve">3p, ak, ł, wc, gard, pralnia, hol</t>
  </si>
  <si>
    <t xml:space="preserve">WA2M/00496656/7</t>
  </si>
  <si>
    <t xml:space="preserve">4153</t>
  </si>
  <si>
    <t xml:space="preserve">1p, k, pp, ł</t>
  </si>
  <si>
    <t xml:space="preserve">WA2M/00387731/0</t>
  </si>
  <si>
    <t xml:space="preserve">6780</t>
  </si>
  <si>
    <t xml:space="preserve">151</t>
  </si>
  <si>
    <t xml:space="preserve">2p, k, pp, ł i wc</t>
  </si>
  <si>
    <t xml:space="preserve">WA2M/00063295/4</t>
  </si>
  <si>
    <t xml:space="preserve">2p, ł, k, pp, piwnica, do remontu</t>
  </si>
  <si>
    <t xml:space="preserve">WA2M/00084579/2</t>
  </si>
  <si>
    <t xml:space="preserve">5741</t>
  </si>
  <si>
    <t xml:space="preserve">2p, l, pp, ł, piwnica</t>
  </si>
  <si>
    <t xml:space="preserve">WA2M/00195414/9</t>
  </si>
  <si>
    <t xml:space="preserve">6809</t>
  </si>
  <si>
    <t xml:space="preserve">WA2M/00124783/8</t>
  </si>
  <si>
    <t xml:space="preserve">mp nr 18 i 19</t>
  </si>
  <si>
    <t xml:space="preserve">2p, ak, hol, ł, mp udział</t>
  </si>
  <si>
    <t xml:space="preserve">WA2M/00508137/1</t>
  </si>
  <si>
    <t xml:space="preserve">WA2M/00047772/4</t>
  </si>
  <si>
    <t xml:space="preserve">3865</t>
  </si>
  <si>
    <t xml:space="preserve">1p, pp, ł, k i wc</t>
  </si>
  <si>
    <t xml:space="preserve">WA2M/00135033/6</t>
  </si>
  <si>
    <t xml:space="preserve">5342</t>
  </si>
  <si>
    <t xml:space="preserve">WA2M/00493309/9</t>
  </si>
  <si>
    <t xml:space="preserve">5870</t>
  </si>
  <si>
    <t xml:space="preserve">10D</t>
  </si>
  <si>
    <t xml:space="preserve">mp nr 43 i pom. jednoślady B43</t>
  </si>
  <si>
    <t xml:space="preserve">2p, k ł, hall</t>
  </si>
  <si>
    <t xml:space="preserve">WA2M/00521069/0</t>
  </si>
  <si>
    <t xml:space="preserve">Sztormowa</t>
  </si>
  <si>
    <t xml:space="preserve">mp nr 80 i 84</t>
  </si>
  <si>
    <t xml:space="preserve">4p, gard, k, 2 ł, wc, pralnia, hall, koryt, kom. Lok, 17 pow. 2,75 m2, o łącznej pow. 134,61, mp udział</t>
  </si>
  <si>
    <t xml:space="preserve">WA2M/00456437/4</t>
  </si>
  <si>
    <t xml:space="preserve">8236</t>
  </si>
  <si>
    <t xml:space="preserve">udział w kompleksie basenowym</t>
  </si>
  <si>
    <t xml:space="preserve">3p, k, ł, wc, hall, piwnica nr 121 o pow.5,44, łączna pow. 87,76 m2, udział w lokalu niemieszkalnego-kompleksu basenowego, mp nr 380</t>
  </si>
  <si>
    <t xml:space="preserve">WA2M/00312498/8</t>
  </si>
  <si>
    <t xml:space="preserve">3650</t>
  </si>
  <si>
    <t xml:space="preserve">2p, k, ł, pp, piwnica nr 32</t>
  </si>
  <si>
    <t xml:space="preserve">Wa2M/00208123/7</t>
  </si>
  <si>
    <t xml:space="preserve">9874</t>
  </si>
  <si>
    <t xml:space="preserve">146</t>
  </si>
  <si>
    <t xml:space="preserve">1p, k, pp, ł z wc</t>
  </si>
  <si>
    <t xml:space="preserve">WA2M/00443482/0</t>
  </si>
  <si>
    <t xml:space="preserve">kupuje firma jednoosobowa działność gosp.</t>
  </si>
  <si>
    <t xml:space="preserve">7457</t>
  </si>
  <si>
    <t xml:space="preserve">WA2M/00118187/5</t>
  </si>
  <si>
    <t xml:space="preserve">7191</t>
  </si>
  <si>
    <t xml:space="preserve">3p, k, ł, wc, pp, piwnica</t>
  </si>
  <si>
    <t xml:space="preserve">WA2M/00064322/0</t>
  </si>
  <si>
    <t xml:space="preserve">WA2M/00106018/3</t>
  </si>
  <si>
    <t xml:space="preserve">WA2M/00321590/9</t>
  </si>
  <si>
    <t xml:space="preserve">kl 101 p3,7mkw i nr102 p 3,69</t>
  </si>
  <si>
    <t xml:space="preserve">WA2M/00489328/7</t>
  </si>
  <si>
    <t xml:space="preserve">7456</t>
  </si>
  <si>
    <t xml:space="preserve">WA2M/00278712/4</t>
  </si>
  <si>
    <t xml:space="preserve">2p, k, pp, ł, piwnica ok. 6,00 m2</t>
  </si>
  <si>
    <t xml:space="preserve">WA2M/00077661/2</t>
  </si>
  <si>
    <t xml:space="preserve">mg nr 25/P1</t>
  </si>
  <si>
    <t xml:space="preserve">WA2M/00444711/2</t>
  </si>
  <si>
    <t xml:space="preserve">3p, a, ł, wc</t>
  </si>
  <si>
    <t xml:space="preserve">WA2M/00467604/6</t>
  </si>
  <si>
    <t xml:space="preserve">x</t>
  </si>
  <si>
    <t xml:space="preserve">5p, k, 2ł, 2c, </t>
  </si>
  <si>
    <t xml:space="preserve">WA2M/00033592/0</t>
  </si>
  <si>
    <t xml:space="preserve">pomiędzy rodzeństwem</t>
  </si>
  <si>
    <t xml:space="preserve">WA2M/00499507/9</t>
  </si>
  <si>
    <t xml:space="preserve">3644</t>
  </si>
  <si>
    <t xml:space="preserve">3p, ak, ł, wc, hall, taras 20,60 m2</t>
  </si>
  <si>
    <t xml:space="preserve">WA2M/00497725/9</t>
  </si>
  <si>
    <t xml:space="preserve">192</t>
  </si>
  <si>
    <t xml:space="preserve">mp nr B42</t>
  </si>
  <si>
    <t xml:space="preserve">2p, ak, ł z wc, hall, pom. przyn. 2.A.9</t>
  </si>
  <si>
    <t xml:space="preserve">WA2M/00459684/1</t>
  </si>
  <si>
    <t xml:space="preserve">mp nr 23</t>
  </si>
  <si>
    <t xml:space="preserve">3p, k, ł z wc, wc, gard, koryt, hall, sprzedaż 1/2 udziału</t>
  </si>
  <si>
    <t xml:space="preserve">WA2M/00489307/4</t>
  </si>
  <si>
    <t xml:space="preserve">WA2M/00519147/4</t>
  </si>
  <si>
    <t xml:space="preserve">sp. wł.</t>
  </si>
  <si>
    <t xml:space="preserve">WA2M/00530621/4</t>
  </si>
  <si>
    <t xml:space="preserve"> 6/8</t>
  </si>
  <si>
    <t xml:space="preserve">p nr10</t>
  </si>
  <si>
    <t xml:space="preserve">WA2M/00441688/0</t>
  </si>
  <si>
    <t xml:space="preserve">206</t>
  </si>
  <si>
    <t xml:space="preserve">mp nr 77</t>
  </si>
  <si>
    <t xml:space="preserve">3p, k, ł, wc, hall, loggia</t>
  </si>
  <si>
    <t xml:space="preserve">WA2M/00470346/3</t>
  </si>
  <si>
    <t xml:space="preserve">1894</t>
  </si>
  <si>
    <t xml:space="preserve">WA2M/00083229/7</t>
  </si>
  <si>
    <t xml:space="preserve">3p, k, ł z wc, gard, 2pp, wc</t>
  </si>
  <si>
    <t xml:space="preserve">WA2M/00527249/8</t>
  </si>
  <si>
    <t xml:space="preserve">Aleja Willanowska</t>
  </si>
  <si>
    <t xml:space="preserve">WA2M/00466686/7</t>
  </si>
  <si>
    <t xml:space="preserve">p nr20 13,60mkw</t>
  </si>
  <si>
    <t xml:space="preserve">WA2M/00309069/8</t>
  </si>
  <si>
    <t xml:space="preserve"> 8/10</t>
  </si>
  <si>
    <t xml:space="preserve">WA2M/00229562/9</t>
  </si>
  <si>
    <t xml:space="preserve">mg nr8</t>
  </si>
  <si>
    <t xml:space="preserve">WA2M/00321855/5</t>
  </si>
  <si>
    <t xml:space="preserve">kl 3,3mkw</t>
  </si>
  <si>
    <t xml:space="preserve">3p, k, ł, wc, g</t>
  </si>
  <si>
    <t xml:space="preserve">WA2M/00480856/4</t>
  </si>
  <si>
    <t xml:space="preserve">WA2M/00489339/7</t>
  </si>
  <si>
    <t xml:space="preserve">Malczewskigo</t>
  </si>
  <si>
    <t xml:space="preserve">p</t>
  </si>
  <si>
    <t xml:space="preserve">WA2M/00074783/2</t>
  </si>
  <si>
    <t xml:space="preserve">1,2,3</t>
  </si>
  <si>
    <t xml:space="preserve">5p, k, 3ł, 3g</t>
  </si>
  <si>
    <t xml:space="preserve">WA2M/00459572/3</t>
  </si>
  <si>
    <t xml:space="preserve"> 2/4</t>
  </si>
  <si>
    <t xml:space="preserve">mg nr 94</t>
  </si>
  <si>
    <t xml:space="preserve">1p, a, ł</t>
  </si>
  <si>
    <t xml:space="preserve">WA2M/00479331/8</t>
  </si>
  <si>
    <t xml:space="preserve">mg 141 i 142</t>
  </si>
  <si>
    <t xml:space="preserve">5p, a, 2ł</t>
  </si>
  <si>
    <t xml:space="preserve">WA2M/00446136/1</t>
  </si>
  <si>
    <t xml:space="preserve">24577</t>
  </si>
  <si>
    <t xml:space="preserve">mp nr 122</t>
  </si>
  <si>
    <t xml:space="preserve">4p, ak, pp, wc, ł z wc</t>
  </si>
  <si>
    <t xml:space="preserve">WA2M/00528260/8</t>
  </si>
  <si>
    <t xml:space="preserve">173</t>
  </si>
  <si>
    <t xml:space="preserve">mp A130 i A131</t>
  </si>
  <si>
    <t xml:space="preserve">3p, k, ł, wc, gard, hall, pom. gosp. H33 o pow. 4,09, łaczna pow. 100,18</t>
  </si>
  <si>
    <t xml:space="preserve">WA2M/00487881/7</t>
  </si>
  <si>
    <t xml:space="preserve">3p, k, ł, hall, kom. Lok. nr 78 o pow. 3,22 m2, łaczna pow. 66,79 m2</t>
  </si>
  <si>
    <t xml:space="preserve">WA2M/00502143/4</t>
  </si>
  <si>
    <t xml:space="preserve">19406</t>
  </si>
  <si>
    <t xml:space="preserve">2p, k, pp, ł, piwnica o pow. 3,84 m2, łączna pow. 50,94 m2</t>
  </si>
  <si>
    <t xml:space="preserve">WA2M/00387565/5</t>
  </si>
  <si>
    <t xml:space="preserve">mg nr 87, kl 4,80mkw</t>
  </si>
  <si>
    <t xml:space="preserve">WA2M/00467782/7</t>
  </si>
  <si>
    <t xml:space="preserve">WA2M/00224927/1</t>
  </si>
  <si>
    <t xml:space="preserve">WA2M/00332793/2</t>
  </si>
  <si>
    <t xml:space="preserve"> 6/10</t>
  </si>
  <si>
    <t xml:space="preserve">WA2M/00278683/1</t>
  </si>
  <si>
    <t xml:space="preserve">5365</t>
  </si>
  <si>
    <t xml:space="preserve">2p, k, pp, ł, do remontu, piwnica</t>
  </si>
  <si>
    <t xml:space="preserve">WA2M/00442045/8</t>
  </si>
  <si>
    <t xml:space="preserve">4799</t>
  </si>
  <si>
    <t xml:space="preserve">618</t>
  </si>
  <si>
    <t xml:space="preserve">mp nr 203/A223</t>
  </si>
  <si>
    <t xml:space="preserve">2p, ak, korytarz, schowek, wc, kom. Lok. 3,51 m2, łączna pow. 73,88 m2</t>
  </si>
  <si>
    <t xml:space="preserve">WA2M/00514725/5</t>
  </si>
  <si>
    <t xml:space="preserve">Czerniakowskiej</t>
  </si>
  <si>
    <t xml:space="preserve">WA2M/00117682/8</t>
  </si>
  <si>
    <t xml:space="preserve">WA2M/00220994/3</t>
  </si>
  <si>
    <t xml:space="preserve">WA2M/00433024/9</t>
  </si>
  <si>
    <t xml:space="preserve">WA2M/00080138/1</t>
  </si>
  <si>
    <t xml:space="preserve">WA2M/00113566/1</t>
  </si>
  <si>
    <t xml:space="preserve">Dolnej</t>
  </si>
  <si>
    <t xml:space="preserve">WA2M/00529129/5</t>
  </si>
  <si>
    <t xml:space="preserve">WA2M/00196470/6</t>
  </si>
  <si>
    <t xml:space="preserve">15987</t>
  </si>
  <si>
    <t xml:space="preserve">1p, k, ł, pp, piwnica</t>
  </si>
  <si>
    <t xml:space="preserve">WA2M/00214831/8</t>
  </si>
  <si>
    <t xml:space="preserve">12278</t>
  </si>
  <si>
    <t xml:space="preserve">158/164</t>
  </si>
  <si>
    <t xml:space="preserve">1p, k, pp, ł, piwnica</t>
  </si>
  <si>
    <t xml:space="preserve">WA2M/00141707/7</t>
  </si>
  <si>
    <t xml:space="preserve">p 9,25mkw</t>
  </si>
  <si>
    <t xml:space="preserve">3p, a, 2ł, g</t>
  </si>
  <si>
    <t xml:space="preserve">WA2M/00492233/8</t>
  </si>
  <si>
    <t xml:space="preserve">WA2M/00066166/2</t>
  </si>
  <si>
    <t xml:space="preserve">mg nr11</t>
  </si>
  <si>
    <t xml:space="preserve">WA2M/00508072/7</t>
  </si>
  <si>
    <t xml:space="preserve">4 i 5</t>
  </si>
  <si>
    <t xml:space="preserve">mp 122 i 164, kl nr 108, p 3,72mkw</t>
  </si>
  <si>
    <t xml:space="preserve">4p, k, 2ł, wc, g</t>
  </si>
  <si>
    <t xml:space="preserve">WA2M/00497194/7</t>
  </si>
  <si>
    <t xml:space="preserve">Dabrowskiego</t>
  </si>
  <si>
    <t xml:space="preserve">WA2M/00159646/0</t>
  </si>
  <si>
    <t xml:space="preserve">WA2M/00397960/7</t>
  </si>
  <si>
    <t xml:space="preserve">WA2M/00122682/6</t>
  </si>
  <si>
    <t xml:space="preserve">WA2M/00495998/9</t>
  </si>
  <si>
    <t xml:space="preserve">Wilanowskiej</t>
  </si>
  <si>
    <t xml:space="preserve">mg nr 66, p nr 08 p 2,26mkw.</t>
  </si>
  <si>
    <t xml:space="preserve">WA2M/00487695/6</t>
  </si>
  <si>
    <t xml:space="preserve">2074</t>
  </si>
  <si>
    <t xml:space="preserve">1p, k, pp, ł z wc, piw 2,31 m2, pow. łączna 36,25 m2, sprzedaż 4/8 udziału, transkacja w rodzinie</t>
  </si>
  <si>
    <t xml:space="preserve">WA2M/0044866281</t>
  </si>
  <si>
    <t xml:space="preserve">WA2M/00113478/7</t>
  </si>
  <si>
    <t xml:space="preserve">Chełmaska</t>
  </si>
  <si>
    <t xml:space="preserve">mg nr 229</t>
  </si>
  <si>
    <t xml:space="preserve">4p, k, 2ł, 2c, g</t>
  </si>
  <si>
    <t xml:space="preserve">WA2M/00457294/6</t>
  </si>
  <si>
    <t xml:space="preserve">umowa zamiany</t>
  </si>
  <si>
    <t xml:space="preserve">WA2M/00225083/9</t>
  </si>
  <si>
    <t xml:space="preserve">kl 3,10mkw</t>
  </si>
  <si>
    <t xml:space="preserve">WA2M/00486001/8</t>
  </si>
  <si>
    <t xml:space="preserve">Obrzeźna</t>
  </si>
  <si>
    <t xml:space="preserve">mg nr 63</t>
  </si>
  <si>
    <t xml:space="preserve">3p, a, ł</t>
  </si>
  <si>
    <t xml:space="preserve">WA2M/00505090/8</t>
  </si>
  <si>
    <t xml:space="preserve">pomiedzy małżonkami</t>
  </si>
  <si>
    <t xml:space="preserve">2mg, nmp, kl 3nr 3 p 3,51mkw</t>
  </si>
  <si>
    <t xml:space="preserve">5p, k, ł, wc, g, 2p</t>
  </si>
  <si>
    <t xml:space="preserve">WA2M/00447965/8</t>
  </si>
  <si>
    <t xml:space="preserve">mg, kl n413, ogródek</t>
  </si>
  <si>
    <t xml:space="preserve">WA2M/00455707/1</t>
  </si>
  <si>
    <t xml:space="preserve">mg nr 17</t>
  </si>
  <si>
    <t xml:space="preserve">2p, ł, wc</t>
  </si>
  <si>
    <t xml:space="preserve">WA2M/00399142/1</t>
  </si>
  <si>
    <t xml:space="preserve">mg nr4</t>
  </si>
  <si>
    <t xml:space="preserve">WA2M/00387848/3</t>
  </si>
  <si>
    <t xml:space="preserve">12386</t>
  </si>
  <si>
    <t xml:space="preserve">Przy Bernardyńskiej Wodzie</t>
  </si>
  <si>
    <t xml:space="preserve">4p, k, ł, wc i pp, do remontu, piwnica</t>
  </si>
  <si>
    <t xml:space="preserve">WA2M/00486499/5</t>
  </si>
  <si>
    <t xml:space="preserve">mp nr 24</t>
  </si>
  <si>
    <t xml:space="preserve">3p, k, ł, g</t>
  </si>
  <si>
    <t xml:space="preserve">WA2M/00462973/8</t>
  </si>
  <si>
    <t xml:space="preserve">Bernardyńskiej</t>
  </si>
  <si>
    <t xml:space="preserve">p 8mkw</t>
  </si>
  <si>
    <t xml:space="preserve">WA2M/00204224/7</t>
  </si>
  <si>
    <t xml:space="preserve">mg nr 26, ogródek</t>
  </si>
  <si>
    <t xml:space="preserve">WA2M/00511225/9</t>
  </si>
  <si>
    <t xml:space="preserve">WA2M/00140962/5</t>
  </si>
  <si>
    <t xml:space="preserve">WA2M/00135075/2</t>
  </si>
  <si>
    <t xml:space="preserve">WA2M/00123696/4</t>
  </si>
  <si>
    <t xml:space="preserve">WA2M/00091270/8</t>
  </si>
  <si>
    <t xml:space="preserve">WA2M/00474187/8</t>
  </si>
  <si>
    <t xml:space="preserve">WA2M/00498910/0</t>
  </si>
  <si>
    <t xml:space="preserve">WA2M/00077177/2</t>
  </si>
  <si>
    <t xml:space="preserve">Konstańcińska</t>
  </si>
  <si>
    <t xml:space="preserve">WA2M/00466881/4</t>
  </si>
  <si>
    <t xml:space="preserve">WA2M/00078916/2</t>
  </si>
  <si>
    <t xml:space="preserve">mp nr 80 kl nr 3 pow 2,75mkw</t>
  </si>
  <si>
    <t xml:space="preserve">WA2M/00450528/7</t>
  </si>
  <si>
    <t xml:space="preserve">Aleja Lotników</t>
  </si>
  <si>
    <t xml:space="preserve">p 4,4mkw</t>
  </si>
  <si>
    <t xml:space="preserve">WA2M/00463469/9</t>
  </si>
  <si>
    <t xml:space="preserve">WA2M/00107934/7</t>
  </si>
  <si>
    <t xml:space="preserve">mg nr G.20 br BR.12</t>
  </si>
  <si>
    <t xml:space="preserve">WA2M/00528973/9</t>
  </si>
  <si>
    <t xml:space="preserve">p nr126 2,75mkw</t>
  </si>
  <si>
    <t xml:space="preserve">WA2M/00475215/1</t>
  </si>
  <si>
    <t xml:space="preserve">WA2M/00204712/5</t>
  </si>
  <si>
    <t xml:space="preserve">WA2M/00046086/1</t>
  </si>
  <si>
    <t xml:space="preserve">WA2M/00131997/3</t>
  </si>
  <si>
    <t xml:space="preserve">WA2M/00529058/6</t>
  </si>
  <si>
    <t xml:space="preserve">9D</t>
  </si>
  <si>
    <t xml:space="preserve">2p, a, ł, g</t>
  </si>
  <si>
    <t xml:space="preserve">WA2M/00528948/5</t>
  </si>
  <si>
    <t xml:space="preserve">WA2M/00481111/7</t>
  </si>
  <si>
    <t xml:space="preserve">WA2M/00418592/0</t>
  </si>
  <si>
    <t xml:space="preserve">2p, a, ł</t>
  </si>
  <si>
    <t xml:space="preserve">WA2M/00499633/1</t>
  </si>
  <si>
    <t xml:space="preserve">mg nr141, s nr38 p 4,72</t>
  </si>
  <si>
    <t xml:space="preserve">WA2M/00482591/2</t>
  </si>
  <si>
    <t xml:space="preserve">Wita Stfosza</t>
  </si>
  <si>
    <t xml:space="preserve">mg nr 218, kl nr K504 4,02mkw</t>
  </si>
  <si>
    <t xml:space="preserve">2p, a, ł, s</t>
  </si>
  <si>
    <t xml:space="preserve">WA2M/00514457/5</t>
  </si>
  <si>
    <t xml:space="preserve">p 6,41mkw</t>
  </si>
  <si>
    <t xml:space="preserve">WA2M/00475872/4</t>
  </si>
  <si>
    <t xml:space="preserve">mg nr 27</t>
  </si>
  <si>
    <t xml:space="preserve">WA2M/00320941/8</t>
  </si>
  <si>
    <t xml:space="preserve">Mangalia</t>
  </si>
  <si>
    <t xml:space="preserve">mp nr 135</t>
  </si>
  <si>
    <t xml:space="preserve">WA2M/00530473/1</t>
  </si>
  <si>
    <t xml:space="preserve">mg, p P24 3,75mkw</t>
  </si>
  <si>
    <t xml:space="preserve">WA2M/00483113/4</t>
  </si>
  <si>
    <t xml:space="preserve">mg nr 100, kl 4,72mkw</t>
  </si>
  <si>
    <t xml:space="preserve">WA2M/00514957/0</t>
  </si>
  <si>
    <t xml:space="preserve">Elsnera</t>
  </si>
  <si>
    <t xml:space="preserve">WA2M/00201017/2</t>
  </si>
  <si>
    <t xml:space="preserve">1-05-58</t>
  </si>
  <si>
    <t xml:space="preserve">3p, k. ł</t>
  </si>
  <si>
    <t xml:space="preserve">WA2M/00487684/6</t>
  </si>
  <si>
    <t xml:space="preserve">2p</t>
  </si>
  <si>
    <t xml:space="preserve">WA2M/00085633/6</t>
  </si>
  <si>
    <t xml:space="preserve">7H</t>
  </si>
  <si>
    <t xml:space="preserve">mg nr 154</t>
  </si>
  <si>
    <t xml:space="preserve">WA2M/00529996/3</t>
  </si>
  <si>
    <t xml:space="preserve">kom.lok.nr 29,g na -1</t>
  </si>
  <si>
    <t xml:space="preserve">WA2M/00444900/04</t>
  </si>
  <si>
    <t xml:space="preserve">4p,k,p,ł,wc</t>
  </si>
  <si>
    <t xml:space="preserve">WA2M/00494141/7</t>
  </si>
  <si>
    <t xml:space="preserve">3p,k,p,ł,wc</t>
  </si>
  <si>
    <t xml:space="preserve">WA2M/00478466/6</t>
  </si>
  <si>
    <t xml:space="preserve">3p,k,ł,p</t>
  </si>
  <si>
    <t xml:space="preserve">WA2M/00112841/6</t>
  </si>
  <si>
    <t xml:space="preserve">2p,k,p,ł</t>
  </si>
  <si>
    <t xml:space="preserve">WA2M/00487934/4</t>
  </si>
  <si>
    <t xml:space="preserve">1p,k,ł,h,l</t>
  </si>
  <si>
    <t xml:space="preserve">WA2M/00472588/5</t>
  </si>
  <si>
    <t xml:space="preserve">2p,k,ł,h</t>
  </si>
  <si>
    <t xml:space="preserve">WA2M/00472585/4</t>
  </si>
  <si>
    <t xml:space="preserve">1p,p,k,ł</t>
  </si>
  <si>
    <t xml:space="preserve">WA2M/00488772/7</t>
  </si>
  <si>
    <t xml:space="preserve">1p,k,ł,wc,p,piw.</t>
  </si>
  <si>
    <t xml:space="preserve">WA2M/00184028/6</t>
  </si>
  <si>
    <t xml:space="preserve">0lesińska</t>
  </si>
  <si>
    <t xml:space="preserve">km</t>
  </si>
  <si>
    <t xml:space="preserve">1p,1k,1ł,wc,p</t>
  </si>
  <si>
    <t xml:space="preserve">WA2M/00208203/2</t>
  </si>
  <si>
    <t xml:space="preserve">1p,k,ł,p</t>
  </si>
  <si>
    <t xml:space="preserve">WA2M/00092860/2</t>
  </si>
  <si>
    <t xml:space="preserve">1 pomieszczenie</t>
  </si>
  <si>
    <t xml:space="preserve">WA2M/00297217/3</t>
  </si>
  <si>
    <t xml:space="preserve">gw G7</t>
  </si>
  <si>
    <t xml:space="preserve">3p,ak,ł,wc,h</t>
  </si>
  <si>
    <t xml:space="preserve">WA2M/00468704/4</t>
  </si>
  <si>
    <t xml:space="preserve">4p,k,2ł,wc,g,s,k,h</t>
  </si>
  <si>
    <t xml:space="preserve">WA2M/00437946/6</t>
  </si>
  <si>
    <t xml:space="preserve">BD</t>
  </si>
  <si>
    <t xml:space="preserve">3p,a,k,ł,wc,s,h</t>
  </si>
  <si>
    <t xml:space="preserve">WA2M/00514202/3</t>
  </si>
  <si>
    <t xml:space="preserve">Dzielnica</t>
  </si>
  <si>
    <r>
      <rPr>
        <b val="true"/>
        <sz val="10"/>
        <color rgb="FF000000"/>
        <rFont val="Arial"/>
        <family val="0"/>
      </rPr>
      <t xml:space="preserve">P.u. [m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</si>
  <si>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RAZEM</t>
  </si>
  <si>
    <t xml:space="preserve">69/69A/69B/69C</t>
  </si>
  <si>
    <t xml:space="preserve">mpgp nr 192</t>
  </si>
  <si>
    <t xml:space="preserve">mpgp nr101</t>
  </si>
  <si>
    <t xml:space="preserve">2xmpgp nr 8 i 9</t>
  </si>
  <si>
    <t xml:space="preserve">2xmpgp nr 29 i 30</t>
  </si>
  <si>
    <t xml:space="preserve">mpgp nr 20</t>
  </si>
  <si>
    <t xml:space="preserve">mpgp nr 34</t>
  </si>
  <si>
    <t xml:space="preserve">mpgp nr 7</t>
  </si>
  <si>
    <t xml:space="preserve">mpgp nr 146</t>
  </si>
  <si>
    <t xml:space="preserve">garaz 16m2</t>
  </si>
  <si>
    <t xml:space="preserve">7E</t>
  </si>
  <si>
    <t xml:space="preserve">mpgp 296-297</t>
  </si>
  <si>
    <t xml:space="preserve">mpgp nr 37</t>
  </si>
  <si>
    <t xml:space="preserve">_91951</t>
  </si>
  <si>
    <t xml:space="preserve">mpgp nr25, cena brutto</t>
  </si>
  <si>
    <t xml:space="preserve">106A</t>
  </si>
  <si>
    <t xml:space="preserve">garaz nr 7 17m2</t>
  </si>
  <si>
    <t xml:space="preserve">mpgp nr 109</t>
  </si>
  <si>
    <t xml:space="preserve">mpgp nr 80, cena brutto</t>
  </si>
  <si>
    <t xml:space="preserve">mpgp nr34</t>
  </si>
  <si>
    <t xml:space="preserve">mpgp nr 68</t>
  </si>
  <si>
    <t xml:space="preserve">3xmpgp nr 22,23,54</t>
  </si>
  <si>
    <t xml:space="preserve">Batalinonu AK "Karpaty"</t>
  </si>
  <si>
    <t xml:space="preserve">mpgp 108, cena brutto</t>
  </si>
  <si>
    <t xml:space="preserve">mpgp nr15</t>
  </si>
  <si>
    <t xml:space="preserve">mpgp nr 13</t>
  </si>
  <si>
    <t xml:space="preserve">mpgp nr P1/20</t>
  </si>
  <si>
    <t xml:space="preserve">garaż nr 17 pow. 20,27m2</t>
  </si>
  <si>
    <t xml:space="preserve">mpgp nr 373, sprzedaje deweloper cena brutto</t>
  </si>
  <si>
    <t xml:space="preserve">mpgp nr 229</t>
  </si>
  <si>
    <t xml:space="preserve">mpgp nr 163, sprzedaje deweloper cena brutto</t>
  </si>
  <si>
    <t xml:space="preserve">mpgp nr 101</t>
  </si>
  <si>
    <t xml:space="preserve">mpgp nr 82</t>
  </si>
  <si>
    <t xml:space="preserve">mpgp nr 24</t>
  </si>
  <si>
    <t xml:space="preserve">4526</t>
  </si>
  <si>
    <t xml:space="preserve">1-10-03</t>
  </si>
  <si>
    <t xml:space="preserve">mg nr 84</t>
  </si>
  <si>
    <t xml:space="preserve">2797</t>
  </si>
  <si>
    <t xml:space="preserve">mg nr B/213</t>
  </si>
  <si>
    <t xml:space="preserve">4392</t>
  </si>
  <si>
    <t xml:space="preserve">Al..Wilanowska</t>
  </si>
  <si>
    <t xml:space="preserve">mpnr7</t>
  </si>
  <si>
    <t xml:space="preserve">3806</t>
  </si>
  <si>
    <t xml:space="preserve">mg nr B/122</t>
  </si>
  <si>
    <t xml:space="preserve">5131</t>
  </si>
  <si>
    <t xml:space="preserve">mg nr 11</t>
  </si>
  <si>
    <t xml:space="preserve">4478</t>
  </si>
  <si>
    <t xml:space="preserve">mg nr 23</t>
  </si>
  <si>
    <t xml:space="preserve">1994</t>
  </si>
  <si>
    <t xml:space="preserve">100A</t>
  </si>
  <si>
    <t xml:space="preserve">2 x mg nr 63 i 77</t>
  </si>
  <si>
    <t xml:space="preserve">1986</t>
  </si>
  <si>
    <t xml:space="preserve">mg nr 47</t>
  </si>
  <si>
    <t xml:space="preserve">mp nr A07</t>
  </si>
  <si>
    <t xml:space="preserve">mg nr 49, 11,50 mkw</t>
  </si>
  <si>
    <t xml:space="preserve">boks rowerowy 4,17 mkw nr B12</t>
  </si>
  <si>
    <t xml:space="preserve">6465</t>
  </si>
  <si>
    <t xml:space="preserve">mg nr C7</t>
  </si>
  <si>
    <t xml:space="preserve">6392</t>
  </si>
  <si>
    <t xml:space="preserve">mg nr B24</t>
  </si>
  <si>
    <t xml:space="preserve">7623</t>
  </si>
  <si>
    <t xml:space="preserve">pom pomocnicze K341, 2,85 mkw</t>
  </si>
  <si>
    <t xml:space="preserve">mg nr 35</t>
  </si>
  <si>
    <t xml:space="preserve">mg nr 22</t>
  </si>
  <si>
    <t xml:space="preserve">7708</t>
  </si>
  <si>
    <t xml:space="preserve">mg nr 217</t>
  </si>
  <si>
    <t xml:space="preserve">7524</t>
  </si>
  <si>
    <t xml:space="preserve">mg nr B46, boks lok B.B52</t>
  </si>
  <si>
    <t xml:space="preserve">mg nr 96</t>
  </si>
  <si>
    <t xml:space="preserve">mg nr 2</t>
  </si>
  <si>
    <t xml:space="preserve">7740</t>
  </si>
  <si>
    <t xml:space="preserve">4011</t>
  </si>
  <si>
    <t xml:space="preserve">8187</t>
  </si>
  <si>
    <t xml:space="preserve">mpgp nr A07</t>
  </si>
  <si>
    <t xml:space="preserve">8067</t>
  </si>
  <si>
    <t xml:space="preserve">8183</t>
  </si>
  <si>
    <t xml:space="preserve">mpgp C88,C89</t>
  </si>
  <si>
    <t xml:space="preserve">7884</t>
  </si>
  <si>
    <t xml:space="preserve">mpgp C15</t>
  </si>
  <si>
    <t xml:space="preserve">17843</t>
  </si>
  <si>
    <t xml:space="preserve">8150</t>
  </si>
  <si>
    <t xml:space="preserve">mpgp B91</t>
  </si>
  <si>
    <t xml:space="preserve">17911</t>
  </si>
  <si>
    <t xml:space="preserve">Kierbadzia</t>
  </si>
  <si>
    <t xml:space="preserve">mpgp 266,267</t>
  </si>
  <si>
    <t xml:space="preserve">32034</t>
  </si>
  <si>
    <t xml:space="preserve">mpgp nr 56</t>
  </si>
  <si>
    <t xml:space="preserve">mpgp nr 222 oraz mpgp nr 223</t>
  </si>
  <si>
    <t xml:space="preserve">5978</t>
  </si>
  <si>
    <t xml:space="preserve">Ford Piłsudskiego</t>
  </si>
  <si>
    <t xml:space="preserve">mpgp ng G4 - 8 miejsc postojowych, udz. 24285/1952221</t>
  </si>
  <si>
    <t xml:space="preserve">52195</t>
  </si>
  <si>
    <t xml:space="preserve">2G</t>
  </si>
  <si>
    <t xml:space="preserve">mpgp nr 199</t>
  </si>
  <si>
    <t xml:space="preserve">3635</t>
  </si>
  <si>
    <t xml:space="preserve">9629</t>
  </si>
  <si>
    <t xml:space="preserve">50795</t>
  </si>
  <si>
    <t xml:space="preserve">mpgp cena brutto</t>
  </si>
  <si>
    <t xml:space="preserve">7450</t>
  </si>
  <si>
    <t xml:space="preserve">5813</t>
  </si>
  <si>
    <t xml:space="preserve">mpgp A9</t>
  </si>
  <si>
    <t xml:space="preserve">15268</t>
  </si>
  <si>
    <t xml:space="preserve">mpgp nr 21,21</t>
  </si>
  <si>
    <t xml:space="preserve">4180</t>
  </si>
  <si>
    <t xml:space="preserve">mpgp nr 60</t>
  </si>
  <si>
    <t xml:space="preserve">51854</t>
  </si>
  <si>
    <t xml:space="preserve">9069</t>
  </si>
  <si>
    <t xml:space="preserve">9054</t>
  </si>
  <si>
    <t xml:space="preserve">mpgp nr 158, boks lokatorski B34</t>
  </si>
  <si>
    <t xml:space="preserve">8785</t>
  </si>
  <si>
    <t xml:space="preserve">mpgp nr 4</t>
  </si>
  <si>
    <t xml:space="preserve">8763</t>
  </si>
  <si>
    <t xml:space="preserve">mpgp nr 77</t>
  </si>
  <si>
    <t xml:space="preserve">8999</t>
  </si>
  <si>
    <t xml:space="preserve">mpgp nr 64 oraz boks lokatorki B8</t>
  </si>
  <si>
    <t xml:space="preserve">4305</t>
  </si>
  <si>
    <t xml:space="preserve">34324</t>
  </si>
  <si>
    <t xml:space="preserve">mpgp nr 35</t>
  </si>
  <si>
    <t xml:space="preserve">8597</t>
  </si>
  <si>
    <t xml:space="preserve">mpgp nr C54</t>
  </si>
  <si>
    <t xml:space="preserve">8966</t>
  </si>
  <si>
    <t xml:space="preserve">mpgp nr 234</t>
  </si>
  <si>
    <t xml:space="preserve">8799</t>
  </si>
  <si>
    <t xml:space="preserve">mpgp nr C30</t>
  </si>
  <si>
    <t xml:space="preserve">8475</t>
  </si>
  <si>
    <t xml:space="preserve">mpgp nr C36</t>
  </si>
  <si>
    <t xml:space="preserve">7161</t>
  </si>
  <si>
    <t xml:space="preserve">mpgp 1</t>
  </si>
  <si>
    <t xml:space="preserve">10060</t>
  </si>
  <si>
    <t xml:space="preserve">mpgp nr 8,73,125,249</t>
  </si>
  <si>
    <t xml:space="preserve">10050</t>
  </si>
  <si>
    <t xml:space="preserve">mpgp nr 40,60,144,169,30,37,38</t>
  </si>
  <si>
    <t xml:space="preserve">997</t>
  </si>
  <si>
    <t xml:space="preserve">dwie kom. Lok. Nr K302,K303 oraz mpgp nr 342</t>
  </si>
  <si>
    <t xml:space="preserve">6909</t>
  </si>
  <si>
    <t xml:space="preserve">24D</t>
  </si>
  <si>
    <t xml:space="preserve">mpgp nr 22</t>
  </si>
  <si>
    <t xml:space="preserve">6902</t>
  </si>
  <si>
    <t xml:space="preserve">9773</t>
  </si>
  <si>
    <t xml:space="preserve">10219</t>
  </si>
  <si>
    <t xml:space="preserve">mpgp nr C70, boks nr C.B32</t>
  </si>
  <si>
    <t xml:space="preserve">10090</t>
  </si>
  <si>
    <t xml:space="preserve">mpgp nr 149, kom. Lok. Nr K14</t>
  </si>
  <si>
    <t xml:space="preserve">9580</t>
  </si>
  <si>
    <t xml:space="preserve">mpgp nr 163</t>
  </si>
  <si>
    <t xml:space="preserve">9997</t>
  </si>
  <si>
    <t xml:space="preserve">mpgp nr 214, boks nr B61</t>
  </si>
  <si>
    <t xml:space="preserve">10077</t>
  </si>
  <si>
    <t xml:space="preserve">mpgp nr C91</t>
  </si>
  <si>
    <t xml:space="preserve">10089</t>
  </si>
  <si>
    <t xml:space="preserve">mpgp nr 184</t>
  </si>
  <si>
    <t xml:space="preserve">17997</t>
  </si>
  <si>
    <t xml:space="preserve">mpgmp nr 2</t>
  </si>
  <si>
    <t xml:space="preserve">22723</t>
  </si>
  <si>
    <t xml:space="preserve">mpgmp nr 225,226,227,228, boks nr 30,31</t>
  </si>
  <si>
    <t xml:space="preserve">23330</t>
  </si>
  <si>
    <t xml:space="preserve">mpgp nr 12</t>
  </si>
  <si>
    <t xml:space="preserve">6284</t>
  </si>
  <si>
    <t xml:space="preserve">mpgp nr 58,59</t>
  </si>
  <si>
    <t xml:space="preserve">23687</t>
  </si>
  <si>
    <t xml:space="preserve">mpgmp nr 30</t>
  </si>
  <si>
    <t xml:space="preserve">65258</t>
  </si>
  <si>
    <t xml:space="preserve">mpgp nr 13,14</t>
  </si>
  <si>
    <t xml:space="preserve">679</t>
  </si>
  <si>
    <t xml:space="preserve">mpgp nr 39,103</t>
  </si>
  <si>
    <t xml:space="preserve">13342</t>
  </si>
  <si>
    <t xml:space="preserve">mpgp nr 17</t>
  </si>
  <si>
    <t xml:space="preserve">1-03-31</t>
  </si>
  <si>
    <t xml:space="preserve">7030</t>
  </si>
  <si>
    <t xml:space="preserve">2xmpgp, kom. Lok.</t>
  </si>
  <si>
    <t xml:space="preserve">mpgp nr 18</t>
  </si>
  <si>
    <t xml:space="preserve">mpgp nr 5, kom. Lok. Nr 9 pow. 6,18m2</t>
  </si>
  <si>
    <t xml:space="preserve">mpgp nr 31, kom. Lok. Nr 5 pow. 2,82m2</t>
  </si>
  <si>
    <t xml:space="preserve">7037</t>
  </si>
  <si>
    <t xml:space="preserve">mpgp nr 21</t>
  </si>
  <si>
    <t xml:space="preserve">mpgp nr 14</t>
  </si>
  <si>
    <t xml:space="preserve">3mpgp, kom. Lok. Nr 10</t>
  </si>
  <si>
    <t xml:space="preserve">mpgmp nr 25</t>
  </si>
  <si>
    <t xml:space="preserve">2mpgmp nr 6,21</t>
  </si>
  <si>
    <t xml:space="preserve">mpgmp nr 15</t>
  </si>
  <si>
    <t xml:space="preserve">315</t>
  </si>
  <si>
    <t xml:space="preserve">7023</t>
  </si>
  <si>
    <t xml:space="preserve">2048</t>
  </si>
  <si>
    <t xml:space="preserve">mpgp nr 187</t>
  </si>
  <si>
    <t xml:space="preserve">mpgp nr 28</t>
  </si>
  <si>
    <t xml:space="preserve">497</t>
  </si>
  <si>
    <t xml:space="preserve">mpgp nr 62,63</t>
  </si>
  <si>
    <t xml:space="preserve">276</t>
  </si>
  <si>
    <t xml:space="preserve">1-02-21</t>
  </si>
  <si>
    <t xml:space="preserve">mpgp nr 22, kom. Lok. Nr 8 pow. 4,51m2</t>
  </si>
  <si>
    <t xml:space="preserve">178</t>
  </si>
  <si>
    <t xml:space="preserve">Św, Bonifacego</t>
  </si>
  <si>
    <t xml:space="preserve">mp nr 25</t>
  </si>
  <si>
    <t xml:space="preserve">338</t>
  </si>
  <si>
    <t xml:space="preserve">mpgp nr 10, kom. Lok. Nr 4 pow. 2,82</t>
  </si>
  <si>
    <t xml:space="preserve">308</t>
  </si>
  <si>
    <t xml:space="preserve">439</t>
  </si>
  <si>
    <t xml:space="preserve">mpgp nr 31</t>
  </si>
  <si>
    <t xml:space="preserve">435</t>
  </si>
  <si>
    <t xml:space="preserve">mpgp nr 5,6</t>
  </si>
  <si>
    <t xml:space="preserve">490</t>
  </si>
  <si>
    <t xml:space="preserve">mpgp nr 59</t>
  </si>
  <si>
    <t xml:space="preserve">328</t>
  </si>
  <si>
    <t xml:space="preserve">448</t>
  </si>
  <si>
    <t xml:space="preserve">mpgp nr 6,8</t>
  </si>
  <si>
    <t xml:space="preserve">636</t>
  </si>
  <si>
    <t xml:space="preserve">mpgp nr 29,32, kom.lok nr 7 pow. 2,79m2</t>
  </si>
  <si>
    <t xml:space="preserve">479</t>
  </si>
  <si>
    <t xml:space="preserve">mpgp nr 5,schowek nr 156</t>
  </si>
  <si>
    <t xml:space="preserve">550</t>
  </si>
  <si>
    <t xml:space="preserve">mpgo</t>
  </si>
  <si>
    <t xml:space="preserve">968</t>
  </si>
  <si>
    <t xml:space="preserve">2mpgp nr 89,,90</t>
  </si>
  <si>
    <t xml:space="preserve">5341</t>
  </si>
  <si>
    <t xml:space="preserve">mpgp nr 114</t>
  </si>
  <si>
    <t xml:space="preserve">371</t>
  </si>
  <si>
    <t xml:space="preserve">620</t>
  </si>
  <si>
    <t xml:space="preserve">378</t>
  </si>
  <si>
    <t xml:space="preserve">660</t>
  </si>
  <si>
    <t xml:space="preserve">13A</t>
  </si>
  <si>
    <t xml:space="preserve">mpgp nr 304</t>
  </si>
  <si>
    <t xml:space="preserve">mpgp nr 6</t>
  </si>
  <si>
    <t xml:space="preserve">977</t>
  </si>
  <si>
    <t xml:space="preserve">mpgp nr 5, kom. Lok nr 3 pow. 2,82m2</t>
  </si>
  <si>
    <t xml:space="preserve">1122</t>
  </si>
  <si>
    <t xml:space="preserve">mpgp nr B149 cena brutto</t>
  </si>
  <si>
    <t xml:space="preserve">644</t>
  </si>
  <si>
    <t xml:space="preserve">mpgp nr b62</t>
  </si>
  <si>
    <t xml:space="preserve">687</t>
  </si>
  <si>
    <t xml:space="preserve">731</t>
  </si>
  <si>
    <t xml:space="preserve">112</t>
  </si>
  <si>
    <t xml:space="preserve">2422</t>
  </si>
  <si>
    <t xml:space="preserve">mpgp 5-6</t>
  </si>
  <si>
    <t xml:space="preserve">6604</t>
  </si>
  <si>
    <t xml:space="preserve">mpgp nr 166</t>
  </si>
  <si>
    <t xml:space="preserve">706</t>
  </si>
  <si>
    <t xml:space="preserve">472</t>
  </si>
  <si>
    <t xml:space="preserve">905</t>
  </si>
  <si>
    <t xml:space="preserve">1062</t>
  </si>
  <si>
    <t xml:space="preserve">2xmpgp</t>
  </si>
  <si>
    <t xml:space="preserve">1525</t>
  </si>
  <si>
    <t xml:space="preserve">78A</t>
  </si>
  <si>
    <t xml:space="preserve">2066</t>
  </si>
  <si>
    <t xml:space="preserve">mpgp nr 24-25</t>
  </si>
  <si>
    <t xml:space="preserve">3043</t>
  </si>
  <si>
    <t xml:space="preserve">2030</t>
  </si>
  <si>
    <t xml:space="preserve">2731</t>
  </si>
  <si>
    <t xml:space="preserve">1744</t>
  </si>
  <si>
    <t xml:space="preserve">Kamień</t>
  </si>
  <si>
    <t xml:space="preserve">mpgp nr 10</t>
  </si>
  <si>
    <t xml:space="preserve">2005</t>
  </si>
  <si>
    <t xml:space="preserve">mpgp nr 65,66,67,68,43,90</t>
  </si>
  <si>
    <t xml:space="preserve">9185</t>
  </si>
  <si>
    <t xml:space="preserve">7g</t>
  </si>
  <si>
    <t xml:space="preserve">2304</t>
  </si>
  <si>
    <t xml:space="preserve">  mg</t>
  </si>
  <si>
    <t xml:space="preserve">3959</t>
  </si>
  <si>
    <t xml:space="preserve">mg ,box</t>
  </si>
  <si>
    <t xml:space="preserve">3952</t>
  </si>
  <si>
    <t xml:space="preserve">3006</t>
  </si>
  <si>
    <t xml:space="preserve">5f</t>
  </si>
  <si>
    <t xml:space="preserve">mg  nr 237</t>
  </si>
  <si>
    <t xml:space="preserve">2970</t>
  </si>
  <si>
    <t xml:space="preserve">58a</t>
  </si>
  <si>
    <t xml:space="preserve">24812</t>
  </si>
  <si>
    <t xml:space="preserve">mg 177</t>
  </si>
  <si>
    <t xml:space="preserve">2853</t>
  </si>
  <si>
    <t xml:space="preserve">3724</t>
  </si>
  <si>
    <t xml:space="preserve">3221</t>
  </si>
  <si>
    <t xml:space="preserve">7166</t>
  </si>
  <si>
    <t xml:space="preserve">2 m, boks</t>
  </si>
  <si>
    <t xml:space="preserve">2113</t>
  </si>
  <si>
    <t xml:space="preserve">5977</t>
  </si>
  <si>
    <t xml:space="preserve">2792</t>
  </si>
  <si>
    <t xml:space="preserve">2683</t>
  </si>
  <si>
    <t xml:space="preserve">7463</t>
  </si>
  <si>
    <t xml:space="preserve">2 mg ( pod platformą)</t>
  </si>
  <si>
    <t xml:space="preserve">1516</t>
  </si>
  <si>
    <t xml:space="preserve">8089</t>
  </si>
  <si>
    <t xml:space="preserve">1524</t>
  </si>
  <si>
    <t xml:space="preserve">4316</t>
  </si>
  <si>
    <t xml:space="preserve">mp nr BR.03</t>
  </si>
  <si>
    <t xml:space="preserve">4364</t>
  </si>
  <si>
    <t xml:space="preserve">mp nr BR.10A</t>
  </si>
  <si>
    <t xml:space="preserve">4334</t>
  </si>
  <si>
    <t xml:space="preserve">mp nr G.106</t>
  </si>
  <si>
    <t xml:space="preserve">4177</t>
  </si>
  <si>
    <t xml:space="preserve">mp nr G.32</t>
  </si>
  <si>
    <t xml:space="preserve">4449</t>
  </si>
  <si>
    <t xml:space="preserve">mp nr G.42</t>
  </si>
  <si>
    <t xml:space="preserve">4346</t>
  </si>
  <si>
    <t xml:space="preserve">mp nr G.63</t>
  </si>
  <si>
    <t xml:space="preserve">9288</t>
  </si>
  <si>
    <t xml:space="preserve">Cybernetyki </t>
  </si>
  <si>
    <t xml:space="preserve">7G</t>
  </si>
  <si>
    <t xml:space="preserve">mp nr G.1</t>
  </si>
  <si>
    <t xml:space="preserve">3263</t>
  </si>
  <si>
    <t xml:space="preserve">mp nr 184</t>
  </si>
  <si>
    <t xml:space="preserve">4136</t>
  </si>
  <si>
    <t xml:space="preserve">mp nr G.62</t>
  </si>
  <si>
    <t xml:space="preserve">4275</t>
  </si>
  <si>
    <t xml:space="preserve">mp nr G.34, boks rowerowy</t>
  </si>
  <si>
    <t xml:space="preserve">4125</t>
  </si>
  <si>
    <t xml:space="preserve">mp nr G.37</t>
  </si>
  <si>
    <t xml:space="preserve">4247</t>
  </si>
  <si>
    <t xml:space="preserve">mp nr G.48</t>
  </si>
  <si>
    <t xml:space="preserve">5692</t>
  </si>
  <si>
    <t xml:space="preserve">mp nr 93</t>
  </si>
  <si>
    <t xml:space="preserve">9355</t>
  </si>
  <si>
    <t xml:space="preserve">mpgp nr 149</t>
  </si>
  <si>
    <t xml:space="preserve">4166</t>
  </si>
  <si>
    <t xml:space="preserve">mp nr G.77, boks BR.27</t>
  </si>
  <si>
    <t xml:space="preserve">4261</t>
  </si>
  <si>
    <t xml:space="preserve">mp nr G.45</t>
  </si>
  <si>
    <t xml:space="preserve">4395</t>
  </si>
  <si>
    <t xml:space="preserve">mp nr G.44</t>
  </si>
  <si>
    <t xml:space="preserve">4309</t>
  </si>
  <si>
    <t xml:space="preserve">mp nr G.93</t>
  </si>
  <si>
    <t xml:space="preserve">mp nr 435/436</t>
  </si>
  <si>
    <t xml:space="preserve">Fryderyka Joliot Curie</t>
  </si>
  <si>
    <t xml:space="preserve">mp nr 10, komórka lokatorska</t>
  </si>
  <si>
    <t xml:space="preserve">2394</t>
  </si>
  <si>
    <t xml:space="preserve">Studencka </t>
  </si>
  <si>
    <t xml:space="preserve">mp nr 14</t>
  </si>
  <si>
    <t xml:space="preserve">6968</t>
  </si>
  <si>
    <t xml:space="preserve">Puławska </t>
  </si>
  <si>
    <t xml:space="preserve">7555</t>
  </si>
  <si>
    <t xml:space="preserve">7040</t>
  </si>
  <si>
    <t xml:space="preserve">mpgp nr G.75</t>
  </si>
  <si>
    <t xml:space="preserve">4562</t>
  </si>
  <si>
    <t xml:space="preserve">3541</t>
  </si>
  <si>
    <t xml:space="preserve">mpgp nr 108, kom. Lok. 112</t>
  </si>
  <si>
    <t xml:space="preserve">4499</t>
  </si>
  <si>
    <t xml:space="preserve">mpgp nr G.67, boks row. BR.23</t>
  </si>
  <si>
    <t xml:space="preserve">9621</t>
  </si>
  <si>
    <t xml:space="preserve">pirwotny</t>
  </si>
  <si>
    <t xml:space="preserve">4576</t>
  </si>
  <si>
    <t xml:space="preserve">mpgp nr G.108</t>
  </si>
  <si>
    <t xml:space="preserve">3386</t>
  </si>
  <si>
    <t xml:space="preserve">3482</t>
  </si>
  <si>
    <t xml:space="preserve">30903</t>
  </si>
  <si>
    <t xml:space="preserve">Garazowa</t>
  </si>
  <si>
    <t xml:space="preserve">mpgp nr 333</t>
  </si>
  <si>
    <t xml:space="preserve">447</t>
  </si>
  <si>
    <t xml:space="preserve">4555</t>
  </si>
  <si>
    <t xml:space="preserve">mpgp ne G.111</t>
  </si>
  <si>
    <t xml:space="preserve">4700</t>
  </si>
  <si>
    <t xml:space="preserve">mpgp nr G.84</t>
  </si>
  <si>
    <t xml:space="preserve">9240</t>
  </si>
  <si>
    <t xml:space="preserve">mpgp nr 1,2</t>
  </si>
  <si>
    <t xml:space="preserve">4645</t>
  </si>
  <si>
    <t xml:space="preserve">mpgp nr G.39</t>
  </si>
  <si>
    <t xml:space="preserve">9055</t>
  </si>
  <si>
    <t xml:space="preserve">mpgp nr 17/-2</t>
  </si>
  <si>
    <t xml:space="preserve">3616</t>
  </si>
  <si>
    <t xml:space="preserve">mpgp nr 221</t>
  </si>
  <si>
    <t xml:space="preserve">4427</t>
  </si>
  <si>
    <t xml:space="preserve">mpgp nr G.21</t>
  </si>
  <si>
    <t xml:space="preserve">12060</t>
  </si>
  <si>
    <t xml:space="preserve">Cybrenetyki</t>
  </si>
  <si>
    <t xml:space="preserve">mpgp nr 306</t>
  </si>
  <si>
    <t xml:space="preserve">10491</t>
  </si>
  <si>
    <t xml:space="preserve">11 miejsc postojowych 30,35-43,43</t>
  </si>
  <si>
    <t xml:space="preserve">11705</t>
  </si>
  <si>
    <t xml:space="preserve">11553</t>
  </si>
  <si>
    <t xml:space="preserve">10508</t>
  </si>
  <si>
    <t xml:space="preserve">mpgo nr 8</t>
  </si>
  <si>
    <t xml:space="preserve">9483</t>
  </si>
  <si>
    <t xml:space="preserve">mpgp 59, 51</t>
  </si>
  <si>
    <t xml:space="preserve">3966</t>
  </si>
  <si>
    <t xml:space="preserve">2xmp</t>
  </si>
  <si>
    <t xml:space="preserve">13307</t>
  </si>
  <si>
    <t xml:space="preserve">4157</t>
  </si>
  <si>
    <t xml:space="preserve">mpgp nr 235,boks lokatorski B64</t>
  </si>
  <si>
    <t xml:space="preserve">4126</t>
  </si>
  <si>
    <t xml:space="preserve">mpgp nr 70,101,102,111</t>
  </si>
  <si>
    <t xml:space="preserve">12335</t>
  </si>
  <si>
    <t xml:space="preserve">11417</t>
  </si>
  <si>
    <t xml:space="preserve">mpgp gr 94,109</t>
  </si>
  <si>
    <t xml:space="preserve">38440</t>
  </si>
  <si>
    <t xml:space="preserve">5698</t>
  </si>
  <si>
    <t xml:space="preserve">mpgp G.74</t>
  </si>
  <si>
    <t xml:space="preserve">9825</t>
  </si>
  <si>
    <t xml:space="preserve">mpgp nr 29</t>
  </si>
  <si>
    <t xml:space="preserve">16723</t>
  </si>
  <si>
    <t xml:space="preserve">mpgp nr 207</t>
  </si>
  <si>
    <t xml:space="preserve">pom. jednoślad nr 190</t>
  </si>
  <si>
    <t xml:space="preserve">5853</t>
  </si>
  <si>
    <t xml:space="preserve">mpgp nr 2</t>
  </si>
  <si>
    <t xml:space="preserve">4319</t>
  </si>
  <si>
    <t xml:space="preserve">mpgp nr 47 i kom. Lok. K43 o pow. 3,33 m2</t>
  </si>
  <si>
    <t xml:space="preserve">11914</t>
  </si>
  <si>
    <t xml:space="preserve">mpgp nr 33/34</t>
  </si>
  <si>
    <t xml:space="preserve">69588</t>
  </si>
  <si>
    <t xml:space="preserve">mpgp nr 212</t>
  </si>
  <si>
    <t xml:space="preserve">12023</t>
  </si>
  <si>
    <t xml:space="preserve">pom. na jednoślady nr 69</t>
  </si>
  <si>
    <t xml:space="preserve">32331</t>
  </si>
  <si>
    <t xml:space="preserve">mp nr 28</t>
  </si>
  <si>
    <t xml:space="preserve">5407</t>
  </si>
  <si>
    <t xml:space="preserve">mpgp nr G.23</t>
  </si>
  <si>
    <t xml:space="preserve">5390</t>
  </si>
  <si>
    <t xml:space="preserve">boks BR.16 o pow. 2,28</t>
  </si>
  <si>
    <t xml:space="preserve">5383</t>
  </si>
  <si>
    <t xml:space="preserve">mpgp G.76</t>
  </si>
  <si>
    <t xml:space="preserve">5404</t>
  </si>
  <si>
    <t xml:space="preserve">mpgp G.43</t>
  </si>
  <si>
    <t xml:space="preserve">11739</t>
  </si>
  <si>
    <t xml:space="preserve">mpgp 226</t>
  </si>
  <si>
    <t xml:space="preserve">69079</t>
  </si>
  <si>
    <t xml:space="preserve">5465</t>
  </si>
  <si>
    <t xml:space="preserve">mpgp G.80, boks rowerowy BR.30 o pow. 4,88 m2</t>
  </si>
  <si>
    <t xml:space="preserve">69346</t>
  </si>
  <si>
    <t xml:space="preserve">mp nr 32, 33, 34</t>
  </si>
  <si>
    <t xml:space="preserve">5393</t>
  </si>
  <si>
    <t xml:space="preserve">mpgp G.72</t>
  </si>
  <si>
    <t xml:space="preserve">11817</t>
  </si>
  <si>
    <t xml:space="preserve">mpgp nr 214, pom. jednoślady nr 121</t>
  </si>
  <si>
    <t xml:space="preserve">mpgp nr 170, pom. jednoślady nr 82</t>
  </si>
  <si>
    <t xml:space="preserve">mpgr nr 183/184</t>
  </si>
  <si>
    <t xml:space="preserve">1844</t>
  </si>
  <si>
    <t xml:space="preserve">31635</t>
  </si>
  <si>
    <t xml:space="preserve">mpgp nr 62 i 63</t>
  </si>
  <si>
    <t xml:space="preserve">5918</t>
  </si>
  <si>
    <t xml:space="preserve">214</t>
  </si>
  <si>
    <t xml:space="preserve">mg nr 69 i schowek 69S</t>
  </si>
  <si>
    <t xml:space="preserve">14881</t>
  </si>
  <si>
    <t xml:space="preserve">mg nr 14</t>
  </si>
  <si>
    <t xml:space="preserve">mg nr 56</t>
  </si>
  <si>
    <t xml:space="preserve">mg nr86</t>
  </si>
  <si>
    <t xml:space="preserve">1001</t>
  </si>
  <si>
    <t xml:space="preserve">mpgp nr 117</t>
  </si>
  <si>
    <t xml:space="preserve">12044</t>
  </si>
  <si>
    <t xml:space="preserve">mg 146 i mj nr 68</t>
  </si>
  <si>
    <t xml:space="preserve">4598</t>
  </si>
  <si>
    <t xml:space="preserve">mg, kl</t>
  </si>
  <si>
    <t xml:space="preserve">4433</t>
  </si>
  <si>
    <t xml:space="preserve">mg nr 361</t>
  </si>
  <si>
    <t xml:space="preserve">3663</t>
  </si>
  <si>
    <t xml:space="preserve">Poholskiego</t>
  </si>
  <si>
    <t xml:space="preserve">mg nr202 i bg nr202S</t>
  </si>
  <si>
    <t xml:space="preserve">3879</t>
  </si>
  <si>
    <t xml:space="preserve">Rajskiej</t>
  </si>
  <si>
    <t xml:space="preserve">Sródziemnomorska</t>
  </si>
  <si>
    <t xml:space="preserve">mpgp g.83</t>
  </si>
  <si>
    <t xml:space="preserve">5590</t>
  </si>
  <si>
    <t xml:space="preserve">6077</t>
  </si>
  <si>
    <t xml:space="preserve">mg nr 103 i 104</t>
  </si>
  <si>
    <t xml:space="preserve">mg nr 86</t>
  </si>
  <si>
    <t xml:space="preserve">mg G.29 i G.30, BR.10 4,38mkw</t>
  </si>
  <si>
    <t xml:space="preserve">1724</t>
  </si>
  <si>
    <t xml:space="preserve">mg nr119</t>
  </si>
  <si>
    <t xml:space="preserve">Data trasnsakcji</t>
  </si>
  <si>
    <t xml:space="preserve">Cena trans. brutto [zł]</t>
  </si>
  <si>
    <t xml:space="preserve">VAT</t>
  </si>
  <si>
    <t xml:space="preserve">Cena trans. Netto [zł]</t>
  </si>
  <si>
    <r>
      <rPr>
        <b val="true"/>
        <sz val="10"/>
        <color rgb="FF000000"/>
        <rFont val="Arial"/>
        <family val="0"/>
      </rPr>
      <t xml:space="preserve">Cena jedn. netto [zł/m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</si>
  <si>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RAZEM netto [zł]</t>
  </si>
  <si>
    <r>
      <rPr>
        <b val="true"/>
        <sz val="10"/>
        <color rgb="FF000000"/>
        <rFont val="Arial"/>
        <family val="0"/>
      </rPr>
      <t xml:space="preserve">Cena jedn. Razem netto [zł/m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</si>
  <si>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Rodzaj transkacji</t>
  </si>
  <si>
    <t xml:space="preserve">20170505_115806</t>
  </si>
  <si>
    <t xml:space="preserve">3UZ</t>
  </si>
  <si>
    <t xml:space="preserve">4xmpgp korzystanie</t>
  </si>
  <si>
    <t xml:space="preserve">parter, 3 sale konsumpcyjne, pom magazynowe, kuchnia , szatnia, 4 wc, ogrodek 77,40m2, umowa najmu, cena bez podatku VAT, pobrona PCC</t>
  </si>
  <si>
    <t xml:space="preserve">niemieszkalny</t>
  </si>
  <si>
    <t xml:space="preserve">wa2m/00455789/9</t>
  </si>
  <si>
    <t xml:space="preserve">20170505_111123</t>
  </si>
  <si>
    <t xml:space="preserve">106</t>
  </si>
  <si>
    <t xml:space="preserve">mp korzystanie</t>
  </si>
  <si>
    <t xml:space="preserve">jedno pomieszczenie, cena brutto</t>
  </si>
  <si>
    <t xml:space="preserve">wa2m/00515695/2</t>
  </si>
  <si>
    <t xml:space="preserve">20170505_120849</t>
  </si>
  <si>
    <t xml:space="preserve">U7</t>
  </si>
  <si>
    <t xml:space="preserve">pom usług, zaplecze, łazienka, wc, stan deweloperski, cena brutto</t>
  </si>
  <si>
    <t xml:space="preserve">20170505_123920</t>
  </si>
  <si>
    <t xml:space="preserve">Batalionu AK "Krybar"</t>
  </si>
  <si>
    <t xml:space="preserve">U2</t>
  </si>
  <si>
    <t xml:space="preserve">pom uslugi oraz wc</t>
  </si>
  <si>
    <t xml:space="preserve">20170505_122831</t>
  </si>
  <si>
    <t xml:space="preserve">U4</t>
  </si>
  <si>
    <t xml:space="preserve">pom usługowe przedsionek wc, cena brutto</t>
  </si>
  <si>
    <t xml:space="preserve">20170505_125249</t>
  </si>
  <si>
    <t xml:space="preserve">U1</t>
  </si>
  <si>
    <t xml:space="preserve">jedno pom, taras9,20m2 i ogródek 21,10m2, ceny brutto</t>
  </si>
  <si>
    <t xml:space="preserve">pow uzyt, pom socjalne 2xWC, cena brutto</t>
  </si>
  <si>
    <t xml:space="preserve">_114519</t>
  </si>
  <si>
    <t xml:space="preserve">U10</t>
  </si>
  <si>
    <t xml:space="preserve">pom usł, przedsionek wc, wartość VAT nie podana</t>
  </si>
  <si>
    <t xml:space="preserve">12UŻ</t>
  </si>
  <si>
    <t xml:space="preserve">2x nmp</t>
  </si>
  <si>
    <t xml:space="preserve">1pom, zwolnione z VAT , ceny brutto</t>
  </si>
  <si>
    <t xml:space="preserve">U3</t>
  </si>
  <si>
    <t xml:space="preserve">przedsionek, pow podstaw, wc, sprzedaje deweloper cena brutto</t>
  </si>
  <si>
    <t xml:space="preserve">U6</t>
  </si>
  <si>
    <t xml:space="preserve">jedno pomieszczenia, cena brutto obie strony to sp. z o.o.</t>
  </si>
  <si>
    <t xml:space="preserve">U5</t>
  </si>
  <si>
    <t xml:space="preserve">1 pom, strony spółki z. o.o,.cena brutto</t>
  </si>
  <si>
    <t xml:space="preserve">pom przyn.archiwum 71,05m2</t>
  </si>
  <si>
    <t xml:space="preserve">3biur, lunch room, pom.konf,pom.gosp.kom,garderoba, serwerownai, 2wc, obie strony os fizyczne</t>
  </si>
  <si>
    <t xml:space="preserve">wa2m/00496724/5</t>
  </si>
  <si>
    <t xml:space="preserve">lokal i mpgp są przedmiotem najmu na 5lat , sprzedaż razem z lok 103 i 105, cena brutto</t>
  </si>
  <si>
    <t xml:space="preserve">mpgp udział, mpgp udział</t>
  </si>
  <si>
    <t xml:space="preserve">lokal i 1 mpgp są przedmiotem najmu na 5lat sprzedaż razem z lok 101 i 105 cena brutto</t>
  </si>
  <si>
    <t xml:space="preserve">pom przyn 1,48m2, mpgp udział</t>
  </si>
  <si>
    <t xml:space="preserve">2sale konf, pom magazynowe, kuchnia, dwa biura, hol, biuro open space, lokal i mpgp są przedmiotem najmu na 5lat sprzedaż razem z lok 101 i 103 cena brutto</t>
  </si>
  <si>
    <t xml:space="preserve">2.3</t>
  </si>
  <si>
    <t xml:space="preserve">7mp przynależy</t>
  </si>
  <si>
    <t xml:space="preserve">9pok pom socj hall 2 przedsionki 3łaz z wc, obes trony sp z o.o. cena netto 2600000+VAT598000</t>
  </si>
  <si>
    <t xml:space="preserve">pow usł i wc, cena netto 1134000zł</t>
  </si>
  <si>
    <t xml:space="preserve">nmp korzystanie</t>
  </si>
  <si>
    <t xml:space="preserve">netto 1280574,8</t>
  </si>
  <si>
    <t xml:space="preserve">wa2m/00515690/7</t>
  </si>
  <si>
    <t xml:space="preserve">1 izba obie strony sp z o.o, zwolnione z VAT pobrany PCC</t>
  </si>
  <si>
    <t xml:space="preserve">U1 U1 U3 U4</t>
  </si>
  <si>
    <t xml:space="preserve">zorganizowan cześć przedsiębiorstwa -przedszkole, ceny lokali U1 -508130zł, U2- 508130zł, U3- 333925zł, U4 -730000zł + koszty adaptacji, projekt atchitektoniczny, umowa najmu z 2015 r na 10 lat - 19815zł, stronami spółki z o.o. reprezentacji prawdopodobnie spokrewnieni</t>
  </si>
  <si>
    <t xml:space="preserve">1+2 UZ</t>
  </si>
  <si>
    <t xml:space="preserve">mpgp nr 209 korzystanie</t>
  </si>
  <si>
    <t xml:space="preserve">pom usług i toaleta sprzedaz razem z lok nr 6UZ 42,39m2, cena łączna, przedmiot um najmu, kupujacy jest dotychczasowym najemca</t>
  </si>
  <si>
    <t xml:space="preserve">wa2m/00451542/8</t>
  </si>
  <si>
    <t xml:space="preserve">6UZ</t>
  </si>
  <si>
    <t xml:space="preserve">mpgp nr 208 korzystanie</t>
  </si>
  <si>
    <t xml:space="preserve">pom usług i toaleta sprzedaz razem z lok nr 1+2UZ 109,39m2, cena łaczna, przedmiot um najmu,  kupujacy jest dotychczasowym najemca</t>
  </si>
  <si>
    <t xml:space="preserve">wa2m/00451550/7</t>
  </si>
  <si>
    <t xml:space="preserve">pom usługowe i wc, sprzedaje syndyk po przetargu</t>
  </si>
  <si>
    <t xml:space="preserve">U8</t>
  </si>
  <si>
    <t xml:space="preserve">lok uslugowy przedsionek wc  zaplecze, pobranoPCC</t>
  </si>
  <si>
    <t xml:space="preserve">wa2m/00497234/0</t>
  </si>
  <si>
    <t xml:space="preserve">U1C</t>
  </si>
  <si>
    <t xml:space="preserve">1izba łazienka</t>
  </si>
  <si>
    <t xml:space="preserve">pom usług  pom socjalne i wc</t>
  </si>
  <si>
    <t xml:space="preserve">11UZ</t>
  </si>
  <si>
    <t xml:space="preserve">mpgp 202 korzystanie</t>
  </si>
  <si>
    <t xml:space="preserve">pom usł toaleta, sprzedaz razem z lok nr 12UZ 76,01m2 cena łączna, kupujacy jest dotychczasowym Najemca lok UZ12</t>
  </si>
  <si>
    <t xml:space="preserve">wa2m/00451555/2</t>
  </si>
  <si>
    <t xml:space="preserve">12UZ</t>
  </si>
  <si>
    <t xml:space="preserve">pom usł toaleta, sprzedaz razem z lok nr 11UZ 49,65m2, cena łączna, przemiot umowy najmu, kupujacy jest dotychczasowym Najemca</t>
  </si>
  <si>
    <t xml:space="preserve">wa2m/00451557/6</t>
  </si>
  <si>
    <t xml:space="preserve">pom socjalne i 2xWC</t>
  </si>
  <si>
    <t xml:space="preserve">001</t>
  </si>
  <si>
    <t xml:space="preserve">12 mp naziemnych korzystanie</t>
  </si>
  <si>
    <t xml:space="preserve">1pom, lok jest przedmiotem najmu od 09.02.2017</t>
  </si>
  <si>
    <t xml:space="preserve">B</t>
  </si>
  <si>
    <t xml:space="preserve">1pom 2xWC</t>
  </si>
  <si>
    <t xml:space="preserve">6U8</t>
  </si>
  <si>
    <t xml:space="preserve">parter , 1pom</t>
  </si>
  <si>
    <t xml:space="preserve">mp naziemne korzystanie</t>
  </si>
  <si>
    <t xml:space="preserve">1pom</t>
  </si>
  <si>
    <t xml:space="preserve">piwnica 2,12m2</t>
  </si>
  <si>
    <t xml:space="preserve">"składa się z usług, toaletą i zapleczem", stan deweloperski, sprzedaje bank</t>
  </si>
  <si>
    <t xml:space="preserve">sala sprzedazy, pom biurowo-użytkowe, wc i zaplecze magazynowe</t>
  </si>
  <si>
    <t xml:space="preserve">41A</t>
  </si>
  <si>
    <t xml:space="preserve">4 izby w suterenie, brak podatku VAT</t>
  </si>
  <si>
    <t xml:space="preserve">18/22</t>
  </si>
  <si>
    <t xml:space="preserve">1/3 udziału w przedsionku do lokalu 1B o pow 7,955m2</t>
  </si>
  <si>
    <t xml:space="preserve">3pok pom socjalne i wc, sprzedaje os fizycza brak VAT</t>
  </si>
  <si>
    <t xml:space="preserve">pow podstawowa, przedsionek,wc</t>
  </si>
  <si>
    <t xml:space="preserve">107D</t>
  </si>
  <si>
    <t xml:space="preserve">jedno pomieszczenie, sprzedaż razem z lok 25, transakcja miedzy os fizycznymi</t>
  </si>
  <si>
    <t xml:space="preserve">1-</t>
  </si>
  <si>
    <t xml:space="preserve">4 pomieszczenia,wc,przedsionek, sprzedaż razem z lok 24, transakcja miedzy os fizycznymi</t>
  </si>
  <si>
    <t xml:space="preserve">11015</t>
  </si>
  <si>
    <t xml:space="preserve">mpgp i nmp korzystanie</t>
  </si>
  <si>
    <t xml:space="preserve">sprzedaje deweloper,kupuje os fizyczna, 4 powierzchnie usługowe, wc</t>
  </si>
  <si>
    <t xml:space="preserve">_102133</t>
  </si>
  <si>
    <t xml:space="preserve">J</t>
  </si>
  <si>
    <t xml:space="preserve">jedna izba, sprzedaje os fizyczna, kupuje aktualny Najemca, sp z o.o,. - gab dentystyczny</t>
  </si>
  <si>
    <t xml:space="preserve">_085618</t>
  </si>
  <si>
    <t xml:space="preserve">biuro</t>
  </si>
  <si>
    <t xml:space="preserve">obie strony są spółkami prawa zagranicznego</t>
  </si>
  <si>
    <t xml:space="preserve">3xmpgp korzystanie</t>
  </si>
  <si>
    <t xml:space="preserve">pow pds, przedsionej 2xwc,</t>
  </si>
  <si>
    <t xml:space="preserve">wa2m/00502375/9</t>
  </si>
  <si>
    <t xml:space="preserve">_90248</t>
  </si>
  <si>
    <t xml:space="preserve">8UZ</t>
  </si>
  <si>
    <t xml:space="preserve">parter, pom usł i wc</t>
  </si>
  <si>
    <t xml:space="preserve">_91246</t>
  </si>
  <si>
    <t xml:space="preserve">umowa najmu z Zabką a aneksami, na 10 lat od 10.09.2015</t>
  </si>
  <si>
    <t xml:space="preserve">wa2m/00519851/2</t>
  </si>
  <si>
    <t xml:space="preserve">_91521</t>
  </si>
  <si>
    <t xml:space="preserve">pom usł i zaplecze</t>
  </si>
  <si>
    <t xml:space="preserve">_093722</t>
  </si>
  <si>
    <t xml:space="preserve">Jarosława Dąbrowskiego</t>
  </si>
  <si>
    <t xml:space="preserve">pok przedsionek ,sprzedaz razem z lok nr 15</t>
  </si>
  <si>
    <t xml:space="preserve">pok sprzedaz razem z lok nr 14</t>
  </si>
  <si>
    <t xml:space="preserve">_93919</t>
  </si>
  <si>
    <t xml:space="preserve">3x mpgp korzystanie</t>
  </si>
  <si>
    <t xml:space="preserve">pow usług i wc, sprzedaje deweloper, ceny brutto</t>
  </si>
  <si>
    <t xml:space="preserve">_93952</t>
  </si>
  <si>
    <t xml:space="preserve">1pom usł, cena netto, VAT 135700zł</t>
  </si>
  <si>
    <t xml:space="preserve">_094056</t>
  </si>
  <si>
    <t xml:space="preserve">pom usl pom soc i wc, ceny brutto</t>
  </si>
  <si>
    <t xml:space="preserve">_094624</t>
  </si>
  <si>
    <t xml:space="preserve">pom usł i pom sanitarne, cena brutto pobrano PCC</t>
  </si>
  <si>
    <t xml:space="preserve">_100943</t>
  </si>
  <si>
    <t xml:space="preserve">2 pom wc i przedpokoj</t>
  </si>
  <si>
    <t xml:space="preserve">_104101</t>
  </si>
  <si>
    <t xml:space="preserve">U9</t>
  </si>
  <si>
    <t xml:space="preserve">pom usł, wc i przedsionek, sprzedaje deweloper</t>
  </si>
  <si>
    <t xml:space="preserve">111900 ok.</t>
  </si>
  <si>
    <t xml:space="preserve">hal , klatka schodowa,2gabinety, biuro, sala konf.,pokoj rozmow, pom.socjalne, łazienka z wc, sprzedaż razem z lok nr 25 i 2x mpgp</t>
  </si>
  <si>
    <t xml:space="preserve">2xmpgp udział, platforma typu Klaus</t>
  </si>
  <si>
    <t xml:space="preserve">sala , łazienka, łazienka z wc, sprzedaż razem z lok nr 24</t>
  </si>
  <si>
    <t xml:space="preserve">kom piwniczna 3,95m2</t>
  </si>
  <si>
    <t xml:space="preserve">sala pokoj łazienka</t>
  </si>
  <si>
    <t xml:space="preserve">sala sprzedazy, zaplecze, pok socjalny i wc, pobrano podatek PCC 2%</t>
  </si>
  <si>
    <t xml:space="preserve">1pomieszxczenie, przedsionek i wc, pobrano podatek PCC 2%</t>
  </si>
  <si>
    <t xml:space="preserve">kom lok 15,69m2, 2xmpg korzystanie</t>
  </si>
  <si>
    <t xml:space="preserve">pom biurowe, pom socjalne, wc, pobrano podatek PCC 2%</t>
  </si>
  <si>
    <t xml:space="preserve">wa2m/00462923/9</t>
  </si>
  <si>
    <t xml:space="preserve">pow usługowa, wc i przedsionek, pobrano podatek PCC 2%</t>
  </si>
  <si>
    <t xml:space="preserve">pom gosp.8,04m2, 2xmpgp udział</t>
  </si>
  <si>
    <t xml:space="preserve">2pom usługowe, pom usł z hallem, hall,łazienka , zaplecze</t>
  </si>
  <si>
    <t xml:space="preserve">6U4</t>
  </si>
  <si>
    <t xml:space="preserve">parter,</t>
  </si>
  <si>
    <t xml:space="preserve">pomieszczenie+zaplecze socjalne</t>
  </si>
  <si>
    <t xml:space="preserve">3 komórki</t>
  </si>
  <si>
    <t xml:space="preserve">pomieszczenie jedno</t>
  </si>
  <si>
    <t xml:space="preserve">3978</t>
  </si>
  <si>
    <t xml:space="preserve">8929</t>
  </si>
  <si>
    <t xml:space="preserve">pomieszczenie + zaplecze sanitarne</t>
  </si>
  <si>
    <t xml:space="preserve">6911</t>
  </si>
  <si>
    <t xml:space="preserve">Fort Piłsudskiego</t>
  </si>
  <si>
    <t xml:space="preserve">HOTEL-4 pokoje + aneks kuchenny+komórka</t>
  </si>
  <si>
    <t xml:space="preserve">6444</t>
  </si>
  <si>
    <t xml:space="preserve">Hotel-3pokoje +aneks +komórka</t>
  </si>
  <si>
    <t xml:space="preserve">6622</t>
  </si>
  <si>
    <t xml:space="preserve">Brak danych</t>
  </si>
  <si>
    <t xml:space="preserve">Hotel- 1 pokój</t>
  </si>
  <si>
    <t xml:space="preserve">6511</t>
  </si>
  <si>
    <t xml:space="preserve">Hotel- 1pokój</t>
  </si>
  <si>
    <t xml:space="preserve">6494</t>
  </si>
  <si>
    <t xml:space="preserve">Hotel- 2pokoje,kuchnia,taras, ogródek</t>
  </si>
  <si>
    <t xml:space="preserve">6644</t>
  </si>
  <si>
    <t xml:space="preserve">Hotel-2pokoje,taras,łazienka</t>
  </si>
  <si>
    <t xml:space="preserve">6526</t>
  </si>
  <si>
    <t xml:space="preserve">6662</t>
  </si>
  <si>
    <t xml:space="preserve">Hotel-3biura,sala konferencyjna,pomieszczenie nie socjalne</t>
  </si>
  <si>
    <t xml:space="preserve">6611</t>
  </si>
  <si>
    <t xml:space="preserve">Hotel-3pokoje,kuchnia,gabinet, 2 tarasy</t>
  </si>
  <si>
    <t xml:space="preserve">6247</t>
  </si>
  <si>
    <t xml:space="preserve">U-2</t>
  </si>
  <si>
    <t xml:space="preserve">pom, zaplecze, wc</t>
  </si>
  <si>
    <t xml:space="preserve">WA2M/00498067/5</t>
  </si>
  <si>
    <t xml:space="preserve">Batalionu AK "Bałtyk"</t>
  </si>
  <si>
    <t xml:space="preserve">pomieszczenie, wc, przedsionek</t>
  </si>
  <si>
    <t xml:space="preserve">WA2M/00501020/9</t>
  </si>
  <si>
    <t xml:space="preserve">U13</t>
  </si>
  <si>
    <t xml:space="preserve">pomieszczenie, zplecze, mp nr 16</t>
  </si>
  <si>
    <t xml:space="preserve">WA2M/00492361/4</t>
  </si>
  <si>
    <t xml:space="preserve">lok usługowy, zaplecze</t>
  </si>
  <si>
    <t xml:space="preserve">5297</t>
  </si>
  <si>
    <t xml:space="preserve">pomieszczenie, zplecze</t>
  </si>
  <si>
    <t xml:space="preserve">mg nr4 36</t>
  </si>
  <si>
    <t xml:space="preserve">1p, zapl, wc</t>
  </si>
  <si>
    <t xml:space="preserve">Ford Piłsudkiego</t>
  </si>
  <si>
    <t xml:space="preserve">lokal niemieszkalny o przeznaczeniu hotelowym składa się przedpokój,2garderoby,sypialnia, 2łazienki,pokój,kuchnia,salon+taras o pow. 18m2+balkon o pow. 6,8m2+ogórdek o pow, 406m2</t>
  </si>
  <si>
    <t xml:space="preserve">2019-02-27</t>
  </si>
  <si>
    <t xml:space="preserve">WA2M/00321593/0</t>
  </si>
  <si>
    <t xml:space="preserve">5881</t>
  </si>
  <si>
    <t xml:space="preserve">0</t>
  </si>
  <si>
    <t xml:space="preserve">lokal niemieszkany składający się z pomieszczenia i zaplecza</t>
  </si>
  <si>
    <t xml:space="preserve">6166</t>
  </si>
  <si>
    <t xml:space="preserve">8xmpgp</t>
  </si>
  <si>
    <t xml:space="preserve">LOKAL NIEMIESZKALNY O PRZEZNACZENIU HOTELOWYM składda się z wc,komunikacji,2łazienki,2sypialnie,przedpokój,pralnia,salon z aneksem kuchennym,2garderoby oraz balkon o pow.6,8m2, taras o pow. 17,5m2</t>
  </si>
  <si>
    <t xml:space="preserve">6537</t>
  </si>
  <si>
    <t xml:space="preserve">2p hotelowe,ł,taras 31,5m2</t>
  </si>
  <si>
    <t xml:space="preserve">6807</t>
  </si>
  <si>
    <t xml:space="preserve">2p hotelowe,łazienka, taras 11,4 m3, ogródek 19,4m2</t>
  </si>
  <si>
    <t xml:space="preserve">8146</t>
  </si>
  <si>
    <t xml:space="preserve">piwnica PU4 pow. 3,45</t>
  </si>
  <si>
    <t xml:space="preserve">sala, pokój, obszar 20,23m2, użyt. 16,78m2</t>
  </si>
  <si>
    <t xml:space="preserve">Akt. Not.</t>
  </si>
  <si>
    <t xml:space="preserve">WA2M/00519247/5</t>
  </si>
  <si>
    <t xml:space="preserve">417</t>
  </si>
  <si>
    <t xml:space="preserve">pomieszczenie usługowe, przedsionek, wc, zaplecze</t>
  </si>
  <si>
    <t xml:space="preserve">WA2M/00521540/6</t>
  </si>
  <si>
    <t xml:space="preserve">423</t>
  </si>
  <si>
    <t xml:space="preserve">S08</t>
  </si>
  <si>
    <t xml:space="preserve">jedno pomiesczenie</t>
  </si>
  <si>
    <t xml:space="preserve">WA2M/00432359/9</t>
  </si>
  <si>
    <t xml:space="preserve">453</t>
  </si>
  <si>
    <t xml:space="preserve">pomieszczenie usługowe, przedsionej, wc oraz zaplecze</t>
  </si>
  <si>
    <t xml:space="preserve">WA2M/00521538/9</t>
  </si>
  <si>
    <t xml:space="preserve">961</t>
  </si>
  <si>
    <t xml:space="preserve">3U6</t>
  </si>
  <si>
    <t xml:space="preserve">2 biura, hol, przedsionek, pomieszczenie socjalne, wc, ogródek pow 26,15m2</t>
  </si>
  <si>
    <t xml:space="preserve">WA2M/00524130/0</t>
  </si>
  <si>
    <t xml:space="preserve">7U</t>
  </si>
  <si>
    <t xml:space="preserve">pomieszczenie użytkowe,zaplecze,wc,przedsionek</t>
  </si>
  <si>
    <t xml:space="preserve">WA2M/00434366/5</t>
  </si>
  <si>
    <t xml:space="preserve">548</t>
  </si>
  <si>
    <t xml:space="preserve">4 pomieszczenia usługowe w amfiliadzie, zaplecze sanitarne, aneks,antresola</t>
  </si>
  <si>
    <t xml:space="preserve">WA2M/00449401/1</t>
  </si>
  <si>
    <t xml:space="preserve">1038</t>
  </si>
  <si>
    <t xml:space="preserve">pom. Przynależna nr P2,P3,P4oraz mpgp</t>
  </si>
  <si>
    <t xml:space="preserve">lokal niemieszkalny o przeznaczeniu hotelowym, składa się z : przedpokoju, 2 łazienek, garderoby z pralną, salon z kuchnią, 2 pokoje, taras pow. 17,4m2</t>
  </si>
  <si>
    <t xml:space="preserve">brak kw</t>
  </si>
  <si>
    <t xml:space="preserve">879</t>
  </si>
  <si>
    <t xml:space="preserve">powierzchnia usługowa, przedsionek, wc , zaplecze</t>
  </si>
  <si>
    <t xml:space="preserve">WA2M/00521541/3</t>
  </si>
  <si>
    <t xml:space="preserve">450</t>
  </si>
  <si>
    <t xml:space="preserve">1 izba,wc</t>
  </si>
  <si>
    <t xml:space="preserve">WA2M/00480440/5</t>
  </si>
  <si>
    <t xml:space="preserve">1418</t>
  </si>
  <si>
    <t xml:space="preserve">mpgp nr 2.82</t>
  </si>
  <si>
    <t xml:space="preserve">pomieszczenie usłguowe,wc</t>
  </si>
  <si>
    <t xml:space="preserve">WA2M/00502916/4</t>
  </si>
  <si>
    <t xml:space="preserve">3490</t>
  </si>
  <si>
    <t xml:space="preserve">WA2M/00473766/4</t>
  </si>
  <si>
    <t xml:space="preserve">677</t>
  </si>
  <si>
    <t xml:space="preserve">mpgp nr 78</t>
  </si>
  <si>
    <t xml:space="preserve">WA2M/00490861/5</t>
  </si>
  <si>
    <t xml:space="preserve">  powierzchnia usługowa, przedsionek, wc oraz zaplecze, 2017</t>
  </si>
  <si>
    <t xml:space="preserve">2575</t>
  </si>
  <si>
    <t xml:space="preserve">5U</t>
  </si>
  <si>
    <t xml:space="preserve">pom użytkowe, zaplecze,2wc, przedsionek</t>
  </si>
  <si>
    <t xml:space="preserve">Brergamotki</t>
  </si>
  <si>
    <t xml:space="preserve">2 mg (platforma)</t>
  </si>
  <si>
    <t xml:space="preserve">7667</t>
  </si>
  <si>
    <t xml:space="preserve">7658</t>
  </si>
  <si>
    <t xml:space="preserve">3822</t>
  </si>
  <si>
    <t xml:space="preserve">biuro, zaplecze, taras 74,45 m2</t>
  </si>
  <si>
    <t xml:space="preserve">taras 74 m2</t>
  </si>
  <si>
    <t xml:space="preserve">WA2M/00510623/2</t>
  </si>
  <si>
    <t xml:space="preserve">6817</t>
  </si>
  <si>
    <t xml:space="preserve">34a</t>
  </si>
  <si>
    <t xml:space="preserve">5 p, k, ł, wc</t>
  </si>
  <si>
    <t xml:space="preserve">sprzedaje sm "Służew nad Dolinką", brak KW</t>
  </si>
  <si>
    <t xml:space="preserve">5612</t>
  </si>
  <si>
    <t xml:space="preserve">Forst Piłsudkiego</t>
  </si>
  <si>
    <t xml:space="preserve">hotel: 2 pokoje hotelowe, łazienka</t>
  </si>
  <si>
    <t xml:space="preserve">WA2M/00526177/5</t>
  </si>
  <si>
    <t xml:space="preserve">4504</t>
  </si>
  <si>
    <t xml:space="preserve">pomieszczenie usługowe, 2 zaplecza</t>
  </si>
  <si>
    <t xml:space="preserve">WA2M/00499665/4</t>
  </si>
  <si>
    <t xml:space="preserve">3779</t>
  </si>
  <si>
    <t xml:space="preserve">pow usługowa, wc, zaplecze</t>
  </si>
  <si>
    <t xml:space="preserve">WA2M/00529355/8</t>
  </si>
  <si>
    <t xml:space="preserve">mpgp, taras, kom lok </t>
  </si>
  <si>
    <t xml:space="preserve">1p, ak, ł, pralnia (niemieszkalny)</t>
  </si>
  <si>
    <t xml:space="preserve">WA2M/00529465/2</t>
  </si>
  <si>
    <t xml:space="preserve">3 mpgp, kom lok nr P10 o pow 4,38 mkw, taras i ogródek o pow 46,30 mkw</t>
  </si>
  <si>
    <t xml:space="preserve">1p, ak, ł, wc, garderoba, pralnia (niemieszkalny)</t>
  </si>
  <si>
    <t xml:space="preserve">WA2M/00529072/0</t>
  </si>
  <si>
    <t xml:space="preserve">6410</t>
  </si>
  <si>
    <t xml:space="preserve">kom. Lok. P1, mpgp</t>
  </si>
  <si>
    <t xml:space="preserve">WA2M/00225635/</t>
  </si>
  <si>
    <t xml:space="preserve">11268</t>
  </si>
  <si>
    <t xml:space="preserve">boks rowerowy składający się z jednej izby, 1/2 udziału</t>
  </si>
  <si>
    <t xml:space="preserve">WA2M/00456771/7</t>
  </si>
  <si>
    <t xml:space="preserve">2p, wc, antresola, kltka schodowa</t>
  </si>
  <si>
    <t xml:space="preserve">WA2M/00510510/7</t>
  </si>
  <si>
    <t xml:space="preserve">70693</t>
  </si>
  <si>
    <t xml:space="preserve">pomieszczenie, łazienka, wc, mp naziemne nr 5 i 6</t>
  </si>
  <si>
    <t xml:space="preserve">WA2M/00455407/8</t>
  </si>
  <si>
    <t xml:space="preserve">WA2M/00530638/6</t>
  </si>
  <si>
    <t xml:space="preserve">WA2M/00467500/7</t>
  </si>
  <si>
    <t xml:space="preserve">2nmp</t>
  </si>
  <si>
    <t xml:space="preserve">WA2M/00463128/7</t>
  </si>
  <si>
    <t xml:space="preserve">WA2M/00461863/7</t>
  </si>
  <si>
    <t xml:space="preserve">1-02-23</t>
  </si>
  <si>
    <t xml:space="preserve">9mg</t>
  </si>
  <si>
    <t xml:space="preserve">WA2M/00494285/1</t>
  </si>
  <si>
    <t xml:space="preserve">powierzchnia usługowa, hol, kuchnia i w.c.</t>
  </si>
  <si>
    <r>
      <rPr>
        <b val="true"/>
        <sz val="10"/>
        <color rgb="FF000000"/>
        <rFont val="Arial"/>
        <family val="0"/>
      </rPr>
      <t xml:space="preserve">Cena jedn.brutto [zł/m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</si>
  <si>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Cena dod. składników brutto [zł]</t>
  </si>
  <si>
    <t xml:space="preserve">RAZEM BRUTTO</t>
  </si>
  <si>
    <r>
      <rPr>
        <b val="true"/>
        <sz val="10"/>
        <color rgb="FF000000"/>
        <rFont val="Arial"/>
        <family val="0"/>
      </rPr>
      <t xml:space="preserve">Cena jedn. razem [zł/m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</si>
  <si>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2pok k cena brutto</t>
  </si>
  <si>
    <t xml:space="preserve">mpgp, taras i ogródek 15,74m2 - korzystanie</t>
  </si>
  <si>
    <t xml:space="preserve">2pok ak cena brutto</t>
  </si>
  <si>
    <t xml:space="preserve">mpgp korzystanie w cenie lokalu za 19500zł</t>
  </si>
  <si>
    <t xml:space="preserve">2pok kuchnia cena brutto</t>
  </si>
  <si>
    <t xml:space="preserve">w tym antresola 16,75m2</t>
  </si>
  <si>
    <t xml:space="preserve">pok ak antresola cena brutto</t>
  </si>
  <si>
    <t xml:space="preserve">3pok k cena brutto</t>
  </si>
  <si>
    <t xml:space="preserve">2xmpgp i pom dla jednosladu korzystanie</t>
  </si>
  <si>
    <t xml:space="preserve">4pok k cena brutto</t>
  </si>
  <si>
    <t xml:space="preserve">mpgp korzystanie w cenie lokalu za 29000zł</t>
  </si>
  <si>
    <t xml:space="preserve">mpgp i kom lok udział, udział w użyt wiecz</t>
  </si>
  <si>
    <t xml:space="preserve">2x mpgp korzystanie</t>
  </si>
  <si>
    <t xml:space="preserve">kom lok 2,91m2, mpgp korzystanie, udział w drodze</t>
  </si>
  <si>
    <t xml:space="preserve">3pok kuch z jadalnia</t>
  </si>
  <si>
    <t xml:space="preserve">udział w drodze</t>
  </si>
  <si>
    <t xml:space="preserve">2pok kuch z jadalnią</t>
  </si>
  <si>
    <t xml:space="preserve">18H</t>
  </si>
  <si>
    <t xml:space="preserve">mpgp i "zielony dach" bezpośrednio nad lokalem, pow. gospodarcza nr KG2- korzystanie</t>
  </si>
  <si>
    <t xml:space="preserve">piwnica 1,80m2, udział w Dziedzińcu</t>
  </si>
  <si>
    <t xml:space="preserve">mpgp platforma</t>
  </si>
  <si>
    <t xml:space="preserve">2pok ak, taras 19,18m2</t>
  </si>
  <si>
    <t xml:space="preserve">18-02-2019</t>
  </si>
  <si>
    <t xml:space="preserve">WA2M/00309639/5</t>
  </si>
  <si>
    <t xml:space="preserve">2pok ak, ceny brutto</t>
  </si>
  <si>
    <t xml:space="preserve">kom lok 11,0m2</t>
  </si>
  <si>
    <t xml:space="preserve">3pok ak, ceny brutto</t>
  </si>
  <si>
    <t xml:space="preserve">kom lok 3,81m2</t>
  </si>
  <si>
    <t xml:space="preserve">30,76</t>
  </si>
  <si>
    <t xml:space="preserve">schowek 1,67m2</t>
  </si>
  <si>
    <t xml:space="preserve">kom lok 2,86m2, 2xmpgp korzystanie</t>
  </si>
  <si>
    <t xml:space="preserve">82</t>
  </si>
  <si>
    <t xml:space="preserve">2xmpgp i schowek - udzial</t>
  </si>
  <si>
    <t xml:space="preserve">mpgp korzystanie, udział w drodze</t>
  </si>
  <si>
    <t xml:space="preserve">kuchnia z jadalnia, salon, pokoj ceny brutto</t>
  </si>
  <si>
    <t xml:space="preserve">3pok ak ogródek 56,09m2 ogródek 25,13m2</t>
  </si>
  <si>
    <t xml:space="preserve">Grupy AK "Krybar"</t>
  </si>
  <si>
    <t xml:space="preserve">2p, ak, taras-5,66, ogródek-16,01</t>
  </si>
  <si>
    <t xml:space="preserve">28.11.2018</t>
  </si>
  <si>
    <t xml:space="preserve">Zapachu Bzu</t>
  </si>
  <si>
    <t xml:space="preserve">S7</t>
  </si>
  <si>
    <t xml:space="preserve">1, 2, 3</t>
  </si>
  <si>
    <t xml:space="preserve">mpgp, udz. W dr</t>
  </si>
  <si>
    <t xml:space="preserve">5p, k, 2 tarasy - 10,38 i 12,75, ogródek-294,04</t>
  </si>
  <si>
    <t xml:space="preserve">kom.l-5,16, mpgp, udz.w.dr</t>
  </si>
  <si>
    <t xml:space="preserve">3p, ak, balkon-9,43</t>
  </si>
  <si>
    <t xml:space="preserve">WA2M/00509319/8</t>
  </si>
  <si>
    <t xml:space="preserve">Śpiewu Ptaków</t>
  </si>
  <si>
    <t xml:space="preserve">kom.l-3,37, mp</t>
  </si>
  <si>
    <t xml:space="preserve">3p, ak, taras-8,47, ogródek-231,18</t>
  </si>
  <si>
    <t xml:space="preserve">WA2M/00509323/9</t>
  </si>
  <si>
    <t xml:space="preserve">WA2M/00128383/2</t>
  </si>
  <si>
    <t xml:space="preserve">WA2M/00513499/4</t>
  </si>
  <si>
    <t xml:space="preserve"> 2sch-1,64 i 1,86</t>
  </si>
  <si>
    <t xml:space="preserve">2p, k, 2 loggie, oranżeria</t>
  </si>
  <si>
    <t xml:space="preserve">WA2M/00144079/6</t>
  </si>
  <si>
    <t xml:space="preserve">p, k, loggia</t>
  </si>
  <si>
    <t xml:space="preserve">Jurija Gagarina</t>
  </si>
  <si>
    <t xml:space="preserve">piw-2,50, udz.w. pr.uż.w</t>
  </si>
  <si>
    <t xml:space="preserve">piw-1,90, udz.w. pr.uż.w</t>
  </si>
  <si>
    <t xml:space="preserve">2p, ak, balkon-3,70</t>
  </si>
  <si>
    <t xml:space="preserve">WA2M/00161220/5</t>
  </si>
  <si>
    <t xml:space="preserve">kom.l-1,35, mpgp</t>
  </si>
  <si>
    <t xml:space="preserve">2p, ak, balkon-8,94</t>
  </si>
  <si>
    <t xml:space="preserve">WA2M/00509321/5</t>
  </si>
  <si>
    <t xml:space="preserve">p.gos-3,21, mp</t>
  </si>
  <si>
    <t xml:space="preserve">2p, ak, balkon-12,02</t>
  </si>
  <si>
    <t xml:space="preserve">WA2M/00506102/3</t>
  </si>
  <si>
    <t xml:space="preserve">Batalionu Ak "Karpaty"</t>
  </si>
  <si>
    <t xml:space="preserve">h, sn z an.kuch, sp, ł</t>
  </si>
  <si>
    <t xml:space="preserve">kom.l-1,54</t>
  </si>
  <si>
    <t xml:space="preserve">2p, ak, balkon-2,69</t>
  </si>
  <si>
    <t xml:space="preserve">WA2M/00137124/5</t>
  </si>
  <si>
    <t xml:space="preserve">2p, ak, balkon-6,01</t>
  </si>
  <si>
    <t xml:space="preserve">WA2M/00468010/2</t>
  </si>
  <si>
    <t xml:space="preserve">2p, ak, balkon</t>
  </si>
  <si>
    <t xml:space="preserve">2mp, sch</t>
  </si>
  <si>
    <t xml:space="preserve">6p, ak, balkon-4,79; 4loggie-10,80; 1,92; 1,94; 1,95</t>
  </si>
  <si>
    <t xml:space="preserve">WA2M/00148917/1</t>
  </si>
  <si>
    <t xml:space="preserve">3p, k, balkon</t>
  </si>
  <si>
    <t xml:space="preserve">kom.l-1,52</t>
  </si>
  <si>
    <t xml:space="preserve">kom.l-1,85</t>
  </si>
  <si>
    <t xml:space="preserve">3p, ak, balkon-2,69</t>
  </si>
  <si>
    <t xml:space="preserve">3p, k, taras-14,78, balkon-10,04</t>
  </si>
  <si>
    <t xml:space="preserve">WA2M/00142053/4</t>
  </si>
  <si>
    <t xml:space="preserve">2p, ak, balkon-12,14</t>
  </si>
  <si>
    <t xml:space="preserve">kom.l-2,11</t>
  </si>
  <si>
    <t xml:space="preserve">4p, ak, 2 balkony-2,69</t>
  </si>
  <si>
    <t xml:space="preserve">2mp</t>
  </si>
  <si>
    <t xml:space="preserve">4p, ak, balkon-10,04</t>
  </si>
  <si>
    <t xml:space="preserve">3p, ak, taras-17,11</t>
  </si>
  <si>
    <t xml:space="preserve">kom.l-3,35, pom.g-9,61, 2mpgp, udz.w.dr</t>
  </si>
  <si>
    <t xml:space="preserve">4p, k, taras-8,44, 2ogródki-77,77 i 26,60</t>
  </si>
  <si>
    <t xml:space="preserve">mp, pom.p</t>
  </si>
  <si>
    <t xml:space="preserve">WA2M/00513348/1</t>
  </si>
  <si>
    <t xml:space="preserve">3p, k, loggia</t>
  </si>
  <si>
    <t xml:space="preserve">WA2M/00508497/2</t>
  </si>
  <si>
    <t xml:space="preserve">S. Kierbedzia</t>
  </si>
  <si>
    <t xml:space="preserve">2mp, boks rower-3,06</t>
  </si>
  <si>
    <t xml:space="preserve">3p, ak, balkon</t>
  </si>
  <si>
    <t xml:space="preserve">WA2M/00170489/4</t>
  </si>
  <si>
    <t xml:space="preserve">WA2M/00510677/5</t>
  </si>
  <si>
    <t xml:space="preserve">mpgp, boks r-3,56</t>
  </si>
  <si>
    <t xml:space="preserve">S19</t>
  </si>
  <si>
    <t xml:space="preserve">4p, k, 2tarasy-10,39 i 14,77, ogródek-108,78</t>
  </si>
  <si>
    <t xml:space="preserve">WA2M/00509322/2</t>
  </si>
  <si>
    <t xml:space="preserve">p, ak, balkon-2,09</t>
  </si>
  <si>
    <t xml:space="preserve">al. Gen. Władysława Sikorskiego</t>
  </si>
  <si>
    <t xml:space="preserve">wyposażenie, m-ce.p</t>
  </si>
  <si>
    <t xml:space="preserve">pokój z aneksem kuch, p, pp, ł</t>
  </si>
  <si>
    <t xml:space="preserve">Żegiestowska</t>
  </si>
  <si>
    <t xml:space="preserve">4p, k, balkon-12,52</t>
  </si>
  <si>
    <t xml:space="preserve">WA2M/00118717/0</t>
  </si>
  <si>
    <t xml:space="preserve">kom.l-5,56, mp</t>
  </si>
  <si>
    <t xml:space="preserve">p, k, taras-4,04, ogródek-11,29</t>
  </si>
  <si>
    <t xml:space="preserve">mpgp, schowek</t>
  </si>
  <si>
    <t xml:space="preserve">4p, k,2 tarasy-11,07 i 13,38, ogródek-244,92</t>
  </si>
  <si>
    <t xml:space="preserve">2p, k, antresola-28,97 (2p)</t>
  </si>
  <si>
    <t xml:space="preserve">2p, k, balkon-4,95</t>
  </si>
  <si>
    <t xml:space="preserve">3p, k, balkon-6,68</t>
  </si>
  <si>
    <t xml:space="preserve">pom.g-4,47, mpgp</t>
  </si>
  <si>
    <t xml:space="preserve">2p, ak, taras-3,57</t>
  </si>
  <si>
    <t xml:space="preserve">WA2M/00280376/3</t>
  </si>
  <si>
    <t xml:space="preserve">2mp, boks rower</t>
  </si>
  <si>
    <t xml:space="preserve">4p, k, balkon</t>
  </si>
  <si>
    <t xml:space="preserve">2p, ak, balkon-6,11</t>
  </si>
  <si>
    <t xml:space="preserve">kom.l, mpgp</t>
  </si>
  <si>
    <t xml:space="preserve">WA2M/00143222/7</t>
  </si>
  <si>
    <t xml:space="preserve">264</t>
  </si>
  <si>
    <t xml:space="preserve">2 i 3</t>
  </si>
  <si>
    <t xml:space="preserve">3mg(k-2)nr260,261,2622kom.lok.przynależne nr 337 i 338 pu8,74mkw</t>
  </si>
  <si>
    <t xml:space="preserve">WA2M/00465223/7</t>
  </si>
  <si>
    <t xml:space="preserve">212</t>
  </si>
  <si>
    <t xml:space="preserve">mg A62, kom nr A.K05 pu2,98mkw</t>
  </si>
  <si>
    <t xml:space="preserve">2p, ak, ł, k, logia2,47mk2</t>
  </si>
  <si>
    <t xml:space="preserve">3p, ak, ł, wc, k, g, balkon4,08mkw</t>
  </si>
  <si>
    <t xml:space="preserve">mg(k-1)nrA04, kom.loknr2.K012,01mkw</t>
  </si>
  <si>
    <t xml:space="preserve">2p, ak, ł, k, balkon2,69mkw</t>
  </si>
  <si>
    <t xml:space="preserve">WA2M/00522804/2</t>
  </si>
  <si>
    <t xml:space="preserve">2p, ak, ł, ogródek 37,19 mkw, taras 10,16 mkw, mg nr 44, boks na rowery nr G-1/18</t>
  </si>
  <si>
    <t xml:space="preserve">1p, ak, ł, balkon 4,92 mkw, mg nr 17</t>
  </si>
  <si>
    <t xml:space="preserve">2p, k, ł, balkon 5,23 mkw, mg nr 38</t>
  </si>
  <si>
    <t xml:space="preserve">2p, k, ł, balkon 4,88 mkw, mg nr 20</t>
  </si>
  <si>
    <t xml:space="preserve">S2</t>
  </si>
  <si>
    <t xml:space="preserve">ak,wc, 4p, 2ł, pom tech, gard, garaż 37,44 mkw, tarasy 1o,38 oraz 14,37 mkw, ogródek 108,31 mkw</t>
  </si>
  <si>
    <t xml:space="preserve">WA2M/00509320/8</t>
  </si>
  <si>
    <t xml:space="preserve">1p, ak, ł, balkon 2,69 mkw</t>
  </si>
  <si>
    <t xml:space="preserve">2p, k, ł, balkon 5,30 mkw, mg nr 20</t>
  </si>
  <si>
    <t xml:space="preserve">3p, k, ł, wc, balkon 8,87 mkw, 2 boksy rowerowe nr G-1/10 o pow 6,80 mkw oraz nr G-1/11 o pow 6,61 mkw, mgr nr 11 oraz 12</t>
  </si>
  <si>
    <t xml:space="preserve">mg(k-2)nr45, boks row.(k-1)nrB16</t>
  </si>
  <si>
    <t xml:space="preserve">3p, ak, ł, wc, k, balkon16,60mkw</t>
  </si>
  <si>
    <t xml:space="preserve">WA2M/00389357/8</t>
  </si>
  <si>
    <t xml:space="preserve">mg nr 21</t>
  </si>
  <si>
    <t xml:space="preserve">1p, ak, ł, taras</t>
  </si>
  <si>
    <t xml:space="preserve">2p, ak, ł, wc, loggia 2,47 mkw, kom lok 2,35 mkw nr B.K23, mg nr 180 oraz 76</t>
  </si>
  <si>
    <t xml:space="preserve">2p, ak, , ł,  kom lok 2,31 mkw nr KL.25, mg nr 29 i 33</t>
  </si>
  <si>
    <t xml:space="preserve">1p, k, ł, kom lok 2,93 mkw nr KL.57</t>
  </si>
  <si>
    <t xml:space="preserve">243</t>
  </si>
  <si>
    <t xml:space="preserve">mg(k-2)nr92</t>
  </si>
  <si>
    <t xml:space="preserve">2p, ak, ł, k, logia</t>
  </si>
  <si>
    <t xml:space="preserve">mg(k-2)nr124, Schowek rowerowy nr SR3 pu 2,34mkw</t>
  </si>
  <si>
    <t xml:space="preserve">3p, k, g, k 2ł, taras, ogródek</t>
  </si>
  <si>
    <t xml:space="preserve">2p, ak, ł, k</t>
  </si>
  <si>
    <t xml:space="preserve">279</t>
  </si>
  <si>
    <t xml:space="preserve">mg(k-1)nr19, kom.lok.(-1)nrKL7pu2,02</t>
  </si>
  <si>
    <t xml:space="preserve">3p, ak, g, k, ł</t>
  </si>
  <si>
    <t xml:space="preserve">322</t>
  </si>
  <si>
    <t xml:space="preserve">1p, ak, ł, kom lok o pow 2,81 nr KL.29</t>
  </si>
  <si>
    <t xml:space="preserve">259</t>
  </si>
  <si>
    <t xml:space="preserve">2p, ak, ł, wc, schowek rowerowy o pow 1,87 mkw nr SR19</t>
  </si>
  <si>
    <t xml:space="preserve">1p, ak, ł, wnęka na szafę, pom gosp nr G/36 o pow 3,50 mkw, balkon 5,28 mkw, mg na platformie dolnej o nr 55</t>
  </si>
  <si>
    <t xml:space="preserve">1p, ak, ł, ogród zimowy 6,08 mkw, kom lok C.K21 pow 2,51 mkw</t>
  </si>
  <si>
    <t xml:space="preserve">2p, ak, 2 ł, garde, balkon 2,69 mkw, kom lok A.K06 pow 2,81 mkw, mg nr C52</t>
  </si>
  <si>
    <t xml:space="preserve">2p, ak, ł, wc, loggia 2,47 mkw</t>
  </si>
  <si>
    <t xml:space="preserve">Al.Sikorskiego</t>
  </si>
  <si>
    <t xml:space="preserve">1p, ak, , ł, balkon 6,63 mkw</t>
  </si>
  <si>
    <t xml:space="preserve">WA2M/00491657/9</t>
  </si>
  <si>
    <t xml:space="preserve">mg nr 112 oraz 91</t>
  </si>
  <si>
    <t xml:space="preserve">ak, 3p, 2 ł, wc, loggia 8,11 mkw</t>
  </si>
  <si>
    <t xml:space="preserve">2p, k, ł, balkon 4,68 mkw, mg nr 1</t>
  </si>
  <si>
    <t xml:space="preserve">A. Patkowskiego</t>
  </si>
  <si>
    <t xml:space="preserve">3p, k, ł, wc, balkon o pow 8,82 mkw, mg nr 6, boks na rowery nr G-1/18 o pow 6,79 mkw</t>
  </si>
  <si>
    <t xml:space="preserve">9394</t>
  </si>
  <si>
    <t xml:space="preserve">1p, ak, ł, balkon 4,92 mkw, mg nr 19</t>
  </si>
  <si>
    <t xml:space="preserve">2p, ak, 2ł, loggia 2,47 mkw</t>
  </si>
  <si>
    <t xml:space="preserve">1p, ak, ł, mg nr 52</t>
  </si>
  <si>
    <t xml:space="preserve">salon, k, ł, loggia 2,47</t>
  </si>
  <si>
    <t xml:space="preserve">272</t>
  </si>
  <si>
    <t xml:space="preserve">1p, ak, ł, kom lok KL.34 o pow 1,97 mkw, schowek rowerowy o pow 2,17 mkw o nr SR17, mg nr 108</t>
  </si>
  <si>
    <t xml:space="preserve">293</t>
  </si>
  <si>
    <t xml:space="preserve">1p, k, ł, kom lok 2,75 nr KL.28, mg nr 145</t>
  </si>
  <si>
    <t xml:space="preserve">mg nr 2, kom lok nr 58</t>
  </si>
  <si>
    <t xml:space="preserve">4p, k, 2ł,</t>
  </si>
  <si>
    <t xml:space="preserve">WA2M/00515050/9</t>
  </si>
  <si>
    <t xml:space="preserve">2pokoje,kuchnia,łazienka z wc,przedpokój + balkon o pow. 9,69</t>
  </si>
  <si>
    <t xml:space="preserve">300</t>
  </si>
  <si>
    <t xml:space="preserve">salon, 1p, ł</t>
  </si>
  <si>
    <t xml:space="preserve">2p, ak, ł, wc, balkon 7,62 mkw, mg nr 5, boks rowerowy nr G-1/17 pow 6,68 mkw</t>
  </si>
  <si>
    <t xml:space="preserve">2p, ak,</t>
  </si>
  <si>
    <t xml:space="preserve">komórka lokatorska o pow. 2,4m2, loggia, oranżeria, pmgp</t>
  </si>
  <si>
    <t xml:space="preserve">przedpokój,pokój dzienny z aneksem kuchennym,łazienka,pralnia,2 pokoje</t>
  </si>
  <si>
    <t xml:space="preserve">Jana Pohoskiego</t>
  </si>
  <si>
    <t xml:space="preserve">2xmpgp, kom.l nr 35 , schowek</t>
  </si>
  <si>
    <t xml:space="preserve">salon z aneksem kuchenny,3p,przedpokój,2ł z wc</t>
  </si>
  <si>
    <t xml:space="preserve">Ananasowej</t>
  </si>
  <si>
    <t xml:space="preserve">hall,pokój z aneksem kuchennym, pokój,łazienka. Balkon o pow. 4,86m2</t>
  </si>
  <si>
    <t xml:space="preserve">Frederyka Joliot-Curie</t>
  </si>
  <si>
    <t xml:space="preserve">salon z aneksem kuchennym, 2 sypialnie,łazienka,wc,hol+balko o pow, 16,6m2</t>
  </si>
  <si>
    <t xml:space="preserve">pokój,kuchnia,łazienka z wc, przedpokój02</t>
  </si>
  <si>
    <t xml:space="preserve">WA2M/00436120/3</t>
  </si>
  <si>
    <t xml:space="preserve">Bobrowircka</t>
  </si>
  <si>
    <t xml:space="preserve">hol,kuchnia,pokój,sypialnia,łazienka</t>
  </si>
  <si>
    <t xml:space="preserve">2b</t>
  </si>
  <si>
    <t xml:space="preserve">salon z aneksem kuchennym,2sypialnie,łazienka,wc,hol + balkon</t>
  </si>
  <si>
    <t xml:space="preserve">2 xmpgp, pom.gosp.</t>
  </si>
  <si>
    <t xml:space="preserve">2p,kuchnia,2ł z wc,2garderoby,korytarz, przedpokój</t>
  </si>
  <si>
    <t xml:space="preserve">boks lokatorski nr B.B.45, mpgp  nr B94</t>
  </si>
  <si>
    <t xml:space="preserve">hol,salon z aneksem kuchennym,łazienka,pokój. Ogród o pow. 31,25m2</t>
  </si>
  <si>
    <t xml:space="preserve">przedpokój,pokój,kuchnia,łazienka,sypialnia + balkon</t>
  </si>
  <si>
    <t xml:space="preserve">234</t>
  </si>
  <si>
    <t xml:space="preserve">salon z aneksem kuchennym,2sypialnie,łazienka,hol + BALKON</t>
  </si>
  <si>
    <t xml:space="preserve">hol,salon z aneksem,4p,2ł,wc. Do lokalu przylegają loggie o pow. 2,46 i 2,47</t>
  </si>
  <si>
    <t xml:space="preserve">przedpokój,pokój,kuchnia,łazienka,balkon</t>
  </si>
  <si>
    <t xml:space="preserve">2p,k,ł,hol, balkon o pow. 4,96m2</t>
  </si>
  <si>
    <t xml:space="preserve">WA2M/00194172/3</t>
  </si>
  <si>
    <t xml:space="preserve">256</t>
  </si>
  <si>
    <t xml:space="preserve">kom. L pow. 1,76</t>
  </si>
  <si>
    <t xml:space="preserve">hol,salon z aneksem kuchennym,2łazienki,2pokoje,gaderoba. Balkon o pow. 2,69</t>
  </si>
  <si>
    <t xml:space="preserve">1-07-07.</t>
  </si>
  <si>
    <t xml:space="preserve">Siekierkowska</t>
  </si>
  <si>
    <t xml:space="preserve">Sierakowska</t>
  </si>
  <si>
    <t xml:space="preserve">salon, aneks,sypialnia,łazienka, hol</t>
  </si>
  <si>
    <t xml:space="preserve">13-05-2019</t>
  </si>
  <si>
    <t xml:space="preserve">WA2M/00524134/8</t>
  </si>
  <si>
    <t xml:space="preserve">w tym antresola 36,48</t>
  </si>
  <si>
    <t xml:space="preserve">salon z aneksem,2p,ł,wc,hol</t>
  </si>
  <si>
    <t xml:space="preserve">salon z aneksem, sypialnia,łazienka,hol</t>
  </si>
  <si>
    <t xml:space="preserve">komórka lokatorska pow. 6,37m2</t>
  </si>
  <si>
    <t xml:space="preserve">pokój z aneksem,2p,łazienka,przedpokój, taras pow. 117,98m2</t>
  </si>
  <si>
    <t xml:space="preserve">WA2M/00523448/5</t>
  </si>
  <si>
    <t xml:space="preserve">2p.ak</t>
  </si>
  <si>
    <t xml:space="preserve">komórka lokatorska o pow. 3,56m2</t>
  </si>
  <si>
    <t xml:space="preserve">pokój z aneksem, 2p,przedpokój,łazienka,wc, balkon 6,37m2</t>
  </si>
  <si>
    <t xml:space="preserve">pokój z aneksem,2p,ł,wc,przedpokój, balkon o pow. 17.13</t>
  </si>
  <si>
    <t xml:space="preserve">salon z aneksem,sypialnia,łazienka,hol</t>
  </si>
  <si>
    <t xml:space="preserve">hol, salon, kuchnia,łazienka, balkon pow. 2,69m2</t>
  </si>
  <si>
    <t xml:space="preserve">komórka lokatorska pow. 3,47m2</t>
  </si>
  <si>
    <t xml:space="preserve">pokój z aneksem,pokój,przedpokój,łazienka z wc</t>
  </si>
  <si>
    <t xml:space="preserve">WA2M/00523654/2</t>
  </si>
  <si>
    <t xml:space="preserve">komórka lokatorska o pow. 4,68m2</t>
  </si>
  <si>
    <t xml:space="preserve">3p, aneks, ł,przedpokój,wc</t>
  </si>
  <si>
    <t xml:space="preserve">Buska</t>
  </si>
  <si>
    <t xml:space="preserve">HOL,3SYPIALNIA,KUCHNIA,SALON Z JADALNIĄWC,ŁAZIENKA</t>
  </si>
  <si>
    <t xml:space="preserve">WA2M/00033830/8</t>
  </si>
  <si>
    <t xml:space="preserve">Kiebedzia</t>
  </si>
  <si>
    <t xml:space="preserve">42B</t>
  </si>
  <si>
    <t xml:space="preserve">1-08-01.</t>
  </si>
  <si>
    <t xml:space="preserve">komórka,mg</t>
  </si>
  <si>
    <t xml:space="preserve">komórka lokatorska o pow. 2,93 m2</t>
  </si>
  <si>
    <t xml:space="preserve">pokój,aneks,sypialnia,przedpokój,łazienka</t>
  </si>
  <si>
    <t xml:space="preserve">a</t>
  </si>
  <si>
    <t xml:space="preserve">HOL,K,3P,Ł</t>
  </si>
  <si>
    <t xml:space="preserve">pokój, kuchnia,sypialnia,łazienka,hol</t>
  </si>
  <si>
    <t xml:space="preserve">komórka lokatorska pow. 1,71m2, mpgp</t>
  </si>
  <si>
    <t xml:space="preserve">salon z aneksem, 2hole,3łazienki,3p, balkon o pow. 2,69m2</t>
  </si>
  <si>
    <t xml:space="preserve">komórka lokatorska pow. 5,24m2, mpgp</t>
  </si>
  <si>
    <t xml:space="preserve">hol,salon z aneksem,łązienka,2p,wc, balkon pow. 2,69m2</t>
  </si>
  <si>
    <t xml:space="preserve">10c</t>
  </si>
  <si>
    <t xml:space="preserve">komórka lokatorska, mpgp</t>
  </si>
  <si>
    <t xml:space="preserve">WA2M/00509095/1</t>
  </si>
  <si>
    <t xml:space="preserve">pokój z aneksem,2p,przedpokój,łazienka z wc</t>
  </si>
  <si>
    <t xml:space="preserve">WA2M/00519261/9</t>
  </si>
  <si>
    <t xml:space="preserve">p,ak</t>
  </si>
  <si>
    <t xml:space="preserve">4p,ak</t>
  </si>
  <si>
    <t xml:space="preserve">2p.k</t>
  </si>
  <si>
    <t xml:space="preserve">3p,aneks,przedpokój,łazienka,toaleta, balkon</t>
  </si>
  <si>
    <t xml:space="preserve">salon z aneksem, 3 sypialnie,łazienka, hol,wc,pralnia, taras 50,98m2</t>
  </si>
  <si>
    <t xml:space="preserve">pokój z aneksem,2p,ł,wc,przedpokój, balkon</t>
  </si>
  <si>
    <t xml:space="preserve">pokój z aneksem,sypialnia,przedpokój,łazienka</t>
  </si>
  <si>
    <t xml:space="preserve">WA2M/00192854/4</t>
  </si>
  <si>
    <t xml:space="preserve">taras</t>
  </si>
  <si>
    <t xml:space="preserve">365</t>
  </si>
  <si>
    <t xml:space="preserve">303</t>
  </si>
  <si>
    <t xml:space="preserve">komórka, mg</t>
  </si>
  <si>
    <t xml:space="preserve">w tym antresola 35,18 m2 + komórka,mg</t>
  </si>
  <si>
    <t xml:space="preserve">p,k,</t>
  </si>
  <si>
    <t xml:space="preserve">4p,k</t>
  </si>
  <si>
    <t xml:space="preserve">1-02-28.</t>
  </si>
  <si>
    <t xml:space="preserve">Spiewu Ptaków</t>
  </si>
  <si>
    <t xml:space="preserve">LOKAL</t>
  </si>
  <si>
    <t xml:space="preserve">ogródek, mg</t>
  </si>
  <si>
    <t xml:space="preserve">pokój z aneksem, 2p,przedpokój,łazienka,wc</t>
  </si>
  <si>
    <t xml:space="preserve">3p, ak, ł, wc, taras</t>
  </si>
  <si>
    <t xml:space="preserve">WA2M/00489954/4</t>
  </si>
  <si>
    <t xml:space="preserve">282</t>
  </si>
  <si>
    <t xml:space="preserve">2 x komórki, mg</t>
  </si>
  <si>
    <t xml:space="preserve">komórka,2 mg</t>
  </si>
  <si>
    <t xml:space="preserve">229</t>
  </si>
  <si>
    <t xml:space="preserve">253</t>
  </si>
  <si>
    <t xml:space="preserve">236</t>
  </si>
  <si>
    <t xml:space="preserve">326</t>
  </si>
  <si>
    <t xml:space="preserve">227</t>
  </si>
  <si>
    <t xml:space="preserve">18B</t>
  </si>
  <si>
    <t xml:space="preserve">2 x mg</t>
  </si>
  <si>
    <t xml:space="preserve">20, k, ł, wc</t>
  </si>
  <si>
    <t xml:space="preserve">p.k</t>
  </si>
  <si>
    <t xml:space="preserve">345</t>
  </si>
  <si>
    <t xml:space="preserve">360</t>
  </si>
  <si>
    <t xml:space="preserve">263</t>
  </si>
  <si>
    <t xml:space="preserve">258</t>
  </si>
  <si>
    <t xml:space="preserve">335</t>
  </si>
  <si>
    <t xml:space="preserve">292</t>
  </si>
  <si>
    <t xml:space="preserve">mgp, schowek rowerowy 2,06mkw, kl 2,93mkw</t>
  </si>
  <si>
    <t xml:space="preserve">30C</t>
  </si>
  <si>
    <t xml:space="preserve">mgp, komlok</t>
  </si>
  <si>
    <t xml:space="preserve">4p, ak,g, 2ł</t>
  </si>
  <si>
    <t xml:space="preserve">30A</t>
  </si>
  <si>
    <t xml:space="preserve">2mgp</t>
  </si>
  <si>
    <t xml:space="preserve">3p, k, g, ł, antresola 39,51mkw</t>
  </si>
  <si>
    <t xml:space="preserve">mgp, komlok 2K10 2,24 mkw</t>
  </si>
  <si>
    <t xml:space="preserve">3p, ak, 2ł</t>
  </si>
  <si>
    <t xml:space="preserve">mgp, kl 4,9mkw</t>
  </si>
  <si>
    <t xml:space="preserve">3p, ak, ł, wc, pom gosp,</t>
  </si>
  <si>
    <t xml:space="preserve">WA2M/00180408/6</t>
  </si>
  <si>
    <t xml:space="preserve">pom gosp nr K 112 i K 230, mpg ne 59 i 60</t>
  </si>
  <si>
    <t xml:space="preserve">2p, ak, 2ł</t>
  </si>
  <si>
    <t xml:space="preserve">5p, k, ł, wc, taras</t>
  </si>
  <si>
    <t xml:space="preserve">mpg nr 129</t>
  </si>
  <si>
    <t xml:space="preserve">3p, k,ł, wc</t>
  </si>
  <si>
    <t xml:space="preserve">WA2M/00443558/4</t>
  </si>
  <si>
    <t xml:space="preserve">mpg nr 12</t>
  </si>
  <si>
    <t xml:space="preserve">2p, s, ł, wc</t>
  </si>
  <si>
    <t xml:space="preserve">6 mpgp</t>
  </si>
  <si>
    <t xml:space="preserve">3p, ak, 2 ogrody zimowe, ł, k</t>
  </si>
  <si>
    <t xml:space="preserve">WA2M/00487543/6</t>
  </si>
  <si>
    <t xml:space="preserve">2p, ak, pokój z zapleczem sanitarnym, 2ł, pralnia,ogród zimowy, k</t>
  </si>
  <si>
    <t xml:space="preserve">WA2M/00523725/1</t>
  </si>
  <si>
    <t xml:space="preserve">WA2M/00512060/1</t>
  </si>
  <si>
    <t xml:space="preserve">mpg nr 1, boks B-24, komlok K-19</t>
  </si>
  <si>
    <t xml:space="preserve">WA2M/00201248/0</t>
  </si>
  <si>
    <t xml:space="preserve">1p, pd, k, ł, k</t>
  </si>
  <si>
    <t xml:space="preserve">WA2M/00496166/5</t>
  </si>
  <si>
    <t xml:space="preserve">komlok nr 5 pow 4,40 mkw</t>
  </si>
  <si>
    <t xml:space="preserve">13398</t>
  </si>
  <si>
    <t xml:space="preserve">1-02-34</t>
  </si>
  <si>
    <t xml:space="preserve">Dzikich Jabłoni</t>
  </si>
  <si>
    <t xml:space="preserve">mpg nr 32</t>
  </si>
  <si>
    <t xml:space="preserve">3p, pd, k, 2ł, wc</t>
  </si>
  <si>
    <t xml:space="preserve">WA2M/00513989/6</t>
  </si>
  <si>
    <t xml:space="preserve">Białego Dębu</t>
  </si>
  <si>
    <t xml:space="preserve">mpg nr 19, kom lok nr 35</t>
  </si>
  <si>
    <t xml:space="preserve">2p, pd, k, 2ł, wc</t>
  </si>
  <si>
    <t xml:space="preserve">Cebernetyki</t>
  </si>
  <si>
    <t xml:space="preserve">2p, ak, ł, wc, k</t>
  </si>
  <si>
    <t xml:space="preserve">brak kwoty</t>
  </si>
  <si>
    <t xml:space="preserve">214A</t>
  </si>
  <si>
    <t xml:space="preserve">1p, ak, ł, k</t>
  </si>
  <si>
    <t xml:space="preserve">WA2M/00497195/4</t>
  </si>
  <si>
    <t xml:space="preserve">27A</t>
  </si>
  <si>
    <t xml:space="preserve">komlok KL 4/1, mpg nr 7 i 29</t>
  </si>
  <si>
    <t xml:space="preserve">WA2M/00472764/3</t>
  </si>
  <si>
    <t xml:space="preserve">2 mpgp, kom lok</t>
  </si>
  <si>
    <t xml:space="preserve">3p, ak, 2ł, k</t>
  </si>
  <si>
    <t xml:space="preserve">kom lok,</t>
  </si>
  <si>
    <t xml:space="preserve">mpgp, kom lok</t>
  </si>
  <si>
    <t xml:space="preserve">3p, ak, ł, wc, g, k</t>
  </si>
  <si>
    <t xml:space="preserve">3p, pd, k, ł, wc, k</t>
  </si>
  <si>
    <t xml:space="preserve">brak</t>
  </si>
  <si>
    <t xml:space="preserve">brak opisu pom w lokalu, kond</t>
  </si>
  <si>
    <t xml:space="preserve">Białej Koniczyny</t>
  </si>
  <si>
    <t xml:space="preserve">3p, pd, k, ł, wc, g, k</t>
  </si>
  <si>
    <t xml:space="preserve">WA2M/00108480/6</t>
  </si>
  <si>
    <t xml:space="preserve">2 mpgp</t>
  </si>
  <si>
    <t xml:space="preserve">2p, s, k, ł, k</t>
  </si>
  <si>
    <t xml:space="preserve">2 mpgp, 2 boksy, kom lok</t>
  </si>
  <si>
    <t xml:space="preserve">3p, ak, g, ł, k</t>
  </si>
  <si>
    <t xml:space="preserve">Dzikiej Jabłoni</t>
  </si>
  <si>
    <t xml:space="preserve">mpgp, pom gosp, kom lok, balkon</t>
  </si>
  <si>
    <t xml:space="preserve">1p, ak, ł, g</t>
  </si>
  <si>
    <t xml:space="preserve">usługowy</t>
  </si>
  <si>
    <t xml:space="preserve">mpg nr 21</t>
  </si>
  <si>
    <t xml:space="preserve">4p, ak, ł, wc</t>
  </si>
  <si>
    <t xml:space="preserve">Płatków Róż</t>
  </si>
  <si>
    <t xml:space="preserve">2 mpgp, kom lok, ogródek</t>
  </si>
  <si>
    <t xml:space="preserve">4p, ak, 2ł, wc, k</t>
  </si>
  <si>
    <t xml:space="preserve">WA2M/00515997/9</t>
  </si>
  <si>
    <t xml:space="preserve">2 mpgp, kom lok, fragment dachu</t>
  </si>
  <si>
    <t xml:space="preserve">3p, k, ł, wc, k</t>
  </si>
  <si>
    <t xml:space="preserve">3p, ak, ł, wc, k</t>
  </si>
  <si>
    <t xml:space="preserve">mpgp, pom gosp, balkon ze schowkiem</t>
  </si>
  <si>
    <t xml:space="preserve">2p, k, ł, k</t>
  </si>
  <si>
    <t xml:space="preserve">3 mpgp, schowek gosp</t>
  </si>
  <si>
    <t xml:space="preserve">3p, ak, 2ł, wc, k</t>
  </si>
  <si>
    <t xml:space="preserve">3p, k, ł, k</t>
  </si>
  <si>
    <t xml:space="preserve">2mpgp, kom lok</t>
  </si>
  <si>
    <t xml:space="preserve">2 mpgp, 2 kom lok</t>
  </si>
  <si>
    <t xml:space="preserve">4p, ak, 2ł, ,wc ,g, k</t>
  </si>
  <si>
    <t xml:space="preserve">mpgp, kom lok, balkon</t>
  </si>
  <si>
    <t xml:space="preserve">1p, ak, ł, g, k</t>
  </si>
  <si>
    <t xml:space="preserve">mpgp, loggia, schowek</t>
  </si>
  <si>
    <t xml:space="preserve">2p, ak, ł, wc,k</t>
  </si>
  <si>
    <t xml:space="preserve">2p, ak, ł, ec, k</t>
  </si>
  <si>
    <t xml:space="preserve">lok</t>
  </si>
  <si>
    <t xml:space="preserve">garaż, ogródek</t>
  </si>
  <si>
    <t xml:space="preserve">4p, ak, 2ł, g, p, k</t>
  </si>
  <si>
    <t xml:space="preserve">lok-dom</t>
  </si>
  <si>
    <t xml:space="preserve">4p, ak, 2ł, wc, g, k</t>
  </si>
  <si>
    <t xml:space="preserve">3p,k, ł, wc, k</t>
  </si>
  <si>
    <t xml:space="preserve">2p, k, ł, wc, k</t>
  </si>
  <si>
    <t xml:space="preserve">2p, k, s, ł, wc, k</t>
  </si>
  <si>
    <t xml:space="preserve">mpgp, ogródek</t>
  </si>
  <si>
    <t xml:space="preserve">1p, s, k, ł, k</t>
  </si>
  <si>
    <t xml:space="preserve">3p, ak, ł, c, k</t>
  </si>
  <si>
    <t xml:space="preserve">1-05-37</t>
  </si>
  <si>
    <t xml:space="preserve">2p, k sal, k, g 2ł, k</t>
  </si>
  <si>
    <t xml:space="preserve">WA2M/00517355/1</t>
  </si>
  <si>
    <t xml:space="preserve">Fort Piłsudzkiego</t>
  </si>
  <si>
    <t xml:space="preserve">3p, ak, 2ł, wc, pralnia, 2g, 2k</t>
  </si>
  <si>
    <t xml:space="preserve">lok niemieszkalny o przeznaczeniu hotelowym</t>
  </si>
  <si>
    <t xml:space="preserve">2 ogródki</t>
  </si>
  <si>
    <t xml:space="preserve">1p, ak, ł, wc, g, k</t>
  </si>
  <si>
    <t xml:space="preserve">2p, ak, ł, wc, g, k</t>
  </si>
  <si>
    <t xml:space="preserve">S13</t>
  </si>
  <si>
    <t xml:space="preserve">mpgp, boks lok, taras</t>
  </si>
  <si>
    <t xml:space="preserve">4p, ak, 2ł, g, 2k</t>
  </si>
  <si>
    <t xml:space="preserve">mpgp nr 65</t>
  </si>
  <si>
    <t xml:space="preserve">brak opisu pom w lokalu</t>
  </si>
  <si>
    <t xml:space="preserve">3p, ak, 2ł, g, k</t>
  </si>
  <si>
    <t xml:space="preserve">3p, ak, 2ł, wc, g, k</t>
  </si>
  <si>
    <t xml:space="preserve">mpgp nr 172</t>
  </si>
  <si>
    <t xml:space="preserve">mpgp nr 146, SR27 pow 2,42 mkw</t>
  </si>
  <si>
    <t xml:space="preserve">2p, ak, 2ł, k</t>
  </si>
  <si>
    <t xml:space="preserve">1p,k, k, ł</t>
  </si>
  <si>
    <t xml:space="preserve">2p, ak, 2ł, g, k</t>
  </si>
  <si>
    <t xml:space="preserve">2 mpgp, ogródek, 2 tarasy</t>
  </si>
  <si>
    <t xml:space="preserve">4p, ak, g, 2ł,  wc, k</t>
  </si>
  <si>
    <t xml:space="preserve">WA2M/00514596/1</t>
  </si>
  <si>
    <t xml:space="preserve">1p, ak,ł, k</t>
  </si>
  <si>
    <t xml:space="preserve">1p, ak. ł, k</t>
  </si>
  <si>
    <t xml:space="preserve">garaż 37,09 mkw, ogródek, 2 tarasy</t>
  </si>
  <si>
    <t xml:space="preserve">4p, ak, g, 2ł,  wc, k, pralnia, pom tech</t>
  </si>
  <si>
    <t xml:space="preserve">mpgp, schowek gosp.</t>
  </si>
  <si>
    <t xml:space="preserve">mpgp, schowek gosp</t>
  </si>
  <si>
    <t xml:space="preserve">3p, s, pralnia, 2ł, wc, g, k</t>
  </si>
  <si>
    <t xml:space="preserve">brak kwoty, lok niemieszkalny</t>
  </si>
  <si>
    <t xml:space="preserve">lok niemieszkalny</t>
  </si>
  <si>
    <t xml:space="preserve">1p, ak, ł, k, antresola</t>
  </si>
  <si>
    <t xml:space="preserve">1p, ak, s, ł, k</t>
  </si>
  <si>
    <t xml:space="preserve">WA2M/00172652/2</t>
  </si>
  <si>
    <t xml:space="preserve">U11</t>
  </si>
  <si>
    <t xml:space="preserve">2p, ak, l, k</t>
  </si>
  <si>
    <t xml:space="preserve">2 mpgp, kom i boks lok</t>
  </si>
  <si>
    <t xml:space="preserve">2p, ak, ł, g, k</t>
  </si>
  <si>
    <t xml:space="preserve">3p, ak, ł, k</t>
  </si>
  <si>
    <t xml:space="preserve">Faworytki</t>
  </si>
  <si>
    <t xml:space="preserve">WA2M/00506099/8</t>
  </si>
  <si>
    <t xml:space="preserve">3p, pd, k, 2ł, g, schowek, pralnia, k</t>
  </si>
  <si>
    <t xml:space="preserve">U4C</t>
  </si>
  <si>
    <t xml:space="preserve">7 mpgp</t>
  </si>
  <si>
    <t xml:space="preserve">WA2M/00200745/7</t>
  </si>
  <si>
    <t xml:space="preserve">2p, pd, k, ł, wc, g, k</t>
  </si>
  <si>
    <t xml:space="preserve">2p, pd, k, ł, k</t>
  </si>
  <si>
    <t xml:space="preserve">1p, pd, k, g, ł, k</t>
  </si>
  <si>
    <t xml:space="preserve">85/2019</t>
  </si>
  <si>
    <t xml:space="preserve">3p, k,ł, k</t>
  </si>
  <si>
    <t xml:space="preserve">10236</t>
  </si>
  <si>
    <t xml:space="preserve">117/2019</t>
  </si>
  <si>
    <t xml:space="preserve">168/2019</t>
  </si>
  <si>
    <t xml:space="preserve">14/2019</t>
  </si>
  <si>
    <t xml:space="preserve">2 mpgp, pom gosp</t>
  </si>
  <si>
    <t xml:space="preserve">p, ak, 2ł, wc, k</t>
  </si>
  <si>
    <t xml:space="preserve">4B</t>
  </si>
  <si>
    <t xml:space="preserve">2p, ak, 2ł, p, g, k</t>
  </si>
  <si>
    <t xml:space="preserve">WA2M/00482773/2</t>
  </si>
  <si>
    <t xml:space="preserve">1 pom, wc</t>
  </si>
  <si>
    <t xml:space="preserve">64/2019</t>
  </si>
  <si>
    <t xml:space="preserve">mpgp, pom gosp</t>
  </si>
  <si>
    <t xml:space="preserve">2p,ak, 2ł, k</t>
  </si>
  <si>
    <t xml:space="preserve">513/2019</t>
  </si>
  <si>
    <t xml:space="preserve">599/2019</t>
  </si>
  <si>
    <t xml:space="preserve">48/2019</t>
  </si>
  <si>
    <t xml:space="preserve">2p, ak, ł, wc ,k</t>
  </si>
  <si>
    <t xml:space="preserve">2 mpgp, schowek, kom lok</t>
  </si>
  <si>
    <t xml:space="preserve">3p, ak, ł, g, k</t>
  </si>
  <si>
    <t xml:space="preserve">275/2019</t>
  </si>
  <si>
    <t xml:space="preserve">171</t>
  </si>
  <si>
    <t xml:space="preserve">ogrodek, komórka</t>
  </si>
  <si>
    <t xml:space="preserve">323/2019</t>
  </si>
  <si>
    <t xml:space="preserve">299/2019</t>
  </si>
  <si>
    <t xml:space="preserve">283/2019</t>
  </si>
  <si>
    <t xml:space="preserve">267/2019</t>
  </si>
  <si>
    <t xml:space="preserve">315/2019</t>
  </si>
  <si>
    <t xml:space="preserve">307/2019</t>
  </si>
  <si>
    <t xml:space="preserve">183/2019</t>
  </si>
  <si>
    <t xml:space="preserve">437/2019</t>
  </si>
  <si>
    <t xml:space="preserve">260</t>
  </si>
  <si>
    <t xml:space="preserve">komórka, mg  </t>
  </si>
  <si>
    <t xml:space="preserve">32/2019</t>
  </si>
  <si>
    <t xml:space="preserve">265</t>
  </si>
  <si>
    <t xml:space="preserve">208/2019</t>
  </si>
  <si>
    <t xml:space="preserve">komórka, 2 mg</t>
  </si>
  <si>
    <t xml:space="preserve">2 mpgp, ogródek</t>
  </si>
  <si>
    <t xml:space="preserve">257/2019</t>
  </si>
  <si>
    <t xml:space="preserve">298/2019</t>
  </si>
  <si>
    <t xml:space="preserve">429/2019</t>
  </si>
  <si>
    <t xml:space="preserve">1546/2019</t>
  </si>
  <si>
    <t xml:space="preserve">1510/2019</t>
  </si>
  <si>
    <t xml:space="preserve">1500/2019</t>
  </si>
  <si>
    <t xml:space="preserve">1488/2019</t>
  </si>
  <si>
    <t xml:space="preserve">1478/2019</t>
  </si>
  <si>
    <t xml:space="preserve">137/2019</t>
  </si>
  <si>
    <t xml:space="preserve">113/2019</t>
  </si>
  <si>
    <t xml:space="preserve">komórka, mg, ogródek</t>
  </si>
  <si>
    <t xml:space="preserve">73/2019</t>
  </si>
  <si>
    <t xml:space="preserve">330/2019</t>
  </si>
  <si>
    <t xml:space="preserve">221/2019</t>
  </si>
  <si>
    <t xml:space="preserve">213/2019</t>
  </si>
  <si>
    <t xml:space="preserve">brak kwoty za mpgp</t>
  </si>
  <si>
    <t xml:space="preserve">1923/2019</t>
  </si>
  <si>
    <t xml:space="preserve">1912/2019</t>
  </si>
  <si>
    <t xml:space="preserve">1997/2019</t>
  </si>
  <si>
    <t xml:space="preserve">302/2019</t>
  </si>
  <si>
    <t xml:space="preserve">294/2019</t>
  </si>
  <si>
    <t xml:space="preserve">1974/2019</t>
  </si>
  <si>
    <t xml:space="preserve">1943/2019</t>
  </si>
  <si>
    <t xml:space="preserve">1898/2019</t>
  </si>
  <si>
    <t xml:space="preserve">1876/2019</t>
  </si>
  <si>
    <t xml:space="preserve">1835/2019</t>
  </si>
  <si>
    <t xml:space="preserve">268/2019</t>
  </si>
  <si>
    <t xml:space="preserve">1 i 2</t>
  </si>
  <si>
    <t xml:space="preserve">2 mg, ogródek</t>
  </si>
  <si>
    <t xml:space="preserve">203/2019</t>
  </si>
  <si>
    <t xml:space="preserve">493/2019</t>
  </si>
  <si>
    <t xml:space="preserve">287/2019</t>
  </si>
  <si>
    <t xml:space="preserve">16128/2018</t>
  </si>
  <si>
    <t xml:space="preserve">465/2019</t>
  </si>
  <si>
    <t xml:space="preserve">473/2019</t>
  </si>
  <si>
    <t xml:space="preserve">454/2019</t>
  </si>
  <si>
    <t xml:space="preserve">250</t>
  </si>
  <si>
    <t xml:space="preserve">490/2019</t>
  </si>
  <si>
    <t xml:space="preserve">296</t>
  </si>
  <si>
    <t xml:space="preserve">558/2019</t>
  </si>
  <si>
    <t xml:space="preserve">2 mg (platforma), komórka</t>
  </si>
  <si>
    <t xml:space="preserve">1000/2019</t>
  </si>
  <si>
    <t xml:space="preserve">10802</t>
  </si>
  <si>
    <t xml:space="preserve">8 i 9</t>
  </si>
  <si>
    <t xml:space="preserve">2162/2019</t>
  </si>
  <si>
    <t xml:space="preserve">2210/2019</t>
  </si>
  <si>
    <t xml:space="preserve">2253/2019</t>
  </si>
  <si>
    <t xml:space="preserve">2295/2019</t>
  </si>
  <si>
    <t xml:space="preserve">2307/2019</t>
  </si>
  <si>
    <t xml:space="preserve">2143/2019</t>
  </si>
  <si>
    <t xml:space="preserve">2242/2019</t>
  </si>
  <si>
    <t xml:space="preserve">517/2019</t>
  </si>
  <si>
    <t xml:space="preserve">525/2019</t>
  </si>
  <si>
    <t xml:space="preserve">557/2019</t>
  </si>
  <si>
    <t xml:space="preserve">549/2019</t>
  </si>
  <si>
    <t xml:space="preserve">2334/2019</t>
  </si>
  <si>
    <t xml:space="preserve">2345/2019</t>
  </si>
  <si>
    <t xml:space="preserve">2220/2019</t>
  </si>
  <si>
    <t xml:space="preserve">606/2019</t>
  </si>
  <si>
    <t xml:space="preserve">mg (platforma)</t>
  </si>
  <si>
    <t xml:space="preserve">623/2019</t>
  </si>
  <si>
    <t xml:space="preserve">650/2019</t>
  </si>
  <si>
    <t xml:space="preserve">607/2019</t>
  </si>
  <si>
    <t xml:space="preserve">598/2019</t>
  </si>
  <si>
    <t xml:space="preserve">komrka, 2 mg</t>
  </si>
  <si>
    <t xml:space="preserve">658/2019</t>
  </si>
  <si>
    <t xml:space="preserve">677/2019</t>
  </si>
  <si>
    <t xml:space="preserve">komórka, mg (platforma)</t>
  </si>
  <si>
    <t xml:space="preserve">WA2M/00519392/6</t>
  </si>
  <si>
    <t xml:space="preserve">2539/2019</t>
  </si>
  <si>
    <t xml:space="preserve">2518/2019</t>
  </si>
  <si>
    <t xml:space="preserve">2657/2019</t>
  </si>
  <si>
    <t xml:space="preserve">2669/2019</t>
  </si>
  <si>
    <t xml:space="preserve">2596/2019</t>
  </si>
  <si>
    <t xml:space="preserve">728/2019</t>
  </si>
  <si>
    <t xml:space="preserve">744/2019</t>
  </si>
  <si>
    <t xml:space="preserve">752/2019</t>
  </si>
  <si>
    <t xml:space="preserve">768/2019</t>
  </si>
  <si>
    <t xml:space="preserve">712/2019</t>
  </si>
  <si>
    <t xml:space="preserve">720/2019</t>
  </si>
  <si>
    <t xml:space="preserve">704/2019</t>
  </si>
  <si>
    <t xml:space="preserve">785/2019</t>
  </si>
  <si>
    <t xml:space="preserve">2568/2019</t>
  </si>
  <si>
    <t xml:space="preserve">WA2M/00505820/5</t>
  </si>
  <si>
    <t xml:space="preserve">s,k, 4p, 2ł, wc, k</t>
  </si>
  <si>
    <t xml:space="preserve">359/2019</t>
  </si>
  <si>
    <t xml:space="preserve">piwnica, 2mg</t>
  </si>
  <si>
    <t xml:space="preserve">832/2019</t>
  </si>
  <si>
    <t xml:space="preserve">747/2019</t>
  </si>
  <si>
    <t xml:space="preserve">897/2019</t>
  </si>
  <si>
    <t xml:space="preserve">816/2019</t>
  </si>
  <si>
    <t xml:space="preserve">905/2019</t>
  </si>
  <si>
    <t xml:space="preserve">780/2019</t>
  </si>
  <si>
    <t xml:space="preserve">1 08 11</t>
  </si>
  <si>
    <t xml:space="preserve">789/2019</t>
  </si>
  <si>
    <t xml:space="preserve">798/2019</t>
  </si>
  <si>
    <t xml:space="preserve">18J</t>
  </si>
  <si>
    <t xml:space="preserve">mpgp, pow gosp</t>
  </si>
  <si>
    <t xml:space="preserve">4p, ak, ł, wc, 2k</t>
  </si>
  <si>
    <t xml:space="preserve">WA2M/00167710/9</t>
  </si>
  <si>
    <t xml:space="preserve">972/2019</t>
  </si>
  <si>
    <t xml:space="preserve">948/2019</t>
  </si>
  <si>
    <t xml:space="preserve">940/2019</t>
  </si>
  <si>
    <t xml:space="preserve">916/2019</t>
  </si>
  <si>
    <t xml:space="preserve">924/2019</t>
  </si>
  <si>
    <t xml:space="preserve">996/2019</t>
  </si>
  <si>
    <t xml:space="preserve">988/2019</t>
  </si>
  <si>
    <t xml:space="preserve">980/2019</t>
  </si>
  <si>
    <t xml:space="preserve">964/2019</t>
  </si>
  <si>
    <t xml:space="preserve">komórka, ogrodek</t>
  </si>
  <si>
    <t xml:space="preserve">pom gosp</t>
  </si>
  <si>
    <t xml:space="preserve">1029/2019</t>
  </si>
  <si>
    <t xml:space="preserve">1045/2019</t>
  </si>
  <si>
    <t xml:space="preserve">1053/2019</t>
  </si>
  <si>
    <t xml:space="preserve">1085/2019</t>
  </si>
  <si>
    <t xml:space="preserve">1899/2019</t>
  </si>
  <si>
    <t xml:space="preserve">komórka, 2 mg (platforma)</t>
  </si>
  <si>
    <t xml:space="preserve">1150/2019</t>
  </si>
  <si>
    <t xml:space="preserve">1158/2019</t>
  </si>
  <si>
    <t xml:space="preserve">1133/2019</t>
  </si>
  <si>
    <t xml:space="preserve">1935/2019</t>
  </si>
  <si>
    <t xml:space="preserve">komórka , 2 mg</t>
  </si>
  <si>
    <t xml:space="preserve">647/2019</t>
  </si>
  <si>
    <t xml:space="preserve">2502/2019</t>
  </si>
  <si>
    <t xml:space="preserve">1182/2019</t>
  </si>
  <si>
    <t xml:space="preserve">mg, komórka, ogrodek</t>
  </si>
  <si>
    <t xml:space="preserve">1230/2019</t>
  </si>
  <si>
    <t xml:space="preserve">1166/2019</t>
  </si>
  <si>
    <t xml:space="preserve">1174/2019</t>
  </si>
  <si>
    <t xml:space="preserve">1206/2019</t>
  </si>
  <si>
    <t xml:space="preserve">1695/2019</t>
  </si>
  <si>
    <t xml:space="preserve">2559/2019</t>
  </si>
  <si>
    <t xml:space="preserve">709/2019</t>
  </si>
  <si>
    <t xml:space="preserve">1249/2019</t>
  </si>
  <si>
    <t xml:space="preserve">1263/2019</t>
  </si>
  <si>
    <t xml:space="preserve">Al.. Sikorskiego</t>
  </si>
  <si>
    <t xml:space="preserve">9d</t>
  </si>
  <si>
    <t xml:space="preserve">plus antresola  44,49 m2, komórka</t>
  </si>
  <si>
    <t xml:space="preserve">2p, an,ł,pp</t>
  </si>
  <si>
    <t xml:space="preserve">2 + antresola</t>
  </si>
  <si>
    <t xml:space="preserve">‘1-08-12</t>
  </si>
  <si>
    <t xml:space="preserve">2mg,komórka</t>
  </si>
  <si>
    <t xml:space="preserve">3p, k, ,wc</t>
  </si>
  <si>
    <t xml:space="preserve">mg (dolna platforma)</t>
  </si>
  <si>
    <t xml:space="preserve">1p, k l, pp</t>
  </si>
  <si>
    <t xml:space="preserve">3p, k, ł, schowek, pp</t>
  </si>
  <si>
    <t xml:space="preserve">3p, an, ł, wc, pp</t>
  </si>
  <si>
    <t xml:space="preserve">1-08-04</t>
  </si>
  <si>
    <t xml:space="preserve">Zdziechowskiego</t>
  </si>
  <si>
    <t xml:space="preserve">mg, komórka, taras ze schowkiem</t>
  </si>
  <si>
    <t xml:space="preserve">4p,aneks, 2ł, pralnia, pp</t>
  </si>
  <si>
    <t xml:space="preserve">2 p, an, ł, pp</t>
  </si>
  <si>
    <t xml:space="preserve">3p, an. Ł, wc, pp</t>
  </si>
  <si>
    <t xml:space="preserve">3p, k, ł,wc, pp</t>
  </si>
  <si>
    <t xml:space="preserve">mg (górna platforma)</t>
  </si>
  <si>
    <t xml:space="preserve">2p, an, ł,  pp</t>
  </si>
  <si>
    <t xml:space="preserve">33b</t>
  </si>
  <si>
    <t xml:space="preserve">3p, an,ł,pp</t>
  </si>
  <si>
    <t xml:space="preserve">9a</t>
  </si>
  <si>
    <t xml:space="preserve">p+an, 2 p, ł, pp</t>
  </si>
  <si>
    <t xml:space="preserve">1-03 11</t>
  </si>
  <si>
    <t xml:space="preserve">1 p,an. 2P, k  l</t>
  </si>
  <si>
    <t xml:space="preserve">3p, an, ł,  pp</t>
  </si>
  <si>
    <t xml:space="preserve">komórka, mg (dolna platforma)</t>
  </si>
  <si>
    <t xml:space="preserve">komórka, ogródek 220 m2</t>
  </si>
  <si>
    <t xml:space="preserve">3p, k,2ł, wc, gard, pp</t>
  </si>
  <si>
    <t xml:space="preserve">2p,an,ł</t>
  </si>
  <si>
    <t xml:space="preserve">komórka 1mg</t>
  </si>
  <si>
    <t xml:space="preserve">3p, k,  2 ł</t>
  </si>
  <si>
    <t xml:space="preserve">3p, ak,ł</t>
  </si>
  <si>
    <t xml:space="preserve">3p,an,ł,wc</t>
  </si>
  <si>
    <t xml:space="preserve">3 p, k, ł, wc, pp</t>
  </si>
  <si>
    <t xml:space="preserve">,2p,an,ł</t>
  </si>
  <si>
    <t xml:space="preserve">7a</t>
  </si>
  <si>
    <t xml:space="preserve">2 p, an, ł.pp</t>
  </si>
  <si>
    <t xml:space="preserve">mg, komórka, ogródek</t>
  </si>
  <si>
    <t xml:space="preserve">3p, an, łazienka, pralnia pp</t>
  </si>
  <si>
    <t xml:space="preserve">mg, schowek</t>
  </si>
  <si>
    <t xml:space="preserve">3p, an, ł.wc, pp</t>
  </si>
  <si>
    <t xml:space="preserve">4p, an, ł, wc, pralnia, pp</t>
  </si>
  <si>
    <t xml:space="preserve">p, k, ł,  pp</t>
  </si>
  <si>
    <t xml:space="preserve">p, k, ł.pp</t>
  </si>
  <si>
    <t xml:space="preserve">3p,an,  ł, pp</t>
  </si>
  <si>
    <t xml:space="preserve">1-08-38</t>
  </si>
  <si>
    <t xml:space="preserve"> komórka,  mg </t>
  </si>
  <si>
    <t xml:space="preserve">3p, an, ł,pp</t>
  </si>
  <si>
    <t xml:space="preserve">.1-08-12</t>
  </si>
  <si>
    <t xml:space="preserve">1p, an, ł, pp</t>
  </si>
  <si>
    <t xml:space="preserve">2 pokoje, 2 łazienki, 2 ogródki</t>
  </si>
  <si>
    <t xml:space="preserve">02.2020</t>
  </si>
  <si>
    <t xml:space="preserve">3 pokoje, łazienka, w.c., taras 51,57 m2, pom gospodarcze</t>
  </si>
  <si>
    <t xml:space="preserve">02.2021</t>
  </si>
  <si>
    <t xml:space="preserve">2 mg, pom gospodarcze</t>
  </si>
  <si>
    <t xml:space="preserve">4 pokoje, aneks, 2 łazienki, hol, balkon 23</t>
  </si>
  <si>
    <t xml:space="preserve">02.2022</t>
  </si>
  <si>
    <t xml:space="preserve">3 pokoje, aneks, przedpokój, łazienka, garderoba, w.c., balkon</t>
  </si>
  <si>
    <t xml:space="preserve">02.2023</t>
  </si>
  <si>
    <t xml:space="preserve">2 pokoje, kuchnia, łazienka, hall, balkon</t>
  </si>
  <si>
    <t xml:space="preserve">02.2024</t>
  </si>
  <si>
    <t xml:space="preserve">75A</t>
  </si>
  <si>
    <t xml:space="preserve">4 pokoje, aneks, przedpokój, 2 łazienki, taras 16,12 m2</t>
  </si>
  <si>
    <t xml:space="preserve">02.2025</t>
  </si>
  <si>
    <t xml:space="preserve">komórka 3,42, 2 mp</t>
  </si>
  <si>
    <t xml:space="preserve">3 izby</t>
  </si>
  <si>
    <t xml:space="preserve">02.2026</t>
  </si>
  <si>
    <t xml:space="preserve">4 pokoje, aneks, 2 łazienki, hol, 2 balkony</t>
  </si>
  <si>
    <t xml:space="preserve">02.2027</t>
  </si>
  <si>
    <t xml:space="preserve">2 pokoje, łazienka, aneks, balkon</t>
  </si>
  <si>
    <t xml:space="preserve">02.2028</t>
  </si>
  <si>
    <t xml:space="preserve">2 mp, komórka</t>
  </si>
  <si>
    <t xml:space="preserve">4 pokoje, aneks, 2 łazienki, hol, balkon</t>
  </si>
  <si>
    <t xml:space="preserve">02.2029</t>
  </si>
  <si>
    <t xml:space="preserve">salon z aneksem, pokój, hol, łazienka, loggia</t>
  </si>
  <si>
    <t xml:space="preserve">02.2030</t>
  </si>
  <si>
    <t xml:space="preserve">Woziwody</t>
  </si>
  <si>
    <t xml:space="preserve">3 pokoje, ogródek 124 m2</t>
  </si>
  <si>
    <t xml:space="preserve">02.2031</t>
  </si>
  <si>
    <t xml:space="preserve">2 pokoje, aneks, hol, łazienka</t>
  </si>
  <si>
    <t xml:space="preserve">02.2032</t>
  </si>
  <si>
    <r>
      <rPr>
        <b val="true"/>
        <sz val="10"/>
        <color rgb="FF000000"/>
        <rFont val="Arial"/>
        <family val="0"/>
      </rPr>
      <t xml:space="preserve">Cena jedn. [zł/m</t>
    </r>
    <r>
      <rPr>
        <b val="true"/>
        <vertAlign val="superscript"/>
        <sz val="10"/>
        <color rgb="FF000000"/>
        <rFont val=""/>
        <family val="2"/>
        <charset val="2"/>
      </rPr>
      <t xml:space="preserve">2</t>
    </r>
    <r>
      <rPr>
        <b val="true"/>
        <sz val="10"/>
        <color rgb="FF000000"/>
        <rFont val="Arial"/>
        <family val="0"/>
      </rPr>
      <t xml:space="preserve">]</t>
    </r>
  </si>
  <si>
    <t xml:space="preserve">WA2M/00444987/7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</si>
</sst>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#,##0.00&quot;      &quot;;#,##0.00&quot;      &quot;;\-#&quot;      &quot;;\ @\ "/>
    <numFmt numFmtId="166" formatCode="0%"/>
    <numFmt numFmtId="167" formatCode="#,##0.00\ [$zł-415];[RED]\-#,##0.00\ [$zł-415]"/>
    <numFmt numFmtId="168" formatCode="yyyy\-mm\-dd"/>
    <numFmt numFmtId="169" formatCode="@"/>
    <numFmt numFmtId="170" formatCode="#,##0"/>
    <numFmt numFmtId="171" formatCode="#,##0.00"/>
    <numFmt numFmtId="172" formatCode="[$-415]yyyy\-mm\-dd"/>
    <numFmt numFmtId="173" formatCode="0.00"/>
    <numFmt numFmtId="174" formatCode="0"/>
    <numFmt numFmtId="175" formatCode="0&quot; zł&quot;"/>
    <numFmt numFmtId="176" formatCode="[$-415]dd\-mmm"/>
    <numFmt numFmtId="177" formatCode="dd/mm/yyyy"/>
    <numFmt numFmtId="178" formatCode="dd\-mm\-yyyy"/>
    <numFmt numFmtId="179" formatCode="dd/mmm"/>
    <numFmt numFmtId="180" formatCode="yyyy\-mm\-dd;@"/>
    <numFmt numFmtId="181" formatCode="d/mm/yyyy"/>
    <numFmt numFmtId="182" formatCode="0&quot;      &quot;;0&quot;      &quot;;\-#&quot;      &quot;;\ @\ "/>
  </numFmts>
  <fonts count="32">
    <font>
      <sz val="11"/>
      <color rgb="FF000000"/>
      <name val="Czcionka tekstu podstawoweg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1"/>
      <color rgb="FF9C0006"/>
      <name val="Czcionka tekstu podstawowego"/>
      <family val="0"/>
    </font>
    <font>
      <b val="true"/>
      <i val="true"/>
      <sz val="16"/>
      <color rgb="FF000000"/>
      <name val="Czcionka tekstu podstawowego"/>
      <family val="0"/>
    </font>
    <font>
      <b val="true"/>
      <i val="true"/>
      <u val="single"/>
      <sz val="11"/>
      <color rgb="FF000000"/>
      <name val="Czcionka tekstu podstawowego"/>
      <family val="0"/>
    </font>
    <font>
      <sz val="10"/>
      <color rgb="FF000000"/>
      <name val="Czcionka tekstu podstawowego"/>
      <family val="0"/>
    </font>
    <font>
      <b val="true"/>
      <sz val="11"/>
      <color rgb="FF000000"/>
      <name val="Arial"/>
      <family val="0"/>
    </font>
    <font>
      <b val="true"/>
      <sz val="11"/>
      <color rgb="FF000000"/>
      <name val="Arial"/>
      <family val="2"/>
    </font>
    <font>
      <b val="true"/>
      <vertAlign val="superscript"/>
      <sz val="11"/>
      <color rgb="FF000000"/>
      <name val=""/>
      <family val="2"/>
      <charset val="2"/>
    </font>
    <font>
      <sz val="11"/>
      <color rgb="FF000000"/>
      <name val="Arial"/>
      <family val="0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0"/>
    </font>
    <font>
      <u val="single"/>
      <sz val="11"/>
      <color rgb="FF000000"/>
      <name val="Arial"/>
      <family val="0"/>
    </font>
    <font>
      <u val="single"/>
      <sz val="11"/>
      <color rgb="FF0000FF"/>
      <name val="Czcionka tekstu podstawowego"/>
      <family val="0"/>
    </font>
    <font>
      <sz val="11"/>
      <color rgb="FF0070C0"/>
      <name val="Arial"/>
      <family val="0"/>
    </font>
    <font>
      <sz val="10"/>
      <color rgb="FF0070C0"/>
      <name val="Czcionka tekstu podstawowego"/>
      <family val="0"/>
    </font>
    <font>
      <sz val="11"/>
      <color rgb="FFFF0000"/>
      <name val="Arial"/>
      <family val="0"/>
    </font>
    <font>
      <sz val="11"/>
      <color rgb="FFFF0000"/>
      <name val="Arial"/>
      <family val="2"/>
    </font>
    <font>
      <sz val="10"/>
      <color rgb="FFFF0000"/>
      <name val="Czcionka tekstu podstawowego"/>
      <family val="0"/>
    </font>
    <font>
      <b val="true"/>
      <sz val="11"/>
      <color rgb="FF000000"/>
      <name val=""/>
      <family val="2"/>
      <charset val="2"/>
    </font>
    <font>
      <sz val="11"/>
      <color rgb="FFFF0000"/>
      <name val="Czcionka tekstu podstawowego"/>
      <family val="0"/>
    </font>
    <font>
      <sz val="10"/>
      <color rgb="FF000000"/>
      <name val="Cambria"/>
      <family val="0"/>
    </font>
    <font>
      <sz val="10"/>
      <color rgb="FFFF0000"/>
      <name val="Arial"/>
      <family val="0"/>
    </font>
    <font>
      <sz val="10"/>
      <color rgb="FFFF00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000000"/>
      <name val="Arial"/>
      <family val="0"/>
    </font>
    <font>
      <b val="true"/>
      <vertAlign val="superscript"/>
      <sz val="10"/>
      <color rgb="FF000000"/>
      <name val=""/>
      <family val="2"/>
      <charset val="2"/>
    </font>
    <font>
      <b val="true"/>
      <sz val="10"/>
      <color rgb="FF000000"/>
      <name val="Czcionka tekstu podstawowego"/>
      <family val="0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FE699"/>
      </patternFill>
    </fill>
    <fill>
      <patternFill patternType="solid">
        <fgColor rgb="FF8EB4E3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B7DEE8"/>
      </patternFill>
    </fill>
    <fill>
      <patternFill patternType="solid">
        <fgColor rgb="FFCCCCFF"/>
        <bgColor rgb="FFC6D9F1"/>
      </patternFill>
    </fill>
    <fill>
      <patternFill patternType="solid">
        <fgColor rgb="FF99CCFF"/>
        <bgColor rgb="FF8EB4E3"/>
      </patternFill>
    </fill>
    <fill>
      <patternFill patternType="solid">
        <fgColor rgb="FFFFE699"/>
        <bgColor rgb="FFFFFFCC"/>
      </patternFill>
    </fill>
    <fill>
      <patternFill patternType="solid">
        <fgColor rgb="FFB7DEE8"/>
        <bgColor rgb="FFC6D9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/>
      <right style="hair"/>
      <top/>
      <bottom style="hair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9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3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9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3" borderId="1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9" fillId="3" borderId="1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3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2" fillId="4" borderId="1" xfId="2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3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2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2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2" fillId="4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4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" fillId="4" borderId="1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0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3" fillId="0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0" fillId="0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2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20" fillId="0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2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1" xfId="2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0" fillId="0" borderId="1" xfId="2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2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1" xfId="26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" fillId="0" borderId="1" xfId="26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1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6" fillId="0" borderId="1" xfId="26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2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5" borderId="1" xfId="26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4" borderId="1" xfId="26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" fillId="0" borderId="1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8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2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2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9" fillId="8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2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9" fillId="8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2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0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4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29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29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9" fillId="9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29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2" fontId="29" fillId="9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9" fillId="9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29" fillId="9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4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29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9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4" fillId="0" borderId="1" xfId="2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1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3" fontId="2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29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9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9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9" fillId="3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29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9" fillId="3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[StdExit()]" xfId="21"/>
    <cellStyle name="cf1" xfId="22"/>
    <cellStyle name="cf2" xfId="23"/>
    <cellStyle name="cf3" xfId="24"/>
    <cellStyle name="cf4" xfId="25"/>
    <cellStyle name="Dziesiętny 2" xfId="26"/>
    <cellStyle name="Dziesiętny 2 2" xfId="27"/>
    <cellStyle name="Nagłówek" xfId="28"/>
    <cellStyle name="Nagłówek1" xfId="29"/>
    <cellStyle name="Normalny 2" xfId="30"/>
    <cellStyle name="Procentowy 2" xfId="31"/>
    <cellStyle name="Wynik" xfId="32"/>
    <cellStyle name="Wynik2" xfId="33"/>
    <cellStyle name="cf5" xfId="34"/>
    <cellStyle name="*unknown*" xfId="20" builtinId="8"/>
  </cellStyles>
  <dxfs count="1">
    <dxf>
      <font>
        <name val="Czcionka tekstu podstawowego"/>
        <family val="0"/>
        <color rgb="FF9C0006"/>
        <sz val="11"/>
      </font>
      <numFmt numFmtId="164" formatCode="General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6D9F1"/>
      <rgbColor rgb="FF808080"/>
      <rgbColor rgb="FF8EB4E3"/>
      <rgbColor rgb="FF993366"/>
      <rgbColor rgb="FFFFFFCC"/>
      <rgbColor rgb="FFB7DEE8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jestracja.maratonwarszawski.com/pl/event/rejestracja/220391/podglad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7.7890625" defaultRowHeight="15" zeroHeight="false" outlineLevelRow="0" outlineLevelCol="0"/>
  <cols>
    <col collapsed="false" customWidth="true" hidden="true" outlineLevel="0" max="1" min="1" style="1" width="10.36"/>
    <col collapsed="false" customWidth="true" hidden="false" outlineLevel="0" max="2" min="2" style="2" width="6.21"/>
    <col collapsed="false" customWidth="true" hidden="false" outlineLevel="0" max="3" min="3" style="3" width="9.28"/>
    <col collapsed="false" customWidth="false" hidden="false" outlineLevel="0" max="4" min="4" style="4" width="7.79"/>
    <col collapsed="false" customWidth="true" hidden="false" outlineLevel="0" max="5" min="5" style="5" width="6.93"/>
    <col collapsed="false" customWidth="true" hidden="false" outlineLevel="0" max="6" min="6" style="1" width="13.57"/>
    <col collapsed="false" customWidth="true" hidden="false" outlineLevel="0" max="7" min="7" style="2" width="6.43"/>
    <col collapsed="false" customWidth="true" hidden="false" outlineLevel="0" max="8" min="8" style="2" width="3.5"/>
    <col collapsed="false" customWidth="true" hidden="false" outlineLevel="0" max="9" min="9" style="2" width="3"/>
    <col collapsed="false" customWidth="true" hidden="false" outlineLevel="0" max="10" min="10" style="2" width="8.36"/>
    <col collapsed="false" customWidth="true" hidden="false" outlineLevel="0" max="11" min="11" style="6" width="13.28"/>
    <col collapsed="false" customWidth="true" hidden="false" outlineLevel="0" max="12" min="12" style="6" width="7.28"/>
    <col collapsed="false" customWidth="true" hidden="false" outlineLevel="0" max="13" min="13" style="1" width="8.79"/>
    <col collapsed="false" customWidth="true" hidden="false" outlineLevel="0" max="14" min="14" style="7" width="9.64"/>
    <col collapsed="false" customWidth="true" hidden="false" outlineLevel="0" max="15" min="15" style="6" width="13.28"/>
    <col collapsed="false" customWidth="true" hidden="false" outlineLevel="0" max="16" min="16" style="6" width="10.07"/>
    <col collapsed="false" customWidth="true" hidden="false" outlineLevel="0" max="17" min="17" style="2" width="8.21"/>
    <col collapsed="false" customWidth="true" hidden="false" outlineLevel="0" max="18" min="18" style="8" width="5.36"/>
    <col collapsed="false" customWidth="true" hidden="false" outlineLevel="0" max="19" min="19" style="2" width="6.85"/>
    <col collapsed="false" customWidth="false" hidden="false" outlineLevel="0" max="20" min="20" style="2" width="7.79"/>
    <col collapsed="false" customWidth="true" hidden="false" outlineLevel="0" max="21" min="21" style="2" width="6"/>
    <col collapsed="false" customWidth="true" hidden="false" outlineLevel="0" max="22" min="22" style="2" width="8.79"/>
    <col collapsed="false" customWidth="true" hidden="false" outlineLevel="0" max="23" min="23" style="1" width="16.57"/>
    <col collapsed="false" customWidth="false" hidden="false" outlineLevel="0" max="1023" min="24" style="1" width="7.79"/>
    <col collapsed="false" customWidth="true" hidden="false" outlineLevel="0" max="1024" min="1024" style="1" width="7.5"/>
  </cols>
  <sheetData>
    <row r="1" customFormat="false" ht="14.15" hidden="false" customHeight="false" outlineLevel="0" collapsed="false">
      <c r="A1" s="9"/>
      <c r="B1" s="10" t="s">
        <v>0</v>
      </c>
      <c r="C1" s="11" t="s">
        <v>1</v>
      </c>
      <c r="D1" s="12" t="s">
        <v>2</v>
      </c>
      <c r="E1" s="13" t="s">
        <v>3</v>
      </c>
      <c r="F1" s="14" t="s">
        <v>4</v>
      </c>
      <c r="G1" s="12" t="s">
        <v>5</v>
      </c>
      <c r="H1" s="12" t="s">
        <v>6</v>
      </c>
      <c r="I1" s="12" t="s">
        <v>7</v>
      </c>
      <c r="J1" s="15" t="s">
        <v>8</v>
      </c>
      <c r="K1" s="16" t="s">
        <v>9</v>
      </c>
      <c r="L1" s="16" t="s">
        <v>10</v>
      </c>
      <c r="M1" s="14" t="s">
        <v>11</v>
      </c>
      <c r="N1" s="17" t="s">
        <v>12</v>
      </c>
      <c r="O1" s="16" t="s">
        <v>13</v>
      </c>
      <c r="P1" s="16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0" t="s">
        <v>20</v>
      </c>
      <c r="W1" s="10" t="s">
        <v>21</v>
      </c>
      <c r="X1" s="9"/>
    </row>
    <row r="2" s="32" customFormat="true" ht="13.8" hidden="false" customHeight="false" outlineLevel="0" collapsed="false">
      <c r="A2" s="18"/>
      <c r="B2" s="19" t="n">
        <v>1</v>
      </c>
      <c r="C2" s="20" t="n">
        <v>43102</v>
      </c>
      <c r="D2" s="21" t="s">
        <v>22</v>
      </c>
      <c r="E2" s="22" t="s">
        <v>23</v>
      </c>
      <c r="F2" s="23" t="s">
        <v>24</v>
      </c>
      <c r="G2" s="22" t="s">
        <v>25</v>
      </c>
      <c r="H2" s="24" t="s">
        <v>26</v>
      </c>
      <c r="I2" s="24" t="s">
        <v>27</v>
      </c>
      <c r="J2" s="25" t="n">
        <v>28.1</v>
      </c>
      <c r="K2" s="26" t="n">
        <v>220000</v>
      </c>
      <c r="L2" s="27" t="n">
        <f aca="false">K2/J2</f>
        <v>7829.18149466192</v>
      </c>
      <c r="M2" s="28"/>
      <c r="N2" s="29"/>
      <c r="O2" s="30" t="n">
        <f aca="false">K2+N2</f>
        <v>220000</v>
      </c>
      <c r="P2" s="30" t="n">
        <f aca="false">ROUND(O2/J2, 2)</f>
        <v>7829.18</v>
      </c>
      <c r="Q2" s="25" t="s">
        <v>28</v>
      </c>
      <c r="R2" s="22" t="s">
        <v>27</v>
      </c>
      <c r="S2" s="25" t="s">
        <v>29</v>
      </c>
      <c r="T2" s="24" t="s">
        <v>30</v>
      </c>
      <c r="U2" s="31" t="s">
        <v>31</v>
      </c>
      <c r="V2" s="31" t="n">
        <v>43234</v>
      </c>
      <c r="W2" s="18"/>
      <c r="X2" s="18"/>
    </row>
    <row r="3" customFormat="false" ht="13.8" hidden="false" customHeight="false" outlineLevel="0" collapsed="false">
      <c r="A3" s="18"/>
      <c r="B3" s="19" t="n">
        <v>2</v>
      </c>
      <c r="C3" s="20" t="n">
        <v>43102</v>
      </c>
      <c r="D3" s="21" t="s">
        <v>22</v>
      </c>
      <c r="E3" s="22" t="s">
        <v>32</v>
      </c>
      <c r="F3" s="23" t="s">
        <v>33</v>
      </c>
      <c r="G3" s="22" t="s">
        <v>27</v>
      </c>
      <c r="H3" s="24" t="s">
        <v>27</v>
      </c>
      <c r="I3" s="24" t="s">
        <v>27</v>
      </c>
      <c r="J3" s="25" t="n">
        <f aca="false">96.7-34</f>
        <v>62.7</v>
      </c>
      <c r="K3" s="26" t="n">
        <v>750000</v>
      </c>
      <c r="L3" s="27" t="n">
        <f aca="false">K3/J3</f>
        <v>11961.7224880383</v>
      </c>
      <c r="M3" s="28" t="s">
        <v>34</v>
      </c>
      <c r="N3" s="29"/>
      <c r="O3" s="30" t="n">
        <f aca="false">K3+N3</f>
        <v>750000</v>
      </c>
      <c r="P3" s="30" t="n">
        <f aca="false">ROUND(O3/J3, 2)</f>
        <v>11961.72</v>
      </c>
      <c r="Q3" s="25" t="s">
        <v>35</v>
      </c>
      <c r="R3" s="22" t="s">
        <v>36</v>
      </c>
      <c r="S3" s="25" t="s">
        <v>29</v>
      </c>
      <c r="T3" s="24" t="s">
        <v>30</v>
      </c>
      <c r="U3" s="31" t="s">
        <v>31</v>
      </c>
      <c r="V3" s="31" t="n">
        <v>43234</v>
      </c>
      <c r="W3" s="18"/>
      <c r="X3" s="18"/>
      <c r="Z3" s="33"/>
    </row>
    <row r="4" customFormat="false" ht="13.8" hidden="false" customHeight="false" outlineLevel="0" collapsed="false">
      <c r="A4" s="18"/>
      <c r="B4" s="19" t="n">
        <v>22</v>
      </c>
      <c r="C4" s="20" t="n">
        <v>43103</v>
      </c>
      <c r="D4" s="21" t="s">
        <v>22</v>
      </c>
      <c r="E4" s="22" t="s">
        <v>37</v>
      </c>
      <c r="F4" s="23" t="s">
        <v>38</v>
      </c>
      <c r="G4" s="22" t="s">
        <v>39</v>
      </c>
      <c r="H4" s="24" t="s">
        <v>40</v>
      </c>
      <c r="I4" s="24" t="s">
        <v>26</v>
      </c>
      <c r="J4" s="25" t="n">
        <v>32.64</v>
      </c>
      <c r="K4" s="26" t="n">
        <v>308000</v>
      </c>
      <c r="L4" s="27" t="n">
        <f aca="false">K4/J4</f>
        <v>9436.27450980392</v>
      </c>
      <c r="M4" s="28"/>
      <c r="N4" s="29"/>
      <c r="O4" s="30" t="n">
        <f aca="false">K4+N4</f>
        <v>308000</v>
      </c>
      <c r="P4" s="30" t="n">
        <f aca="false">ROUND(O4/J4, 2)</f>
        <v>9436.27</v>
      </c>
      <c r="Q4" s="25" t="s">
        <v>41</v>
      </c>
      <c r="R4" s="22" t="s">
        <v>27</v>
      </c>
      <c r="S4" s="25" t="s">
        <v>29</v>
      </c>
      <c r="T4" s="24" t="s">
        <v>30</v>
      </c>
      <c r="U4" s="31" t="s">
        <v>31</v>
      </c>
      <c r="V4" s="31" t="n">
        <v>43234</v>
      </c>
      <c r="W4" s="18"/>
      <c r="X4" s="18"/>
    </row>
    <row r="5" customFormat="false" ht="13.8" hidden="false" customHeight="false" outlineLevel="0" collapsed="false">
      <c r="A5" s="18"/>
      <c r="B5" s="19" t="n">
        <v>12</v>
      </c>
      <c r="C5" s="20" t="n">
        <v>43103</v>
      </c>
      <c r="D5" s="21" t="s">
        <v>22</v>
      </c>
      <c r="E5" s="22" t="s">
        <v>42</v>
      </c>
      <c r="F5" s="23" t="s">
        <v>43</v>
      </c>
      <c r="G5" s="22" t="s">
        <v>26</v>
      </c>
      <c r="H5" s="24" t="s">
        <v>27</v>
      </c>
      <c r="I5" s="24" t="s">
        <v>27</v>
      </c>
      <c r="J5" s="25" t="n">
        <v>24.62</v>
      </c>
      <c r="K5" s="26" t="n">
        <v>270000</v>
      </c>
      <c r="L5" s="27" t="n">
        <f aca="false">K5/J5</f>
        <v>10966.6937449228</v>
      </c>
      <c r="M5" s="28"/>
      <c r="N5" s="29"/>
      <c r="O5" s="30" t="n">
        <f aca="false">K5+N5</f>
        <v>270000</v>
      </c>
      <c r="P5" s="30" t="n">
        <f aca="false">ROUND(O5/J5, 2)</f>
        <v>10966.69</v>
      </c>
      <c r="Q5" s="25" t="s">
        <v>44</v>
      </c>
      <c r="R5" s="22" t="s">
        <v>27</v>
      </c>
      <c r="S5" s="25" t="s">
        <v>29</v>
      </c>
      <c r="T5" s="24" t="s">
        <v>30</v>
      </c>
      <c r="U5" s="31" t="s">
        <v>31</v>
      </c>
      <c r="V5" s="31" t="n">
        <v>43234</v>
      </c>
      <c r="W5" s="18"/>
      <c r="X5" s="18"/>
    </row>
    <row r="6" customFormat="false" ht="13.8" hidden="false" customHeight="false" outlineLevel="0" collapsed="false">
      <c r="A6" s="18"/>
      <c r="B6" s="19" t="n">
        <v>7</v>
      </c>
      <c r="C6" s="20" t="n">
        <v>43103</v>
      </c>
      <c r="D6" s="21" t="s">
        <v>22</v>
      </c>
      <c r="E6" s="22" t="s">
        <v>45</v>
      </c>
      <c r="F6" s="23" t="s">
        <v>46</v>
      </c>
      <c r="G6" s="22" t="s">
        <v>47</v>
      </c>
      <c r="H6" s="24" t="s">
        <v>48</v>
      </c>
      <c r="I6" s="24" t="s">
        <v>49</v>
      </c>
      <c r="J6" s="25" t="n">
        <v>60.05</v>
      </c>
      <c r="K6" s="26" t="n">
        <v>510000</v>
      </c>
      <c r="L6" s="27" t="n">
        <f aca="false">K6/J6</f>
        <v>8492.92256452956</v>
      </c>
      <c r="M6" s="28"/>
      <c r="N6" s="29"/>
      <c r="O6" s="30" t="n">
        <f aca="false">K6+N6</f>
        <v>510000</v>
      </c>
      <c r="P6" s="30" t="n">
        <f aca="false">ROUND(O6/J6, 2)</f>
        <v>8492.92</v>
      </c>
      <c r="Q6" s="25" t="s">
        <v>50</v>
      </c>
      <c r="R6" s="22" t="s">
        <v>36</v>
      </c>
      <c r="S6" s="25" t="s">
        <v>29</v>
      </c>
      <c r="T6" s="24" t="s">
        <v>30</v>
      </c>
      <c r="U6" s="31" t="s">
        <v>31</v>
      </c>
      <c r="V6" s="31" t="n">
        <v>43234</v>
      </c>
      <c r="W6" s="18"/>
      <c r="X6" s="18"/>
    </row>
    <row r="7" customFormat="false" ht="13.8" hidden="false" customHeight="false" outlineLevel="0" collapsed="false">
      <c r="A7" s="18"/>
      <c r="B7" s="19" t="n">
        <v>17</v>
      </c>
      <c r="C7" s="20" t="n">
        <v>43103</v>
      </c>
      <c r="D7" s="21" t="s">
        <v>22</v>
      </c>
      <c r="E7" s="22" t="s">
        <v>42</v>
      </c>
      <c r="F7" s="23" t="s">
        <v>51</v>
      </c>
      <c r="G7" s="22" t="s">
        <v>36</v>
      </c>
      <c r="H7" s="24" t="s">
        <v>52</v>
      </c>
      <c r="I7" s="24" t="s">
        <v>26</v>
      </c>
      <c r="J7" s="25" t="n">
        <v>24.3</v>
      </c>
      <c r="K7" s="26" t="n">
        <v>227000</v>
      </c>
      <c r="L7" s="27" t="n">
        <f aca="false">K7/J7</f>
        <v>9341.56378600823</v>
      </c>
      <c r="M7" s="28"/>
      <c r="N7" s="29"/>
      <c r="O7" s="30" t="n">
        <f aca="false">K7+N7</f>
        <v>227000</v>
      </c>
      <c r="P7" s="30" t="n">
        <f aca="false">ROUND(O7/J7, 2)</f>
        <v>9341.56</v>
      </c>
      <c r="Q7" s="25" t="s">
        <v>41</v>
      </c>
      <c r="R7" s="22" t="s">
        <v>27</v>
      </c>
      <c r="S7" s="25" t="s">
        <v>29</v>
      </c>
      <c r="T7" s="24" t="s">
        <v>30</v>
      </c>
      <c r="U7" s="31" t="s">
        <v>31</v>
      </c>
      <c r="V7" s="31" t="n">
        <v>43234</v>
      </c>
      <c r="W7" s="18"/>
      <c r="X7" s="18"/>
    </row>
    <row r="8" customFormat="false" ht="13.8" hidden="false" customHeight="false" outlineLevel="0" collapsed="false">
      <c r="A8" s="18"/>
      <c r="B8" s="19" t="n">
        <v>9</v>
      </c>
      <c r="C8" s="20" t="n">
        <v>43103</v>
      </c>
      <c r="D8" s="21" t="s">
        <v>22</v>
      </c>
      <c r="E8" s="22" t="s">
        <v>53</v>
      </c>
      <c r="F8" s="23" t="s">
        <v>54</v>
      </c>
      <c r="G8" s="22" t="s">
        <v>55</v>
      </c>
      <c r="H8" s="24" t="s">
        <v>56</v>
      </c>
      <c r="I8" s="24" t="s">
        <v>57</v>
      </c>
      <c r="J8" s="25" t="n">
        <v>57.5</v>
      </c>
      <c r="K8" s="26" t="n">
        <v>382000</v>
      </c>
      <c r="L8" s="27" t="n">
        <f aca="false">K8/J8</f>
        <v>6643.47826086957</v>
      </c>
      <c r="M8" s="28" t="s">
        <v>58</v>
      </c>
      <c r="N8" s="29"/>
      <c r="O8" s="30" t="n">
        <f aca="false">K8+N8</f>
        <v>382000</v>
      </c>
      <c r="P8" s="30" t="n">
        <f aca="false">ROUND(O8/J8, 2)</f>
        <v>6643.48</v>
      </c>
      <c r="Q8" s="25" t="s">
        <v>59</v>
      </c>
      <c r="R8" s="22" t="s">
        <v>26</v>
      </c>
      <c r="S8" s="25" t="s">
        <v>29</v>
      </c>
      <c r="T8" s="24" t="s">
        <v>30</v>
      </c>
      <c r="U8" s="31" t="s">
        <v>31</v>
      </c>
      <c r="V8" s="31" t="n">
        <v>43234</v>
      </c>
      <c r="W8" s="34" t="s">
        <v>60</v>
      </c>
      <c r="X8" s="18"/>
    </row>
    <row r="9" customFormat="false" ht="13.8" hidden="false" customHeight="false" outlineLevel="0" collapsed="false">
      <c r="A9" s="18"/>
      <c r="B9" s="19" t="n">
        <v>46</v>
      </c>
      <c r="C9" s="20" t="n">
        <v>43104</v>
      </c>
      <c r="D9" s="21" t="s">
        <v>22</v>
      </c>
      <c r="E9" s="22" t="s">
        <v>61</v>
      </c>
      <c r="F9" s="23" t="s">
        <v>62</v>
      </c>
      <c r="G9" s="22" t="s">
        <v>27</v>
      </c>
      <c r="H9" s="24" t="s">
        <v>63</v>
      </c>
      <c r="I9" s="24" t="s">
        <v>57</v>
      </c>
      <c r="J9" s="25" t="n">
        <v>31.06</v>
      </c>
      <c r="K9" s="26" t="n">
        <v>262500</v>
      </c>
      <c r="L9" s="27" t="n">
        <f aca="false">K9/J9</f>
        <v>8451.38441725692</v>
      </c>
      <c r="M9" s="28" t="s">
        <v>64</v>
      </c>
      <c r="N9" s="29"/>
      <c r="O9" s="30" t="n">
        <f aca="false">K9+N9</f>
        <v>262500</v>
      </c>
      <c r="P9" s="30" t="n">
        <f aca="false">ROUND(O9/J9, 2)</f>
        <v>8451.38</v>
      </c>
      <c r="Q9" s="25" t="s">
        <v>41</v>
      </c>
      <c r="R9" s="22" t="s">
        <v>27</v>
      </c>
      <c r="S9" s="25" t="s">
        <v>29</v>
      </c>
      <c r="T9" s="24" t="s">
        <v>30</v>
      </c>
      <c r="U9" s="31" t="s">
        <v>31</v>
      </c>
      <c r="V9" s="31" t="n">
        <v>43234</v>
      </c>
      <c r="W9" s="18"/>
      <c r="X9" s="18"/>
    </row>
    <row r="10" customFormat="false" ht="13.8" hidden="false" customHeight="false" outlineLevel="0" collapsed="false">
      <c r="A10" s="18"/>
      <c r="B10" s="19" t="n">
        <v>59</v>
      </c>
      <c r="C10" s="20" t="n">
        <v>43104</v>
      </c>
      <c r="D10" s="21" t="s">
        <v>22</v>
      </c>
      <c r="E10" s="22" t="s">
        <v>65</v>
      </c>
      <c r="F10" s="23" t="s">
        <v>66</v>
      </c>
      <c r="G10" s="22" t="s">
        <v>67</v>
      </c>
      <c r="H10" s="24" t="s">
        <v>68</v>
      </c>
      <c r="I10" s="24" t="s">
        <v>25</v>
      </c>
      <c r="J10" s="25" t="n">
        <v>117.5</v>
      </c>
      <c r="K10" s="26" t="n">
        <v>1235000</v>
      </c>
      <c r="L10" s="27" t="n">
        <f aca="false">K10/J10</f>
        <v>10510.6382978723</v>
      </c>
      <c r="M10" s="28" t="s">
        <v>69</v>
      </c>
      <c r="N10" s="29" t="n">
        <v>60000</v>
      </c>
      <c r="O10" s="30" t="n">
        <f aca="false">K10+N10</f>
        <v>1295000</v>
      </c>
      <c r="P10" s="30" t="n">
        <f aca="false">ROUND(O10/J10, 2)</f>
        <v>11021.28</v>
      </c>
      <c r="Q10" s="25" t="s">
        <v>70</v>
      </c>
      <c r="R10" s="22" t="s">
        <v>57</v>
      </c>
      <c r="S10" s="25" t="s">
        <v>29</v>
      </c>
      <c r="T10" s="24" t="s">
        <v>30</v>
      </c>
      <c r="U10" s="31" t="s">
        <v>31</v>
      </c>
      <c r="V10" s="31" t="n">
        <v>43234</v>
      </c>
      <c r="W10" s="18"/>
      <c r="X10" s="18"/>
    </row>
    <row r="11" customFormat="false" ht="13.8" hidden="false" customHeight="false" outlineLevel="0" collapsed="false">
      <c r="A11" s="18" t="s">
        <v>71</v>
      </c>
      <c r="B11" s="19" t="n">
        <v>102</v>
      </c>
      <c r="C11" s="20" t="n">
        <v>43104</v>
      </c>
      <c r="D11" s="21" t="s">
        <v>22</v>
      </c>
      <c r="E11" s="22" t="s">
        <v>72</v>
      </c>
      <c r="F11" s="23" t="s">
        <v>73</v>
      </c>
      <c r="G11" s="22" t="s">
        <v>74</v>
      </c>
      <c r="H11" s="24" t="s">
        <v>26</v>
      </c>
      <c r="I11" s="24" t="s">
        <v>36</v>
      </c>
      <c r="J11" s="25" t="n">
        <v>54</v>
      </c>
      <c r="K11" s="26" t="n">
        <v>480000</v>
      </c>
      <c r="L11" s="27" t="n">
        <f aca="false">K11/J11</f>
        <v>8888.88888888889</v>
      </c>
      <c r="M11" s="28"/>
      <c r="N11" s="29"/>
      <c r="O11" s="30" t="n">
        <f aca="false">K11+N11</f>
        <v>480000</v>
      </c>
      <c r="P11" s="30" t="n">
        <f aca="false">ROUND(O11/J11, 2)</f>
        <v>8888.89</v>
      </c>
      <c r="Q11" s="25" t="s">
        <v>50</v>
      </c>
      <c r="R11" s="22" t="s">
        <v>36</v>
      </c>
      <c r="S11" s="25" t="s">
        <v>29</v>
      </c>
      <c r="T11" s="24" t="s">
        <v>30</v>
      </c>
      <c r="U11" s="31" t="s">
        <v>31</v>
      </c>
      <c r="V11" s="31" t="n">
        <v>43234</v>
      </c>
      <c r="W11" s="34"/>
      <c r="X11" s="34"/>
      <c r="AMJ11" s="32"/>
    </row>
    <row r="12" s="32" customFormat="true" ht="13.8" hidden="false" customHeight="false" outlineLevel="0" collapsed="false">
      <c r="A12" s="18"/>
      <c r="B12" s="19" t="n">
        <v>91</v>
      </c>
      <c r="C12" s="20" t="n">
        <v>43105</v>
      </c>
      <c r="D12" s="21" t="s">
        <v>22</v>
      </c>
      <c r="E12" s="22" t="s">
        <v>75</v>
      </c>
      <c r="F12" s="23" t="s">
        <v>76</v>
      </c>
      <c r="G12" s="22" t="s">
        <v>77</v>
      </c>
      <c r="H12" s="24" t="s">
        <v>78</v>
      </c>
      <c r="I12" s="24" t="s">
        <v>26</v>
      </c>
      <c r="J12" s="25" t="n">
        <f aca="false">50.35-3.77</f>
        <v>46.58</v>
      </c>
      <c r="K12" s="26" t="n">
        <v>340000</v>
      </c>
      <c r="L12" s="27" t="n">
        <f aca="false">K12/J12</f>
        <v>7299.2700729927</v>
      </c>
      <c r="M12" s="28" t="s">
        <v>79</v>
      </c>
      <c r="N12" s="29"/>
      <c r="O12" s="30" t="n">
        <f aca="false">K12+N12</f>
        <v>340000</v>
      </c>
      <c r="P12" s="30" t="n">
        <f aca="false">ROUND(O12/J12, 2)</f>
        <v>7299.27</v>
      </c>
      <c r="Q12" s="25" t="s">
        <v>50</v>
      </c>
      <c r="R12" s="22" t="s">
        <v>36</v>
      </c>
      <c r="S12" s="25" t="s">
        <v>29</v>
      </c>
      <c r="T12" s="24" t="s">
        <v>30</v>
      </c>
      <c r="U12" s="31" t="s">
        <v>31</v>
      </c>
      <c r="V12" s="31" t="n">
        <v>43234</v>
      </c>
      <c r="W12" s="34"/>
      <c r="X12" s="34"/>
    </row>
    <row r="13" s="32" customFormat="true" ht="13.8" hidden="false" customHeight="false" outlineLevel="0" collapsed="false">
      <c r="A13" s="18"/>
      <c r="B13" s="19" t="n">
        <v>26</v>
      </c>
      <c r="C13" s="20" t="n">
        <v>43105</v>
      </c>
      <c r="D13" s="21" t="s">
        <v>22</v>
      </c>
      <c r="E13" s="22" t="s">
        <v>80</v>
      </c>
      <c r="F13" s="23" t="s">
        <v>81</v>
      </c>
      <c r="G13" s="22" t="s">
        <v>82</v>
      </c>
      <c r="H13" s="24" t="s">
        <v>83</v>
      </c>
      <c r="I13" s="24" t="s">
        <v>26</v>
      </c>
      <c r="J13" s="25" t="n">
        <v>90.23</v>
      </c>
      <c r="K13" s="26" t="n">
        <v>1110000</v>
      </c>
      <c r="L13" s="27" t="n">
        <f aca="false">K13/J13</f>
        <v>12301.8951568215</v>
      </c>
      <c r="M13" s="28" t="s">
        <v>84</v>
      </c>
      <c r="N13" s="29" t="n">
        <f aca="false">30000+10000</f>
        <v>40000</v>
      </c>
      <c r="O13" s="30" t="n">
        <f aca="false">K13+N13</f>
        <v>1150000</v>
      </c>
      <c r="P13" s="30" t="n">
        <f aca="false">ROUND(O13/J13, 2)</f>
        <v>12745.21</v>
      </c>
      <c r="Q13" s="25" t="s">
        <v>85</v>
      </c>
      <c r="R13" s="22" t="s">
        <v>26</v>
      </c>
      <c r="S13" s="25" t="s">
        <v>29</v>
      </c>
      <c r="T13" s="24" t="s">
        <v>30</v>
      </c>
      <c r="U13" s="31" t="s">
        <v>31</v>
      </c>
      <c r="V13" s="31" t="n">
        <v>43234</v>
      </c>
      <c r="W13" s="34"/>
      <c r="X13" s="34"/>
    </row>
    <row r="14" s="32" customFormat="true" ht="13.8" hidden="false" customHeight="false" outlineLevel="0" collapsed="false">
      <c r="A14" s="18"/>
      <c r="B14" s="19" t="n">
        <v>22</v>
      </c>
      <c r="C14" s="20" t="n">
        <v>43105</v>
      </c>
      <c r="D14" s="21" t="s">
        <v>22</v>
      </c>
      <c r="E14" s="22" t="s">
        <v>86</v>
      </c>
      <c r="F14" s="23" t="s">
        <v>87</v>
      </c>
      <c r="G14" s="22" t="s">
        <v>88</v>
      </c>
      <c r="H14" s="24" t="s">
        <v>89</v>
      </c>
      <c r="I14" s="24" t="s">
        <v>57</v>
      </c>
      <c r="J14" s="25" t="n">
        <v>116.77</v>
      </c>
      <c r="K14" s="26" t="n">
        <v>830000</v>
      </c>
      <c r="L14" s="27" t="n">
        <f aca="false">K14/J14</f>
        <v>7107.9900659416</v>
      </c>
      <c r="M14" s="28" t="s">
        <v>90</v>
      </c>
      <c r="N14" s="29"/>
      <c r="O14" s="30" t="n">
        <f aca="false">K14+N14</f>
        <v>830000</v>
      </c>
      <c r="P14" s="30" t="n">
        <f aca="false">ROUND(O14/J14, 2)</f>
        <v>7107.99</v>
      </c>
      <c r="Q14" s="25" t="s">
        <v>91</v>
      </c>
      <c r="R14" s="22" t="s">
        <v>49</v>
      </c>
      <c r="S14" s="25" t="s">
        <v>29</v>
      </c>
      <c r="T14" s="24" t="s">
        <v>30</v>
      </c>
      <c r="U14" s="31" t="s">
        <v>31</v>
      </c>
      <c r="V14" s="31" t="n">
        <v>43234</v>
      </c>
      <c r="W14" s="34" t="s">
        <v>92</v>
      </c>
      <c r="X14" s="18"/>
    </row>
    <row r="15" customFormat="false" ht="13.8" hidden="false" customHeight="false" outlineLevel="0" collapsed="false">
      <c r="A15" s="18"/>
      <c r="B15" s="19" t="n">
        <v>89</v>
      </c>
      <c r="C15" s="20" t="n">
        <v>43108</v>
      </c>
      <c r="D15" s="21" t="s">
        <v>22</v>
      </c>
      <c r="E15" s="22" t="s">
        <v>93</v>
      </c>
      <c r="F15" s="23" t="s">
        <v>94</v>
      </c>
      <c r="G15" s="22" t="s">
        <v>77</v>
      </c>
      <c r="H15" s="24" t="s">
        <v>95</v>
      </c>
      <c r="I15" s="24" t="s">
        <v>57</v>
      </c>
      <c r="J15" s="25" t="n">
        <v>49.6</v>
      </c>
      <c r="K15" s="26" t="n">
        <v>370000</v>
      </c>
      <c r="L15" s="27" t="n">
        <f aca="false">K15/J15</f>
        <v>7459.67741935484</v>
      </c>
      <c r="M15" s="28" t="s">
        <v>64</v>
      </c>
      <c r="N15" s="29"/>
      <c r="O15" s="30" t="n">
        <f aca="false">K15+N15</f>
        <v>370000</v>
      </c>
      <c r="P15" s="30" t="n">
        <f aca="false">ROUND(O15/J15, 2)</f>
        <v>7459.68</v>
      </c>
      <c r="Q15" s="25" t="s">
        <v>96</v>
      </c>
      <c r="R15" s="22" t="s">
        <v>26</v>
      </c>
      <c r="S15" s="25" t="s">
        <v>29</v>
      </c>
      <c r="T15" s="24" t="s">
        <v>30</v>
      </c>
      <c r="U15" s="31" t="s">
        <v>31</v>
      </c>
      <c r="V15" s="31" t="n">
        <v>43234</v>
      </c>
      <c r="W15" s="34"/>
      <c r="X15" s="34"/>
      <c r="AMJ15" s="32"/>
    </row>
    <row r="16" s="32" customFormat="true" ht="13.8" hidden="false" customHeight="false" outlineLevel="0" collapsed="false">
      <c r="A16" s="18"/>
      <c r="B16" s="19" t="n">
        <v>187</v>
      </c>
      <c r="C16" s="20" t="n">
        <v>43108</v>
      </c>
      <c r="D16" s="21" t="s">
        <v>22</v>
      </c>
      <c r="E16" s="22" t="s">
        <v>75</v>
      </c>
      <c r="F16" s="23" t="s">
        <v>76</v>
      </c>
      <c r="G16" s="22" t="s">
        <v>97</v>
      </c>
      <c r="H16" s="24" t="s">
        <v>26</v>
      </c>
      <c r="I16" s="24" t="s">
        <v>27</v>
      </c>
      <c r="J16" s="25" t="n">
        <f aca="false">181.8-8.59</f>
        <v>173.21</v>
      </c>
      <c r="K16" s="26" t="n">
        <v>2000000</v>
      </c>
      <c r="L16" s="27" t="n">
        <f aca="false">K16/J16</f>
        <v>11546.6774435656</v>
      </c>
      <c r="M16" s="28" t="s">
        <v>98</v>
      </c>
      <c r="N16" s="29"/>
      <c r="O16" s="30" t="n">
        <f aca="false">K16+N16</f>
        <v>2000000</v>
      </c>
      <c r="P16" s="30" t="n">
        <f aca="false">ROUND(O16/J16, 2)</f>
        <v>11546.68</v>
      </c>
      <c r="Q16" s="25" t="s">
        <v>99</v>
      </c>
      <c r="R16" s="22" t="s">
        <v>57</v>
      </c>
      <c r="S16" s="25" t="s">
        <v>29</v>
      </c>
      <c r="T16" s="24" t="s">
        <v>30</v>
      </c>
      <c r="U16" s="31" t="s">
        <v>31</v>
      </c>
      <c r="V16" s="31" t="n">
        <v>43234</v>
      </c>
      <c r="W16" s="18"/>
      <c r="X16" s="18"/>
    </row>
    <row r="17" customFormat="false" ht="13.8" hidden="false" customHeight="false" outlineLevel="0" collapsed="false">
      <c r="A17" s="18"/>
      <c r="B17" s="19" t="n">
        <v>355</v>
      </c>
      <c r="C17" s="20" t="n">
        <v>43108</v>
      </c>
      <c r="D17" s="21" t="s">
        <v>22</v>
      </c>
      <c r="E17" s="22" t="s">
        <v>65</v>
      </c>
      <c r="F17" s="23" t="s">
        <v>100</v>
      </c>
      <c r="G17" s="22" t="s">
        <v>101</v>
      </c>
      <c r="H17" s="24" t="s">
        <v>102</v>
      </c>
      <c r="I17" s="24" t="s">
        <v>57</v>
      </c>
      <c r="J17" s="25" t="n">
        <v>42.2</v>
      </c>
      <c r="K17" s="26" t="n">
        <v>275000</v>
      </c>
      <c r="L17" s="27" t="n">
        <f aca="false">K17/J17</f>
        <v>6516.58767772512</v>
      </c>
      <c r="M17" s="28" t="s">
        <v>64</v>
      </c>
      <c r="N17" s="29"/>
      <c r="O17" s="30" t="n">
        <f aca="false">K17+N17</f>
        <v>275000</v>
      </c>
      <c r="P17" s="30" t="n">
        <f aca="false">ROUND(O17/J17, 2)</f>
        <v>6516.59</v>
      </c>
      <c r="Q17" s="25" t="s">
        <v>50</v>
      </c>
      <c r="R17" s="22" t="s">
        <v>36</v>
      </c>
      <c r="S17" s="25" t="s">
        <v>29</v>
      </c>
      <c r="T17" s="24" t="s">
        <v>30</v>
      </c>
      <c r="U17" s="31" t="s">
        <v>31</v>
      </c>
      <c r="V17" s="31" t="n">
        <v>43234</v>
      </c>
      <c r="W17" s="34"/>
      <c r="X17" s="34"/>
      <c r="AMJ17" s="32"/>
    </row>
    <row r="18" s="32" customFormat="true" ht="13.8" hidden="false" customHeight="false" outlineLevel="0" collapsed="false">
      <c r="A18" s="18"/>
      <c r="B18" s="19" t="n">
        <v>80</v>
      </c>
      <c r="C18" s="20" t="n">
        <v>43108</v>
      </c>
      <c r="D18" s="21" t="s">
        <v>22</v>
      </c>
      <c r="E18" s="22" t="s">
        <v>103</v>
      </c>
      <c r="F18" s="23" t="s">
        <v>104</v>
      </c>
      <c r="G18" s="22" t="s">
        <v>25</v>
      </c>
      <c r="H18" s="24" t="s">
        <v>105</v>
      </c>
      <c r="I18" s="24" t="s">
        <v>26</v>
      </c>
      <c r="J18" s="25" t="n">
        <f aca="false">79.8-6.1</f>
        <v>73.7</v>
      </c>
      <c r="K18" s="26" t="n">
        <v>470000</v>
      </c>
      <c r="L18" s="27" t="n">
        <f aca="false">K18/J18</f>
        <v>6377.20488466757</v>
      </c>
      <c r="M18" s="28" t="s">
        <v>106</v>
      </c>
      <c r="N18" s="29"/>
      <c r="O18" s="30" t="n">
        <f aca="false">K18+N18</f>
        <v>470000</v>
      </c>
      <c r="P18" s="30" t="n">
        <f aca="false">ROUND(O18/J18, 2)</f>
        <v>6377.2</v>
      </c>
      <c r="Q18" s="25" t="s">
        <v>91</v>
      </c>
      <c r="R18" s="22" t="s">
        <v>49</v>
      </c>
      <c r="S18" s="25" t="s">
        <v>29</v>
      </c>
      <c r="T18" s="24" t="s">
        <v>30</v>
      </c>
      <c r="U18" s="31" t="s">
        <v>31</v>
      </c>
      <c r="V18" s="31" t="n">
        <v>43234</v>
      </c>
      <c r="W18" s="34" t="s">
        <v>107</v>
      </c>
      <c r="X18" s="34"/>
    </row>
    <row r="19" s="32" customFormat="true" ht="13.8" hidden="false" customHeight="false" outlineLevel="0" collapsed="false">
      <c r="A19" s="18"/>
      <c r="B19" s="19" t="n">
        <v>166</v>
      </c>
      <c r="C19" s="20" t="n">
        <v>43108</v>
      </c>
      <c r="D19" s="21" t="s">
        <v>22</v>
      </c>
      <c r="E19" s="22" t="s">
        <v>37</v>
      </c>
      <c r="F19" s="23" t="s">
        <v>108</v>
      </c>
      <c r="G19" s="22" t="s">
        <v>105</v>
      </c>
      <c r="H19" s="24" t="s">
        <v>48</v>
      </c>
      <c r="I19" s="24" t="s">
        <v>49</v>
      </c>
      <c r="J19" s="25" t="n">
        <v>34.54</v>
      </c>
      <c r="K19" s="26" t="n">
        <v>273000</v>
      </c>
      <c r="L19" s="27" t="n">
        <f aca="false">K19/J19</f>
        <v>7903.87955993052</v>
      </c>
      <c r="M19" s="28"/>
      <c r="N19" s="29"/>
      <c r="O19" s="30" t="n">
        <f aca="false">K19+N19</f>
        <v>273000</v>
      </c>
      <c r="P19" s="30" t="n">
        <f aca="false">ROUND(O19/J19, 2)</f>
        <v>7903.88</v>
      </c>
      <c r="Q19" s="25" t="s">
        <v>41</v>
      </c>
      <c r="R19" s="22" t="s">
        <v>27</v>
      </c>
      <c r="S19" s="25" t="s">
        <v>29</v>
      </c>
      <c r="T19" s="24" t="s">
        <v>30</v>
      </c>
      <c r="U19" s="31" t="s">
        <v>31</v>
      </c>
      <c r="V19" s="31" t="n">
        <v>43234</v>
      </c>
      <c r="W19" s="18"/>
      <c r="X19" s="34"/>
    </row>
    <row r="20" s="32" customFormat="true" ht="13.8" hidden="false" customHeight="false" outlineLevel="0" collapsed="false">
      <c r="A20" s="18"/>
      <c r="B20" s="19" t="n">
        <v>31</v>
      </c>
      <c r="C20" s="20" t="n">
        <v>43108</v>
      </c>
      <c r="D20" s="21" t="s">
        <v>22</v>
      </c>
      <c r="E20" s="22" t="s">
        <v>109</v>
      </c>
      <c r="F20" s="23" t="s">
        <v>110</v>
      </c>
      <c r="G20" s="22" t="s">
        <v>111</v>
      </c>
      <c r="H20" s="24" t="s">
        <v>112</v>
      </c>
      <c r="I20" s="24" t="s">
        <v>49</v>
      </c>
      <c r="J20" s="25" t="n">
        <v>61.53</v>
      </c>
      <c r="K20" s="26" t="n">
        <v>645000</v>
      </c>
      <c r="L20" s="27" t="n">
        <f aca="false">K20/J20</f>
        <v>10482.6913700634</v>
      </c>
      <c r="M20" s="28"/>
      <c r="N20" s="29"/>
      <c r="O20" s="30" t="n">
        <f aca="false">K20+N20</f>
        <v>645000</v>
      </c>
      <c r="P20" s="30" t="n">
        <f aca="false">ROUND(O20/J20, 2)</f>
        <v>10482.69</v>
      </c>
      <c r="Q20" s="25" t="s">
        <v>50</v>
      </c>
      <c r="R20" s="22" t="s">
        <v>36</v>
      </c>
      <c r="S20" s="25" t="s">
        <v>29</v>
      </c>
      <c r="T20" s="24" t="s">
        <v>30</v>
      </c>
      <c r="U20" s="31" t="s">
        <v>31</v>
      </c>
      <c r="V20" s="31" t="n">
        <v>43234</v>
      </c>
      <c r="W20" s="18"/>
      <c r="X20" s="34"/>
      <c r="Z20" s="33"/>
    </row>
    <row r="21" s="32" customFormat="true" ht="13.8" hidden="false" customHeight="false" outlineLevel="0" collapsed="false">
      <c r="A21" s="18"/>
      <c r="B21" s="19" t="n">
        <v>449</v>
      </c>
      <c r="C21" s="20" t="n">
        <v>43108</v>
      </c>
      <c r="D21" s="21" t="s">
        <v>22</v>
      </c>
      <c r="E21" s="22" t="s">
        <v>113</v>
      </c>
      <c r="F21" s="23" t="s">
        <v>114</v>
      </c>
      <c r="G21" s="22" t="s">
        <v>115</v>
      </c>
      <c r="H21" s="24" t="s">
        <v>116</v>
      </c>
      <c r="I21" s="24" t="s">
        <v>112</v>
      </c>
      <c r="J21" s="25" t="n">
        <f aca="false">56.95-0.85</f>
        <v>56.1</v>
      </c>
      <c r="K21" s="26" t="n">
        <v>450000</v>
      </c>
      <c r="L21" s="27" t="n">
        <f aca="false">K21/J21</f>
        <v>8021.39037433155</v>
      </c>
      <c r="M21" s="28" t="s">
        <v>117</v>
      </c>
      <c r="N21" s="29"/>
      <c r="O21" s="30" t="n">
        <f aca="false">K21+N21</f>
        <v>450000</v>
      </c>
      <c r="P21" s="30" t="n">
        <f aca="false">ROUND(O21/J21, 2)</f>
        <v>8021.39</v>
      </c>
      <c r="Q21" s="25" t="s">
        <v>85</v>
      </c>
      <c r="R21" s="22" t="s">
        <v>26</v>
      </c>
      <c r="S21" s="25" t="s">
        <v>29</v>
      </c>
      <c r="T21" s="24" t="s">
        <v>30</v>
      </c>
      <c r="U21" s="31" t="s">
        <v>31</v>
      </c>
      <c r="V21" s="31" t="n">
        <v>43234</v>
      </c>
      <c r="W21" s="18"/>
      <c r="X21" s="34"/>
      <c r="Z21" s="1"/>
    </row>
    <row r="22" s="32" customFormat="true" ht="13.8" hidden="false" customHeight="false" outlineLevel="0" collapsed="false">
      <c r="A22" s="18"/>
      <c r="B22" s="19" t="n">
        <v>94</v>
      </c>
      <c r="C22" s="20" t="n">
        <v>43108</v>
      </c>
      <c r="D22" s="21" t="s">
        <v>22</v>
      </c>
      <c r="E22" s="22" t="s">
        <v>118</v>
      </c>
      <c r="F22" s="23" t="s">
        <v>119</v>
      </c>
      <c r="G22" s="22" t="s">
        <v>120</v>
      </c>
      <c r="H22" s="24" t="s">
        <v>57</v>
      </c>
      <c r="I22" s="24" t="s">
        <v>36</v>
      </c>
      <c r="J22" s="25" t="n">
        <f aca="false">45.3-3</f>
        <v>42.3</v>
      </c>
      <c r="K22" s="26" t="n">
        <v>325000</v>
      </c>
      <c r="L22" s="27" t="n">
        <f aca="false">K22/J22</f>
        <v>7683.21513002364</v>
      </c>
      <c r="M22" s="28" t="s">
        <v>121</v>
      </c>
      <c r="N22" s="29"/>
      <c r="O22" s="30" t="n">
        <f aca="false">K22+N22</f>
        <v>325000</v>
      </c>
      <c r="P22" s="30" t="n">
        <f aca="false">ROUND(O22/J22, 2)</f>
        <v>7683.22</v>
      </c>
      <c r="Q22" s="25" t="s">
        <v>50</v>
      </c>
      <c r="R22" s="22" t="s">
        <v>36</v>
      </c>
      <c r="S22" s="25" t="s">
        <v>29</v>
      </c>
      <c r="T22" s="24" t="s">
        <v>30</v>
      </c>
      <c r="U22" s="31" t="s">
        <v>31</v>
      </c>
      <c r="V22" s="31" t="n">
        <v>43234</v>
      </c>
      <c r="W22" s="18"/>
      <c r="X22" s="34"/>
      <c r="Z22" s="1"/>
    </row>
    <row r="23" s="32" customFormat="true" ht="13.8" hidden="false" customHeight="false" outlineLevel="0" collapsed="false">
      <c r="A23" s="18"/>
      <c r="B23" s="19" t="n">
        <v>39</v>
      </c>
      <c r="C23" s="20" t="n">
        <v>43108</v>
      </c>
      <c r="D23" s="21" t="s">
        <v>22</v>
      </c>
      <c r="E23" s="22" t="s">
        <v>122</v>
      </c>
      <c r="F23" s="23" t="s">
        <v>46</v>
      </c>
      <c r="G23" s="22" t="s">
        <v>123</v>
      </c>
      <c r="H23" s="24" t="s">
        <v>112</v>
      </c>
      <c r="I23" s="24" t="s">
        <v>26</v>
      </c>
      <c r="J23" s="25" t="n">
        <f aca="false">70.47-5.21</f>
        <v>65.26</v>
      </c>
      <c r="K23" s="26" t="n">
        <v>575461.6</v>
      </c>
      <c r="L23" s="27" t="n">
        <f aca="false">K23/J23</f>
        <v>8817.98345081213</v>
      </c>
      <c r="M23" s="28" t="s">
        <v>124</v>
      </c>
      <c r="N23" s="29" t="n">
        <v>34538.4</v>
      </c>
      <c r="O23" s="30" t="n">
        <f aca="false">K23+N23</f>
        <v>610000</v>
      </c>
      <c r="P23" s="30" t="n">
        <f aca="false">ROUND(O23/J23, 2)</f>
        <v>9347.23</v>
      </c>
      <c r="Q23" s="25" t="s">
        <v>85</v>
      </c>
      <c r="R23" s="22" t="s">
        <v>26</v>
      </c>
      <c r="S23" s="25" t="s">
        <v>29</v>
      </c>
      <c r="T23" s="24" t="s">
        <v>30</v>
      </c>
      <c r="U23" s="31" t="s">
        <v>31</v>
      </c>
      <c r="V23" s="31" t="n">
        <v>43234</v>
      </c>
      <c r="W23" s="18"/>
      <c r="X23" s="34"/>
      <c r="Z23" s="1"/>
    </row>
    <row r="24" s="32" customFormat="true" ht="13.8" hidden="false" customHeight="false" outlineLevel="0" collapsed="false">
      <c r="A24" s="18"/>
      <c r="B24" s="19" t="n">
        <v>83</v>
      </c>
      <c r="C24" s="20" t="n">
        <v>43108</v>
      </c>
      <c r="D24" s="21" t="s">
        <v>22</v>
      </c>
      <c r="E24" s="22" t="s">
        <v>125</v>
      </c>
      <c r="F24" s="23" t="s">
        <v>73</v>
      </c>
      <c r="G24" s="22" t="s">
        <v>126</v>
      </c>
      <c r="H24" s="24" t="s">
        <v>25</v>
      </c>
      <c r="I24" s="24" t="s">
        <v>26</v>
      </c>
      <c r="J24" s="25" t="n">
        <v>69.86</v>
      </c>
      <c r="K24" s="26" t="n">
        <v>680000</v>
      </c>
      <c r="L24" s="27" t="n">
        <f aca="false">K24/J24</f>
        <v>9733.75322072717</v>
      </c>
      <c r="M24" s="28"/>
      <c r="N24" s="29"/>
      <c r="O24" s="30" t="n">
        <f aca="false">K24+N24</f>
        <v>680000</v>
      </c>
      <c r="P24" s="30" t="n">
        <f aca="false">ROUND(O24/J24, 2)</f>
        <v>9733.75</v>
      </c>
      <c r="Q24" s="25" t="s">
        <v>91</v>
      </c>
      <c r="R24" s="22" t="s">
        <v>49</v>
      </c>
      <c r="S24" s="25" t="s">
        <v>29</v>
      </c>
      <c r="T24" s="24" t="s">
        <v>30</v>
      </c>
      <c r="U24" s="31" t="s">
        <v>31</v>
      </c>
      <c r="V24" s="31" t="n">
        <v>43234</v>
      </c>
      <c r="W24" s="18"/>
      <c r="X24" s="34"/>
      <c r="Z24" s="1"/>
    </row>
    <row r="25" s="32" customFormat="true" ht="13.8" hidden="false" customHeight="false" outlineLevel="0" collapsed="false">
      <c r="A25" s="18"/>
      <c r="B25" s="19" t="n">
        <v>85</v>
      </c>
      <c r="C25" s="20" t="n">
        <v>43108</v>
      </c>
      <c r="D25" s="21" t="s">
        <v>22</v>
      </c>
      <c r="E25" s="22" t="s">
        <v>109</v>
      </c>
      <c r="F25" s="23" t="s">
        <v>127</v>
      </c>
      <c r="G25" s="22" t="s">
        <v>128</v>
      </c>
      <c r="H25" s="24" t="s">
        <v>78</v>
      </c>
      <c r="I25" s="24" t="s">
        <v>27</v>
      </c>
      <c r="J25" s="25" t="n">
        <v>53.26</v>
      </c>
      <c r="K25" s="26" t="n">
        <v>300000</v>
      </c>
      <c r="L25" s="27" t="n">
        <f aca="false">K25/J25</f>
        <v>5632.74502440856</v>
      </c>
      <c r="M25" s="28"/>
      <c r="N25" s="29"/>
      <c r="O25" s="30" t="n">
        <f aca="false">K25+N25</f>
        <v>300000</v>
      </c>
      <c r="P25" s="30" t="n">
        <f aca="false">ROUND(O25/J25, 2)</f>
        <v>5632.75</v>
      </c>
      <c r="Q25" s="25" t="s">
        <v>50</v>
      </c>
      <c r="R25" s="22" t="s">
        <v>36</v>
      </c>
      <c r="S25" s="25" t="s">
        <v>29</v>
      </c>
      <c r="T25" s="24" t="s">
        <v>30</v>
      </c>
      <c r="U25" s="31" t="s">
        <v>31</v>
      </c>
      <c r="V25" s="31" t="n">
        <v>43234</v>
      </c>
      <c r="W25" s="18"/>
      <c r="X25" s="34"/>
      <c r="Z25" s="1"/>
    </row>
    <row r="26" s="32" customFormat="true" ht="13.8" hidden="false" customHeight="false" outlineLevel="0" collapsed="false">
      <c r="A26" s="18"/>
      <c r="B26" s="19" t="n">
        <v>85</v>
      </c>
      <c r="C26" s="20" t="n">
        <v>43109</v>
      </c>
      <c r="D26" s="21" t="s">
        <v>22</v>
      </c>
      <c r="E26" s="22" t="s">
        <v>129</v>
      </c>
      <c r="F26" s="23" t="s">
        <v>130</v>
      </c>
      <c r="G26" s="22" t="s">
        <v>49</v>
      </c>
      <c r="H26" s="24" t="s">
        <v>131</v>
      </c>
      <c r="I26" s="24" t="s">
        <v>57</v>
      </c>
      <c r="J26" s="25" t="n">
        <f aca="false">74.3-11.54</f>
        <v>62.76</v>
      </c>
      <c r="K26" s="26" t="n">
        <v>560000</v>
      </c>
      <c r="L26" s="27" t="n">
        <f aca="false">K26/J26</f>
        <v>8922.88081580625</v>
      </c>
      <c r="M26" s="28" t="s">
        <v>132</v>
      </c>
      <c r="N26" s="29" t="n">
        <v>20000</v>
      </c>
      <c r="O26" s="30" t="n">
        <f aca="false">K26+N26</f>
        <v>580000</v>
      </c>
      <c r="P26" s="30" t="n">
        <f aca="false">ROUND(O26/J26, 2)</f>
        <v>9241.56</v>
      </c>
      <c r="Q26" s="25" t="s">
        <v>133</v>
      </c>
      <c r="R26" s="22" t="s">
        <v>26</v>
      </c>
      <c r="S26" s="25" t="s">
        <v>29</v>
      </c>
      <c r="T26" s="24" t="s">
        <v>30</v>
      </c>
      <c r="U26" s="31" t="s">
        <v>31</v>
      </c>
      <c r="V26" s="31" t="n">
        <v>43234</v>
      </c>
      <c r="W26" s="18"/>
      <c r="X26" s="34"/>
      <c r="Z26" s="1"/>
    </row>
    <row r="27" s="32" customFormat="true" ht="13.8" hidden="false" customHeight="false" outlineLevel="0" collapsed="false">
      <c r="A27" s="18"/>
      <c r="B27" s="19" t="n">
        <v>341</v>
      </c>
      <c r="C27" s="20" t="n">
        <v>43109</v>
      </c>
      <c r="D27" s="21" t="s">
        <v>22</v>
      </c>
      <c r="E27" s="22" t="s">
        <v>75</v>
      </c>
      <c r="F27" s="23" t="s">
        <v>134</v>
      </c>
      <c r="G27" s="22" t="s">
        <v>135</v>
      </c>
      <c r="H27" s="24" t="s">
        <v>27</v>
      </c>
      <c r="I27" s="24" t="s">
        <v>27</v>
      </c>
      <c r="J27" s="25" t="n">
        <f aca="false">68.58-2.67</f>
        <v>65.91</v>
      </c>
      <c r="K27" s="26" t="n">
        <v>407000</v>
      </c>
      <c r="L27" s="27" t="n">
        <f aca="false">K27/J27</f>
        <v>6175.087240176</v>
      </c>
      <c r="M27" s="28" t="s">
        <v>136</v>
      </c>
      <c r="N27" s="29"/>
      <c r="O27" s="30" t="n">
        <f aca="false">K27+N27</f>
        <v>407000</v>
      </c>
      <c r="P27" s="30" t="n">
        <f aca="false">ROUND(O27/J27, 2)</f>
        <v>6175.09</v>
      </c>
      <c r="Q27" s="25" t="s">
        <v>85</v>
      </c>
      <c r="R27" s="22" t="s">
        <v>26</v>
      </c>
      <c r="S27" s="25" t="s">
        <v>29</v>
      </c>
      <c r="T27" s="24" t="s">
        <v>30</v>
      </c>
      <c r="U27" s="31" t="s">
        <v>31</v>
      </c>
      <c r="V27" s="31" t="n">
        <v>43234</v>
      </c>
      <c r="W27" s="18"/>
      <c r="X27" s="34"/>
      <c r="Z27" s="1"/>
    </row>
    <row r="28" s="32" customFormat="true" ht="13.8" hidden="false" customHeight="false" outlineLevel="0" collapsed="false">
      <c r="A28" s="18"/>
      <c r="B28" s="19" t="n">
        <v>279</v>
      </c>
      <c r="C28" s="20" t="n">
        <v>43109</v>
      </c>
      <c r="D28" s="21" t="s">
        <v>22</v>
      </c>
      <c r="E28" s="22" t="s">
        <v>137</v>
      </c>
      <c r="F28" s="23" t="s">
        <v>138</v>
      </c>
      <c r="G28" s="22" t="s">
        <v>139</v>
      </c>
      <c r="H28" s="24" t="s">
        <v>128</v>
      </c>
      <c r="I28" s="24" t="s">
        <v>26</v>
      </c>
      <c r="J28" s="25" t="n">
        <v>47.98</v>
      </c>
      <c r="K28" s="26" t="n">
        <v>385000</v>
      </c>
      <c r="L28" s="27" t="n">
        <f aca="false">K28/J28</f>
        <v>8024.17674030846</v>
      </c>
      <c r="M28" s="28" t="s">
        <v>64</v>
      </c>
      <c r="N28" s="29"/>
      <c r="O28" s="30" t="n">
        <f aca="false">K28+N28</f>
        <v>385000</v>
      </c>
      <c r="P28" s="30" t="n">
        <f aca="false">ROUND(O28/J28, 2)</f>
        <v>8024.18</v>
      </c>
      <c r="Q28" s="25" t="s">
        <v>85</v>
      </c>
      <c r="R28" s="22" t="s">
        <v>26</v>
      </c>
      <c r="S28" s="25" t="s">
        <v>29</v>
      </c>
      <c r="T28" s="24" t="s">
        <v>30</v>
      </c>
      <c r="U28" s="31" t="s">
        <v>31</v>
      </c>
      <c r="V28" s="31" t="n">
        <v>43234</v>
      </c>
      <c r="W28" s="18"/>
      <c r="X28" s="34"/>
      <c r="Z28" s="1"/>
    </row>
    <row r="29" s="32" customFormat="true" ht="13.8" hidden="false" customHeight="false" outlineLevel="0" collapsed="false">
      <c r="A29" s="18"/>
      <c r="B29" s="19" t="n">
        <v>39</v>
      </c>
      <c r="C29" s="20" t="n">
        <v>43109</v>
      </c>
      <c r="D29" s="21" t="s">
        <v>22</v>
      </c>
      <c r="E29" s="22" t="s">
        <v>140</v>
      </c>
      <c r="F29" s="23" t="s">
        <v>138</v>
      </c>
      <c r="G29" s="22" t="s">
        <v>141</v>
      </c>
      <c r="H29" s="24" t="s">
        <v>142</v>
      </c>
      <c r="I29" s="24" t="s">
        <v>143</v>
      </c>
      <c r="J29" s="25" t="n">
        <f aca="false">33.73-1.66</f>
        <v>32.07</v>
      </c>
      <c r="K29" s="26" t="n">
        <v>280000</v>
      </c>
      <c r="L29" s="27" t="n">
        <f aca="false">K29/J29</f>
        <v>8730.90115372622</v>
      </c>
      <c r="M29" s="28"/>
      <c r="N29" s="29"/>
      <c r="O29" s="30" t="n">
        <f aca="false">K29+N29</f>
        <v>280000</v>
      </c>
      <c r="P29" s="30" t="n">
        <f aca="false">ROUND(O29/J29, 2)</f>
        <v>8730.9</v>
      </c>
      <c r="Q29" s="25" t="s">
        <v>41</v>
      </c>
      <c r="R29" s="22" t="s">
        <v>27</v>
      </c>
      <c r="S29" s="25" t="s">
        <v>29</v>
      </c>
      <c r="T29" s="24" t="s">
        <v>30</v>
      </c>
      <c r="U29" s="31" t="s">
        <v>31</v>
      </c>
      <c r="V29" s="31" t="n">
        <v>43234</v>
      </c>
      <c r="W29" s="18"/>
      <c r="X29" s="34"/>
      <c r="Z29" s="1"/>
    </row>
    <row r="30" s="32" customFormat="true" ht="13.8" hidden="false" customHeight="false" outlineLevel="0" collapsed="false">
      <c r="A30" s="18"/>
      <c r="B30" s="19" t="n">
        <v>83</v>
      </c>
      <c r="C30" s="20" t="n">
        <v>43109</v>
      </c>
      <c r="D30" s="21" t="s">
        <v>22</v>
      </c>
      <c r="E30" s="22" t="s">
        <v>144</v>
      </c>
      <c r="F30" s="23" t="s">
        <v>145</v>
      </c>
      <c r="G30" s="22" t="s">
        <v>146</v>
      </c>
      <c r="H30" s="24" t="s">
        <v>147</v>
      </c>
      <c r="I30" s="24" t="s">
        <v>57</v>
      </c>
      <c r="J30" s="25" t="n">
        <v>54.15</v>
      </c>
      <c r="K30" s="26" t="n">
        <v>452000</v>
      </c>
      <c r="L30" s="27" t="n">
        <f aca="false">K30/J30</f>
        <v>8347.1837488458</v>
      </c>
      <c r="M30" s="28"/>
      <c r="N30" s="29"/>
      <c r="O30" s="30" t="n">
        <f aca="false">K30+N30</f>
        <v>452000</v>
      </c>
      <c r="P30" s="30" t="n">
        <f aca="false">ROUND(O30/J30, 2)</f>
        <v>8347.18</v>
      </c>
      <c r="Q30" s="25" t="s">
        <v>85</v>
      </c>
      <c r="R30" s="22" t="s">
        <v>26</v>
      </c>
      <c r="S30" s="25" t="s">
        <v>29</v>
      </c>
      <c r="T30" s="24" t="s">
        <v>30</v>
      </c>
      <c r="U30" s="31" t="s">
        <v>31</v>
      </c>
      <c r="V30" s="31" t="n">
        <v>43234</v>
      </c>
      <c r="W30" s="18"/>
      <c r="X30" s="34"/>
      <c r="Z30" s="1"/>
    </row>
    <row r="31" s="32" customFormat="true" ht="13.8" hidden="false" customHeight="false" outlineLevel="0" collapsed="false">
      <c r="A31" s="18"/>
      <c r="B31" s="19" t="n">
        <v>129</v>
      </c>
      <c r="C31" s="20" t="n">
        <v>43109</v>
      </c>
      <c r="D31" s="21" t="s">
        <v>22</v>
      </c>
      <c r="E31" s="22" t="s">
        <v>148</v>
      </c>
      <c r="F31" s="23" t="s">
        <v>149</v>
      </c>
      <c r="G31" s="22" t="s">
        <v>57</v>
      </c>
      <c r="H31" s="24" t="s">
        <v>150</v>
      </c>
      <c r="I31" s="24" t="s">
        <v>25</v>
      </c>
      <c r="J31" s="25" t="n">
        <v>64.46</v>
      </c>
      <c r="K31" s="26" t="n">
        <v>430000</v>
      </c>
      <c r="L31" s="27" t="n">
        <f aca="false">K31/J31</f>
        <v>6670.80359913124</v>
      </c>
      <c r="M31" s="28"/>
      <c r="N31" s="29"/>
      <c r="O31" s="30" t="n">
        <f aca="false">K31+N31</f>
        <v>430000</v>
      </c>
      <c r="P31" s="30" t="n">
        <f aca="false">ROUND(O31/J31, 2)</f>
        <v>6670.8</v>
      </c>
      <c r="Q31" s="25" t="s">
        <v>151</v>
      </c>
      <c r="R31" s="22" t="s">
        <v>49</v>
      </c>
      <c r="S31" s="25" t="s">
        <v>29</v>
      </c>
      <c r="T31" s="24" t="s">
        <v>30</v>
      </c>
      <c r="U31" s="31" t="s">
        <v>31</v>
      </c>
      <c r="V31" s="31" t="n">
        <v>43234</v>
      </c>
      <c r="W31" s="18"/>
      <c r="X31" s="34"/>
      <c r="Z31" s="1"/>
    </row>
    <row r="32" s="32" customFormat="true" ht="13.8" hidden="false" customHeight="false" outlineLevel="0" collapsed="false">
      <c r="A32" s="18"/>
      <c r="B32" s="19" t="n">
        <v>44</v>
      </c>
      <c r="C32" s="20" t="n">
        <v>43109</v>
      </c>
      <c r="D32" s="21" t="s">
        <v>22</v>
      </c>
      <c r="E32" s="22" t="s">
        <v>37</v>
      </c>
      <c r="F32" s="23" t="s">
        <v>152</v>
      </c>
      <c r="G32" s="22" t="s">
        <v>153</v>
      </c>
      <c r="H32" s="24" t="s">
        <v>154</v>
      </c>
      <c r="I32" s="24" t="s">
        <v>49</v>
      </c>
      <c r="J32" s="25" t="n">
        <f aca="false">97.6-2.9</f>
        <v>94.7</v>
      </c>
      <c r="K32" s="26" t="n">
        <v>1350000</v>
      </c>
      <c r="L32" s="27" t="n">
        <f aca="false">K32/J32</f>
        <v>14255.5438225977</v>
      </c>
      <c r="M32" s="28" t="s">
        <v>155</v>
      </c>
      <c r="N32" s="29"/>
      <c r="O32" s="30" t="n">
        <f aca="false">K32+N32</f>
        <v>1350000</v>
      </c>
      <c r="P32" s="30" t="n">
        <f aca="false">ROUND(O32/J32, 2)</f>
        <v>14255.54</v>
      </c>
      <c r="Q32" s="25" t="s">
        <v>85</v>
      </c>
      <c r="R32" s="22" t="s">
        <v>26</v>
      </c>
      <c r="S32" s="25" t="s">
        <v>29</v>
      </c>
      <c r="T32" s="24" t="s">
        <v>30</v>
      </c>
      <c r="U32" s="31" t="s">
        <v>31</v>
      </c>
      <c r="V32" s="31" t="n">
        <v>43234</v>
      </c>
      <c r="W32" s="18"/>
      <c r="X32" s="34"/>
      <c r="Z32" s="1"/>
    </row>
    <row r="33" s="32" customFormat="true" ht="13.8" hidden="false" customHeight="false" outlineLevel="0" collapsed="false">
      <c r="A33" s="18"/>
      <c r="B33" s="19" t="n">
        <v>81</v>
      </c>
      <c r="C33" s="20" t="n">
        <v>43110</v>
      </c>
      <c r="D33" s="21" t="s">
        <v>22</v>
      </c>
      <c r="E33" s="22" t="s">
        <v>156</v>
      </c>
      <c r="F33" s="23" t="s">
        <v>157</v>
      </c>
      <c r="G33" s="22" t="s">
        <v>158</v>
      </c>
      <c r="H33" s="24" t="s">
        <v>159</v>
      </c>
      <c r="I33" s="24" t="s">
        <v>26</v>
      </c>
      <c r="J33" s="25" t="n">
        <f aca="false">49.95-2.3</f>
        <v>47.65</v>
      </c>
      <c r="K33" s="26" t="n">
        <v>430000</v>
      </c>
      <c r="L33" s="27" t="n">
        <f aca="false">K33/J33</f>
        <v>9024.13431269675</v>
      </c>
      <c r="M33" s="28" t="s">
        <v>160</v>
      </c>
      <c r="N33" s="29" t="n">
        <v>30000</v>
      </c>
      <c r="O33" s="30" t="n">
        <f aca="false">K33+N33</f>
        <v>460000</v>
      </c>
      <c r="P33" s="30" t="n">
        <f aca="false">ROUND(O33/J33, 2)</f>
        <v>9653.73</v>
      </c>
      <c r="Q33" s="25" t="s">
        <v>161</v>
      </c>
      <c r="R33" s="22" t="s">
        <v>36</v>
      </c>
      <c r="S33" s="25" t="s">
        <v>29</v>
      </c>
      <c r="T33" s="24" t="s">
        <v>30</v>
      </c>
      <c r="U33" s="31" t="s">
        <v>31</v>
      </c>
      <c r="V33" s="31" t="n">
        <v>43234</v>
      </c>
      <c r="W33" s="18"/>
      <c r="X33" s="34"/>
      <c r="Z33" s="1"/>
    </row>
    <row r="34" s="32" customFormat="true" ht="13.8" hidden="false" customHeight="false" outlineLevel="0" collapsed="false">
      <c r="A34" s="18"/>
      <c r="B34" s="19" t="n">
        <v>424</v>
      </c>
      <c r="C34" s="20" t="n">
        <v>43110</v>
      </c>
      <c r="D34" s="21" t="s">
        <v>22</v>
      </c>
      <c r="E34" s="22" t="s">
        <v>80</v>
      </c>
      <c r="F34" s="23" t="s">
        <v>162</v>
      </c>
      <c r="G34" s="22" t="s">
        <v>26</v>
      </c>
      <c r="H34" s="24" t="s">
        <v>163</v>
      </c>
      <c r="I34" s="24" t="s">
        <v>36</v>
      </c>
      <c r="J34" s="25" t="n">
        <v>91.93</v>
      </c>
      <c r="K34" s="26" t="n">
        <v>1335000</v>
      </c>
      <c r="L34" s="27" t="n">
        <f aca="false">K34/J34</f>
        <v>14521.9188512999</v>
      </c>
      <c r="M34" s="28" t="s">
        <v>164</v>
      </c>
      <c r="N34" s="29" t="n">
        <v>40000</v>
      </c>
      <c r="O34" s="30" t="n">
        <f aca="false">K34+N34</f>
        <v>1375000</v>
      </c>
      <c r="P34" s="30" t="n">
        <f aca="false">ROUND(O34/J34, 2)</f>
        <v>14957.03</v>
      </c>
      <c r="Q34" s="25" t="s">
        <v>85</v>
      </c>
      <c r="R34" s="22" t="s">
        <v>26</v>
      </c>
      <c r="S34" s="25" t="s">
        <v>29</v>
      </c>
      <c r="T34" s="24" t="s">
        <v>30</v>
      </c>
      <c r="U34" s="31" t="s">
        <v>31</v>
      </c>
      <c r="V34" s="31" t="n">
        <v>43234</v>
      </c>
      <c r="W34" s="18"/>
      <c r="X34" s="18"/>
      <c r="Z34" s="1"/>
    </row>
    <row r="35" customFormat="false" ht="13.8" hidden="false" customHeight="false" outlineLevel="0" collapsed="false">
      <c r="A35" s="18"/>
      <c r="B35" s="19" t="n">
        <v>43</v>
      </c>
      <c r="C35" s="20" t="n">
        <v>43110</v>
      </c>
      <c r="D35" s="21" t="s">
        <v>22</v>
      </c>
      <c r="E35" s="22" t="s">
        <v>140</v>
      </c>
      <c r="F35" s="23" t="s">
        <v>138</v>
      </c>
      <c r="G35" s="22" t="s">
        <v>141</v>
      </c>
      <c r="H35" s="24" t="s">
        <v>165</v>
      </c>
      <c r="I35" s="24" t="s">
        <v>57</v>
      </c>
      <c r="J35" s="25" t="n">
        <f aca="false">54.51-5.75</f>
        <v>48.76</v>
      </c>
      <c r="K35" s="26" t="n">
        <v>530000</v>
      </c>
      <c r="L35" s="27" t="n">
        <f aca="false">K35/J35</f>
        <v>10869.5652173913</v>
      </c>
      <c r="M35" s="28" t="s">
        <v>166</v>
      </c>
      <c r="N35" s="29" t="n">
        <v>30000</v>
      </c>
      <c r="O35" s="30" t="n">
        <f aca="false">K35+N35</f>
        <v>560000</v>
      </c>
      <c r="P35" s="30" t="n">
        <f aca="false">ROUND(O35/J35, 2)</f>
        <v>11484.82</v>
      </c>
      <c r="Q35" s="25" t="s">
        <v>50</v>
      </c>
      <c r="R35" s="22" t="s">
        <v>36</v>
      </c>
      <c r="S35" s="25" t="s">
        <v>29</v>
      </c>
      <c r="T35" s="24" t="s">
        <v>30</v>
      </c>
      <c r="U35" s="31" t="s">
        <v>31</v>
      </c>
      <c r="V35" s="31" t="n">
        <v>43234</v>
      </c>
      <c r="W35" s="34" t="s">
        <v>167</v>
      </c>
      <c r="X35" s="18"/>
    </row>
    <row r="36" customFormat="false" ht="13.8" hidden="false" customHeight="false" outlineLevel="0" collapsed="false">
      <c r="A36" s="18"/>
      <c r="B36" s="19" t="n">
        <v>291</v>
      </c>
      <c r="C36" s="20" t="n">
        <v>43110</v>
      </c>
      <c r="D36" s="21" t="s">
        <v>22</v>
      </c>
      <c r="E36" s="22" t="s">
        <v>144</v>
      </c>
      <c r="F36" s="23" t="s">
        <v>145</v>
      </c>
      <c r="G36" s="22" t="s">
        <v>168</v>
      </c>
      <c r="H36" s="24" t="s">
        <v>169</v>
      </c>
      <c r="I36" s="24" t="s">
        <v>26</v>
      </c>
      <c r="J36" s="25" t="n">
        <v>39.2</v>
      </c>
      <c r="K36" s="26" t="n">
        <v>210000</v>
      </c>
      <c r="L36" s="27" t="n">
        <f aca="false">K36/J36</f>
        <v>5357.14285714286</v>
      </c>
      <c r="M36" s="28"/>
      <c r="N36" s="29"/>
      <c r="O36" s="30" t="n">
        <f aca="false">K36+N36</f>
        <v>210000</v>
      </c>
      <c r="P36" s="30" t="n">
        <f aca="false">ROUND(O36/J36, 2)</f>
        <v>5357.14</v>
      </c>
      <c r="Q36" s="25" t="s">
        <v>170</v>
      </c>
      <c r="R36" s="22" t="s">
        <v>27</v>
      </c>
      <c r="S36" s="25" t="s">
        <v>29</v>
      </c>
      <c r="T36" s="24" t="s">
        <v>30</v>
      </c>
      <c r="U36" s="31" t="s">
        <v>31</v>
      </c>
      <c r="V36" s="31" t="n">
        <v>43234</v>
      </c>
      <c r="W36" s="18"/>
      <c r="X36" s="18"/>
    </row>
    <row r="37" customFormat="false" ht="13.8" hidden="false" customHeight="false" outlineLevel="0" collapsed="false">
      <c r="A37" s="18"/>
      <c r="B37" s="19" t="n">
        <v>147</v>
      </c>
      <c r="C37" s="20" t="n">
        <v>43110</v>
      </c>
      <c r="D37" s="21" t="s">
        <v>22</v>
      </c>
      <c r="E37" s="22" t="s">
        <v>171</v>
      </c>
      <c r="F37" s="23" t="s">
        <v>172</v>
      </c>
      <c r="G37" s="22" t="s">
        <v>173</v>
      </c>
      <c r="H37" s="24" t="s">
        <v>174</v>
      </c>
      <c r="I37" s="24" t="s">
        <v>57</v>
      </c>
      <c r="J37" s="25" t="n">
        <v>56.4</v>
      </c>
      <c r="K37" s="26" t="n">
        <v>300000</v>
      </c>
      <c r="L37" s="27" t="n">
        <f aca="false">K37/J37</f>
        <v>5319.14893617021</v>
      </c>
      <c r="M37" s="28"/>
      <c r="N37" s="29"/>
      <c r="O37" s="30" t="n">
        <f aca="false">K37+N37</f>
        <v>300000</v>
      </c>
      <c r="P37" s="30" t="n">
        <f aca="false">ROUND(O37/J37, 2)</f>
        <v>5319.15</v>
      </c>
      <c r="Q37" s="25" t="s">
        <v>133</v>
      </c>
      <c r="R37" s="22" t="s">
        <v>26</v>
      </c>
      <c r="S37" s="25" t="s">
        <v>29</v>
      </c>
      <c r="T37" s="24" t="s">
        <v>30</v>
      </c>
      <c r="U37" s="31" t="s">
        <v>31</v>
      </c>
      <c r="V37" s="31" t="n">
        <v>43234</v>
      </c>
      <c r="W37" s="18"/>
      <c r="X37" s="18"/>
    </row>
    <row r="38" customFormat="false" ht="13.8" hidden="false" customHeight="false" outlineLevel="0" collapsed="false">
      <c r="A38" s="18"/>
      <c r="B38" s="19" t="n">
        <v>153</v>
      </c>
      <c r="C38" s="20" t="n">
        <v>43110</v>
      </c>
      <c r="D38" s="21" t="s">
        <v>22</v>
      </c>
      <c r="E38" s="22" t="s">
        <v>175</v>
      </c>
      <c r="F38" s="23" t="s">
        <v>176</v>
      </c>
      <c r="G38" s="22" t="s">
        <v>177</v>
      </c>
      <c r="H38" s="24" t="s">
        <v>55</v>
      </c>
      <c r="I38" s="24" t="s">
        <v>49</v>
      </c>
      <c r="J38" s="25" t="n">
        <v>39.57</v>
      </c>
      <c r="K38" s="26" t="n">
        <v>340000</v>
      </c>
      <c r="L38" s="27" t="n">
        <f aca="false">K38/J38</f>
        <v>8592.36795552186</v>
      </c>
      <c r="M38" s="28"/>
      <c r="N38" s="29"/>
      <c r="O38" s="30" t="n">
        <f aca="false">K38+N38</f>
        <v>340000</v>
      </c>
      <c r="P38" s="30" t="n">
        <f aca="false">ROUND(O38/J38, 2)</f>
        <v>8592.37</v>
      </c>
      <c r="Q38" s="25" t="s">
        <v>41</v>
      </c>
      <c r="R38" s="22" t="s">
        <v>27</v>
      </c>
      <c r="S38" s="25" t="s">
        <v>29</v>
      </c>
      <c r="T38" s="24" t="s">
        <v>30</v>
      </c>
      <c r="U38" s="31" t="s">
        <v>31</v>
      </c>
      <c r="V38" s="31" t="n">
        <v>43234</v>
      </c>
      <c r="W38" s="18"/>
      <c r="X38" s="18"/>
      <c r="Z38" s="33"/>
    </row>
    <row r="39" customFormat="false" ht="13.8" hidden="false" customHeight="false" outlineLevel="0" collapsed="false">
      <c r="A39" s="18"/>
      <c r="B39" s="19" t="n">
        <v>114</v>
      </c>
      <c r="C39" s="20" t="n">
        <v>43110</v>
      </c>
      <c r="D39" s="21" t="s">
        <v>22</v>
      </c>
      <c r="E39" s="22" t="s">
        <v>178</v>
      </c>
      <c r="F39" s="23" t="s">
        <v>179</v>
      </c>
      <c r="G39" s="22" t="s">
        <v>180</v>
      </c>
      <c r="H39" s="24" t="s">
        <v>181</v>
      </c>
      <c r="I39" s="24" t="s">
        <v>49</v>
      </c>
      <c r="J39" s="25" t="n">
        <v>24.03</v>
      </c>
      <c r="K39" s="26" t="n">
        <v>240000</v>
      </c>
      <c r="L39" s="27" t="n">
        <f aca="false">K39/J39</f>
        <v>9987.51560549313</v>
      </c>
      <c r="M39" s="28"/>
      <c r="N39" s="29"/>
      <c r="O39" s="30" t="n">
        <f aca="false">K39+N39</f>
        <v>240000</v>
      </c>
      <c r="P39" s="30" t="n">
        <f aca="false">ROUND(O39/J39, 2)</f>
        <v>9987.52</v>
      </c>
      <c r="Q39" s="25" t="s">
        <v>182</v>
      </c>
      <c r="R39" s="22" t="s">
        <v>27</v>
      </c>
      <c r="S39" s="25" t="s">
        <v>29</v>
      </c>
      <c r="T39" s="24" t="s">
        <v>30</v>
      </c>
      <c r="U39" s="31" t="s">
        <v>31</v>
      </c>
      <c r="V39" s="31" t="n">
        <v>43234</v>
      </c>
      <c r="W39" s="18"/>
      <c r="X39" s="18"/>
    </row>
    <row r="40" customFormat="false" ht="13.8" hidden="false" customHeight="false" outlineLevel="0" collapsed="false">
      <c r="A40" s="18"/>
      <c r="B40" s="19" t="n">
        <v>51</v>
      </c>
      <c r="C40" s="20" t="n">
        <v>43110</v>
      </c>
      <c r="D40" s="21" t="s">
        <v>22</v>
      </c>
      <c r="E40" s="22" t="s">
        <v>183</v>
      </c>
      <c r="F40" s="23" t="s">
        <v>46</v>
      </c>
      <c r="G40" s="22" t="s">
        <v>184</v>
      </c>
      <c r="H40" s="24" t="s">
        <v>25</v>
      </c>
      <c r="I40" s="24" t="s">
        <v>36</v>
      </c>
      <c r="J40" s="25" t="n">
        <v>58.2</v>
      </c>
      <c r="K40" s="26" t="n">
        <v>675000</v>
      </c>
      <c r="L40" s="27" t="n">
        <f aca="false">K40/J40</f>
        <v>11597.9381443299</v>
      </c>
      <c r="M40" s="28"/>
      <c r="N40" s="29"/>
      <c r="O40" s="30" t="n">
        <f aca="false">K40+N40</f>
        <v>675000</v>
      </c>
      <c r="P40" s="30" t="n">
        <f aca="false">ROUND(O40/J40, 2)</f>
        <v>11597.94</v>
      </c>
      <c r="Q40" s="25" t="s">
        <v>161</v>
      </c>
      <c r="R40" s="22" t="s">
        <v>36</v>
      </c>
      <c r="S40" s="25" t="s">
        <v>29</v>
      </c>
      <c r="T40" s="24" t="s">
        <v>30</v>
      </c>
      <c r="U40" s="31" t="s">
        <v>31</v>
      </c>
      <c r="V40" s="31" t="n">
        <v>43234</v>
      </c>
      <c r="W40" s="18"/>
      <c r="X40" s="18"/>
    </row>
    <row r="41" customFormat="false" ht="13.8" hidden="false" customHeight="false" outlineLevel="0" collapsed="false">
      <c r="A41" s="18"/>
      <c r="B41" s="19" t="n">
        <v>452</v>
      </c>
      <c r="C41" s="20" t="n">
        <v>43110</v>
      </c>
      <c r="D41" s="21" t="s">
        <v>22</v>
      </c>
      <c r="E41" s="22" t="s">
        <v>53</v>
      </c>
      <c r="F41" s="23" t="s">
        <v>54</v>
      </c>
      <c r="G41" s="22" t="s">
        <v>55</v>
      </c>
      <c r="H41" s="24" t="s">
        <v>185</v>
      </c>
      <c r="I41" s="24" t="s">
        <v>82</v>
      </c>
      <c r="J41" s="25" t="n">
        <f aca="false">66-2.3</f>
        <v>63.7</v>
      </c>
      <c r="K41" s="26" t="n">
        <v>450000</v>
      </c>
      <c r="L41" s="27" t="n">
        <f aca="false">K41/J41</f>
        <v>7064.36420722135</v>
      </c>
      <c r="M41" s="28" t="s">
        <v>186</v>
      </c>
      <c r="N41" s="29"/>
      <c r="O41" s="30" t="n">
        <f aca="false">K41+N41</f>
        <v>450000</v>
      </c>
      <c r="P41" s="30" t="n">
        <f aca="false">ROUND(O41/J41, 2)</f>
        <v>7064.36</v>
      </c>
      <c r="Q41" s="25" t="s">
        <v>85</v>
      </c>
      <c r="R41" s="22" t="s">
        <v>26</v>
      </c>
      <c r="S41" s="25" t="s">
        <v>29</v>
      </c>
      <c r="T41" s="24" t="s">
        <v>30</v>
      </c>
      <c r="U41" s="31" t="s">
        <v>31</v>
      </c>
      <c r="V41" s="31" t="n">
        <v>43234</v>
      </c>
      <c r="W41" s="18"/>
      <c r="X41" s="18"/>
      <c r="Y41" s="35"/>
      <c r="Z41" s="36"/>
    </row>
    <row r="42" customFormat="false" ht="13.8" hidden="false" customHeight="false" outlineLevel="0" collapsed="false">
      <c r="A42" s="18"/>
      <c r="B42" s="19" t="n">
        <v>410</v>
      </c>
      <c r="C42" s="20" t="n">
        <v>43111</v>
      </c>
      <c r="D42" s="21" t="s">
        <v>22</v>
      </c>
      <c r="E42" s="22" t="s">
        <v>187</v>
      </c>
      <c r="F42" s="23" t="s">
        <v>94</v>
      </c>
      <c r="G42" s="22" t="s">
        <v>188</v>
      </c>
      <c r="H42" s="24" t="s">
        <v>39</v>
      </c>
      <c r="I42" s="24" t="s">
        <v>25</v>
      </c>
      <c r="J42" s="25" t="n">
        <v>50.84</v>
      </c>
      <c r="K42" s="26" t="n">
        <v>447000</v>
      </c>
      <c r="L42" s="27" t="n">
        <f aca="false">K42/J42</f>
        <v>8792.28953579858</v>
      </c>
      <c r="M42" s="28" t="s">
        <v>189</v>
      </c>
      <c r="N42" s="29"/>
      <c r="O42" s="30" t="n">
        <f aca="false">K42+N42</f>
        <v>447000</v>
      </c>
      <c r="P42" s="30" t="n">
        <f aca="false">ROUND(O42/J42, 2)</f>
        <v>8792.29</v>
      </c>
      <c r="Q42" s="25" t="s">
        <v>50</v>
      </c>
      <c r="R42" s="22" t="s">
        <v>36</v>
      </c>
      <c r="S42" s="25" t="s">
        <v>29</v>
      </c>
      <c r="T42" s="24" t="s">
        <v>30</v>
      </c>
      <c r="U42" s="31" t="s">
        <v>31</v>
      </c>
      <c r="V42" s="31" t="n">
        <v>43234</v>
      </c>
      <c r="W42" s="34"/>
      <c r="X42" s="34"/>
      <c r="AMJ42" s="32"/>
    </row>
    <row r="43" s="32" customFormat="true" ht="13.8" hidden="false" customHeight="false" outlineLevel="0" collapsed="false">
      <c r="A43" s="18"/>
      <c r="B43" s="19" t="n">
        <v>284</v>
      </c>
      <c r="C43" s="20" t="n">
        <v>43111</v>
      </c>
      <c r="D43" s="21" t="s">
        <v>22</v>
      </c>
      <c r="E43" s="22" t="s">
        <v>190</v>
      </c>
      <c r="F43" s="23" t="s">
        <v>191</v>
      </c>
      <c r="G43" s="22" t="s">
        <v>192</v>
      </c>
      <c r="H43" s="24" t="s">
        <v>193</v>
      </c>
      <c r="I43" s="24" t="s">
        <v>143</v>
      </c>
      <c r="J43" s="25" t="n">
        <f aca="false">66.59-8.37</f>
        <v>58.22</v>
      </c>
      <c r="K43" s="26" t="n">
        <v>370000</v>
      </c>
      <c r="L43" s="27" t="n">
        <f aca="false">K43/J43</f>
        <v>6355.20439711439</v>
      </c>
      <c r="M43" s="28" t="s">
        <v>194</v>
      </c>
      <c r="N43" s="29"/>
      <c r="O43" s="30" t="n">
        <f aca="false">K43+N43</f>
        <v>370000</v>
      </c>
      <c r="P43" s="30" t="n">
        <f aca="false">ROUND(O43/J43, 2)</f>
        <v>6355.2</v>
      </c>
      <c r="Q43" s="25" t="s">
        <v>85</v>
      </c>
      <c r="R43" s="22" t="s">
        <v>26</v>
      </c>
      <c r="S43" s="25" t="s">
        <v>29</v>
      </c>
      <c r="T43" s="24" t="s">
        <v>30</v>
      </c>
      <c r="U43" s="31" t="s">
        <v>31</v>
      </c>
      <c r="V43" s="31" t="n">
        <v>43234</v>
      </c>
      <c r="W43" s="18"/>
      <c r="X43" s="18"/>
    </row>
    <row r="44" customFormat="false" ht="13.8" hidden="false" customHeight="false" outlineLevel="0" collapsed="false">
      <c r="A44" s="18"/>
      <c r="B44" s="19" t="n">
        <v>1791</v>
      </c>
      <c r="C44" s="20" t="n">
        <v>43111</v>
      </c>
      <c r="D44" s="21" t="s">
        <v>22</v>
      </c>
      <c r="E44" s="22" t="s">
        <v>61</v>
      </c>
      <c r="F44" s="23" t="s">
        <v>195</v>
      </c>
      <c r="G44" s="22" t="s">
        <v>105</v>
      </c>
      <c r="H44" s="24" t="s">
        <v>196</v>
      </c>
      <c r="I44" s="24" t="s">
        <v>49</v>
      </c>
      <c r="J44" s="25" t="n">
        <v>30.9</v>
      </c>
      <c r="K44" s="26" t="n">
        <v>285000</v>
      </c>
      <c r="L44" s="27" t="n">
        <f aca="false">K44/J44</f>
        <v>9223.30097087379</v>
      </c>
      <c r="M44" s="28"/>
      <c r="N44" s="29"/>
      <c r="O44" s="30" t="n">
        <f aca="false">K44+N44</f>
        <v>285000</v>
      </c>
      <c r="P44" s="30" t="n">
        <f aca="false">ROUND(O44/J44, 2)</f>
        <v>9223.3</v>
      </c>
      <c r="Q44" s="25" t="s">
        <v>41</v>
      </c>
      <c r="R44" s="22" t="s">
        <v>27</v>
      </c>
      <c r="S44" s="25" t="s">
        <v>29</v>
      </c>
      <c r="T44" s="24" t="s">
        <v>30</v>
      </c>
      <c r="U44" s="31" t="s">
        <v>31</v>
      </c>
      <c r="V44" s="31" t="n">
        <v>43234</v>
      </c>
      <c r="W44" s="18"/>
      <c r="X44" s="18"/>
    </row>
    <row r="45" customFormat="false" ht="13.8" hidden="false" customHeight="false" outlineLevel="0" collapsed="false">
      <c r="A45" s="18"/>
      <c r="B45" s="19" t="n">
        <v>57</v>
      </c>
      <c r="C45" s="20" t="n">
        <v>43111</v>
      </c>
      <c r="D45" s="21" t="s">
        <v>22</v>
      </c>
      <c r="E45" s="22" t="s">
        <v>37</v>
      </c>
      <c r="F45" s="23" t="s">
        <v>152</v>
      </c>
      <c r="G45" s="22" t="s">
        <v>197</v>
      </c>
      <c r="H45" s="24" t="s">
        <v>36</v>
      </c>
      <c r="I45" s="24" t="s">
        <v>27</v>
      </c>
      <c r="J45" s="25" t="n">
        <v>52.6</v>
      </c>
      <c r="K45" s="26" t="n">
        <v>600000</v>
      </c>
      <c r="L45" s="27" t="n">
        <f aca="false">K45/J45</f>
        <v>11406.8441064639</v>
      </c>
      <c r="M45" s="28"/>
      <c r="N45" s="29"/>
      <c r="O45" s="30" t="n">
        <f aca="false">K45+N45</f>
        <v>600000</v>
      </c>
      <c r="P45" s="30" t="n">
        <f aca="false">ROUND(O45/J45, 2)</f>
        <v>11406.84</v>
      </c>
      <c r="Q45" s="25" t="s">
        <v>85</v>
      </c>
      <c r="R45" s="22" t="s">
        <v>26</v>
      </c>
      <c r="S45" s="25" t="s">
        <v>29</v>
      </c>
      <c r="T45" s="24" t="s">
        <v>30</v>
      </c>
      <c r="U45" s="31" t="s">
        <v>31</v>
      </c>
      <c r="V45" s="31" t="n">
        <v>43234</v>
      </c>
      <c r="W45" s="34"/>
      <c r="X45" s="34"/>
      <c r="AMJ45" s="32"/>
    </row>
    <row r="46" s="32" customFormat="true" ht="13.8" hidden="false" customHeight="false" outlineLevel="0" collapsed="false">
      <c r="A46" s="18"/>
      <c r="B46" s="19" t="n">
        <v>172</v>
      </c>
      <c r="C46" s="20" t="n">
        <v>43112</v>
      </c>
      <c r="D46" s="21" t="s">
        <v>22</v>
      </c>
      <c r="E46" s="22" t="s">
        <v>198</v>
      </c>
      <c r="F46" s="23" t="s">
        <v>199</v>
      </c>
      <c r="G46" s="22" t="s">
        <v>200</v>
      </c>
      <c r="H46" s="24" t="s">
        <v>154</v>
      </c>
      <c r="I46" s="24" t="s">
        <v>49</v>
      </c>
      <c r="J46" s="25" t="n">
        <v>32.69</v>
      </c>
      <c r="K46" s="26" t="n">
        <v>260000</v>
      </c>
      <c r="L46" s="27" t="n">
        <f aca="false">K46/J46</f>
        <v>7953.50260018354</v>
      </c>
      <c r="M46" s="28"/>
      <c r="N46" s="29"/>
      <c r="O46" s="30" t="n">
        <f aca="false">K46+N46</f>
        <v>260000</v>
      </c>
      <c r="P46" s="30" t="n">
        <f aca="false">ROUND(O46/J46, 2)</f>
        <v>7953.5</v>
      </c>
      <c r="Q46" s="25" t="s">
        <v>50</v>
      </c>
      <c r="R46" s="22" t="s">
        <v>36</v>
      </c>
      <c r="S46" s="25" t="s">
        <v>29</v>
      </c>
      <c r="T46" s="24" t="s">
        <v>30</v>
      </c>
      <c r="U46" s="31" t="s">
        <v>31</v>
      </c>
      <c r="V46" s="31" t="n">
        <v>43234</v>
      </c>
      <c r="W46" s="34"/>
      <c r="X46" s="34"/>
    </row>
    <row r="47" s="32" customFormat="true" ht="13.8" hidden="false" customHeight="false" outlineLevel="0" collapsed="false">
      <c r="A47" s="18"/>
      <c r="B47" s="19" t="n">
        <v>50</v>
      </c>
      <c r="C47" s="20" t="n">
        <v>43112</v>
      </c>
      <c r="D47" s="21" t="s">
        <v>22</v>
      </c>
      <c r="E47" s="22" t="s">
        <v>201</v>
      </c>
      <c r="F47" s="23" t="s">
        <v>199</v>
      </c>
      <c r="G47" s="22" t="s">
        <v>120</v>
      </c>
      <c r="H47" s="24" t="s">
        <v>202</v>
      </c>
      <c r="I47" s="24" t="s">
        <v>126</v>
      </c>
      <c r="J47" s="25" t="n">
        <v>54</v>
      </c>
      <c r="K47" s="26" t="n">
        <v>530000</v>
      </c>
      <c r="L47" s="27" t="n">
        <f aca="false">K47/J47</f>
        <v>9814.81481481482</v>
      </c>
      <c r="M47" s="28"/>
      <c r="N47" s="29"/>
      <c r="O47" s="30" t="n">
        <f aca="false">K47+N47</f>
        <v>530000</v>
      </c>
      <c r="P47" s="30" t="n">
        <f aca="false">ROUND(O47/J47, 2)</f>
        <v>9814.81</v>
      </c>
      <c r="Q47" s="25" t="s">
        <v>50</v>
      </c>
      <c r="R47" s="22" t="s">
        <v>36</v>
      </c>
      <c r="S47" s="25" t="s">
        <v>29</v>
      </c>
      <c r="T47" s="24" t="s">
        <v>30</v>
      </c>
      <c r="U47" s="31" t="s">
        <v>31</v>
      </c>
      <c r="V47" s="31" t="n">
        <v>43234</v>
      </c>
      <c r="W47" s="34"/>
      <c r="X47" s="34"/>
    </row>
    <row r="48" s="32" customFormat="true" ht="13.8" hidden="false" customHeight="false" outlineLevel="0" collapsed="false">
      <c r="A48" s="18"/>
      <c r="B48" s="19" t="n">
        <v>146</v>
      </c>
      <c r="C48" s="20" t="n">
        <v>43112</v>
      </c>
      <c r="D48" s="21" t="s">
        <v>22</v>
      </c>
      <c r="E48" s="22" t="s">
        <v>203</v>
      </c>
      <c r="F48" s="23" t="s">
        <v>138</v>
      </c>
      <c r="G48" s="22" t="s">
        <v>200</v>
      </c>
      <c r="H48" s="24" t="s">
        <v>204</v>
      </c>
      <c r="I48" s="24" t="s">
        <v>112</v>
      </c>
      <c r="J48" s="25" t="n">
        <v>48.38</v>
      </c>
      <c r="K48" s="26" t="n">
        <v>478000</v>
      </c>
      <c r="L48" s="27" t="n">
        <f aca="false">K48/J48</f>
        <v>9880.11575031005</v>
      </c>
      <c r="M48" s="28" t="s">
        <v>205</v>
      </c>
      <c r="N48" s="29" t="n">
        <v>25000</v>
      </c>
      <c r="O48" s="30" t="n">
        <f aca="false">K48+N48</f>
        <v>503000</v>
      </c>
      <c r="P48" s="30" t="n">
        <f aca="false">ROUND(O48/J48, 2)</f>
        <v>10396.86</v>
      </c>
      <c r="Q48" s="25" t="s">
        <v>161</v>
      </c>
      <c r="R48" s="22" t="s">
        <v>36</v>
      </c>
      <c r="S48" s="25" t="s">
        <v>29</v>
      </c>
      <c r="T48" s="24" t="s">
        <v>30</v>
      </c>
      <c r="U48" s="31" t="s">
        <v>31</v>
      </c>
      <c r="V48" s="31" t="n">
        <v>43234</v>
      </c>
      <c r="W48" s="34"/>
      <c r="X48" s="34"/>
    </row>
    <row r="49" s="32" customFormat="true" ht="13.8" hidden="false" customHeight="false" outlineLevel="0" collapsed="false">
      <c r="A49" s="18"/>
      <c r="B49" s="19" t="n">
        <v>241</v>
      </c>
      <c r="C49" s="20" t="n">
        <v>43112</v>
      </c>
      <c r="D49" s="21" t="s">
        <v>22</v>
      </c>
      <c r="E49" s="22" t="s">
        <v>206</v>
      </c>
      <c r="F49" s="23" t="s">
        <v>191</v>
      </c>
      <c r="G49" s="22" t="s">
        <v>101</v>
      </c>
      <c r="H49" s="24" t="s">
        <v>207</v>
      </c>
      <c r="I49" s="24" t="s">
        <v>26</v>
      </c>
      <c r="J49" s="25" t="n">
        <v>50.85</v>
      </c>
      <c r="K49" s="26" t="n">
        <v>472500</v>
      </c>
      <c r="L49" s="27" t="n">
        <f aca="false">K49/J49</f>
        <v>9292.03539823009</v>
      </c>
      <c r="M49" s="28" t="s">
        <v>208</v>
      </c>
      <c r="N49" s="29" t="n">
        <v>25000</v>
      </c>
      <c r="O49" s="30" t="n">
        <f aca="false">K49+N49</f>
        <v>497500</v>
      </c>
      <c r="P49" s="30" t="n">
        <f aca="false">ROUND(O49/J49, 2)</f>
        <v>9783.68</v>
      </c>
      <c r="Q49" s="25" t="s">
        <v>50</v>
      </c>
      <c r="R49" s="22" t="s">
        <v>36</v>
      </c>
      <c r="S49" s="25" t="s">
        <v>29</v>
      </c>
      <c r="T49" s="24" t="s">
        <v>30</v>
      </c>
      <c r="U49" s="31" t="s">
        <v>31</v>
      </c>
      <c r="V49" s="31" t="n">
        <v>43234</v>
      </c>
      <c r="W49" s="18"/>
      <c r="X49" s="18"/>
    </row>
    <row r="50" customFormat="false" ht="13.8" hidden="false" customHeight="false" outlineLevel="0" collapsed="false">
      <c r="A50" s="18"/>
      <c r="B50" s="19" t="n">
        <v>63</v>
      </c>
      <c r="C50" s="20" t="n">
        <v>43112</v>
      </c>
      <c r="D50" s="21" t="s">
        <v>22</v>
      </c>
      <c r="E50" s="22" t="s">
        <v>129</v>
      </c>
      <c r="F50" s="23" t="s">
        <v>209</v>
      </c>
      <c r="G50" s="22" t="s">
        <v>26</v>
      </c>
      <c r="H50" s="24" t="s">
        <v>210</v>
      </c>
      <c r="I50" s="24" t="s">
        <v>111</v>
      </c>
      <c r="J50" s="25" t="n">
        <f aca="false">65.9-2.8</f>
        <v>63.1</v>
      </c>
      <c r="K50" s="26" t="n">
        <v>574000</v>
      </c>
      <c r="L50" s="27" t="n">
        <f aca="false">K50/J50</f>
        <v>9096.67194928685</v>
      </c>
      <c r="M50" s="28" t="s">
        <v>211</v>
      </c>
      <c r="N50" s="29" t="n">
        <v>34000</v>
      </c>
      <c r="O50" s="30" t="n">
        <f aca="false">K50+N50</f>
        <v>608000</v>
      </c>
      <c r="P50" s="30" t="n">
        <f aca="false">ROUND(O50/J50, 2)</f>
        <v>9635.5</v>
      </c>
      <c r="Q50" s="25" t="s">
        <v>85</v>
      </c>
      <c r="R50" s="22" t="s">
        <v>26</v>
      </c>
      <c r="S50" s="25" t="s">
        <v>29</v>
      </c>
      <c r="T50" s="24" t="s">
        <v>30</v>
      </c>
      <c r="U50" s="31" t="s">
        <v>31</v>
      </c>
      <c r="V50" s="31" t="n">
        <v>43234</v>
      </c>
      <c r="W50" s="18"/>
      <c r="X50" s="18"/>
    </row>
    <row r="51" customFormat="false" ht="13.8" hidden="false" customHeight="false" outlineLevel="0" collapsed="false">
      <c r="A51" s="18"/>
      <c r="B51" s="19" t="n">
        <v>134</v>
      </c>
      <c r="C51" s="20" t="n">
        <v>43112</v>
      </c>
      <c r="D51" s="21" t="s">
        <v>22</v>
      </c>
      <c r="E51" s="22" t="s">
        <v>212</v>
      </c>
      <c r="F51" s="23" t="s">
        <v>195</v>
      </c>
      <c r="G51" s="22" t="s">
        <v>213</v>
      </c>
      <c r="H51" s="24" t="s">
        <v>214</v>
      </c>
      <c r="I51" s="24" t="s">
        <v>82</v>
      </c>
      <c r="J51" s="25" t="n">
        <v>31.06</v>
      </c>
      <c r="K51" s="26" t="n">
        <v>220000</v>
      </c>
      <c r="L51" s="27" t="n">
        <f aca="false">K51/J51</f>
        <v>7083.06503541533</v>
      </c>
      <c r="M51" s="28"/>
      <c r="N51" s="29"/>
      <c r="O51" s="30" t="n">
        <f aca="false">K51+N51</f>
        <v>220000</v>
      </c>
      <c r="P51" s="30" t="n">
        <f aca="false">ROUND(O51/J51, 2)</f>
        <v>7083.07</v>
      </c>
      <c r="Q51" s="25" t="s">
        <v>41</v>
      </c>
      <c r="R51" s="22" t="s">
        <v>27</v>
      </c>
      <c r="S51" s="25" t="s">
        <v>29</v>
      </c>
      <c r="T51" s="24" t="s">
        <v>30</v>
      </c>
      <c r="U51" s="31" t="s">
        <v>31</v>
      </c>
      <c r="V51" s="31" t="n">
        <v>43234</v>
      </c>
      <c r="W51" s="18"/>
      <c r="X51" s="18"/>
    </row>
    <row r="52" customFormat="false" ht="13.8" hidden="false" customHeight="false" outlineLevel="0" collapsed="false">
      <c r="A52" s="18"/>
      <c r="B52" s="19" t="n">
        <v>85</v>
      </c>
      <c r="C52" s="20" t="n">
        <v>43112</v>
      </c>
      <c r="D52" s="21" t="s">
        <v>22</v>
      </c>
      <c r="E52" s="22" t="s">
        <v>215</v>
      </c>
      <c r="F52" s="23" t="s">
        <v>216</v>
      </c>
      <c r="G52" s="22" t="s">
        <v>36</v>
      </c>
      <c r="H52" s="24" t="s">
        <v>217</v>
      </c>
      <c r="I52" s="24" t="s">
        <v>82</v>
      </c>
      <c r="J52" s="25" t="n">
        <f aca="false">70.92-6.52</f>
        <v>64.4</v>
      </c>
      <c r="K52" s="26" t="n">
        <v>595000</v>
      </c>
      <c r="L52" s="27" t="n">
        <f aca="false">K52/J52</f>
        <v>9239.13043478261</v>
      </c>
      <c r="M52" s="28" t="s">
        <v>218</v>
      </c>
      <c r="N52" s="29" t="n">
        <v>20000</v>
      </c>
      <c r="O52" s="30" t="n">
        <f aca="false">K52+N52</f>
        <v>615000</v>
      </c>
      <c r="P52" s="30" t="n">
        <f aca="false">ROUND(O52/J52, 2)</f>
        <v>9549.69</v>
      </c>
      <c r="Q52" s="25" t="s">
        <v>50</v>
      </c>
      <c r="R52" s="22" t="s">
        <v>36</v>
      </c>
      <c r="S52" s="25" t="s">
        <v>29</v>
      </c>
      <c r="T52" s="24" t="s">
        <v>30</v>
      </c>
      <c r="U52" s="31" t="s">
        <v>31</v>
      </c>
      <c r="V52" s="31" t="n">
        <v>43234</v>
      </c>
      <c r="W52" s="18"/>
      <c r="X52" s="18"/>
    </row>
    <row r="53" customFormat="false" ht="13.8" hidden="false" customHeight="false" outlineLevel="0" collapsed="false">
      <c r="A53" s="18"/>
      <c r="B53" s="19" t="n">
        <v>95</v>
      </c>
      <c r="C53" s="20" t="n">
        <v>43113</v>
      </c>
      <c r="D53" s="21" t="s">
        <v>22</v>
      </c>
      <c r="E53" s="22" t="s">
        <v>178</v>
      </c>
      <c r="F53" s="23" t="s">
        <v>219</v>
      </c>
      <c r="G53" s="22" t="s">
        <v>49</v>
      </c>
      <c r="H53" s="24" t="s">
        <v>82</v>
      </c>
      <c r="I53" s="24" t="s">
        <v>26</v>
      </c>
      <c r="J53" s="25" t="n">
        <v>49.2</v>
      </c>
      <c r="K53" s="26" t="n">
        <v>420000</v>
      </c>
      <c r="L53" s="27" t="n">
        <f aca="false">K53/J53</f>
        <v>8536.58536585366</v>
      </c>
      <c r="M53" s="28" t="s">
        <v>64</v>
      </c>
      <c r="N53" s="29"/>
      <c r="O53" s="30" t="n">
        <f aca="false">K53+N53</f>
        <v>420000</v>
      </c>
      <c r="P53" s="30" t="n">
        <f aca="false">ROUND(O53/J53, 2)</f>
        <v>8536.59</v>
      </c>
      <c r="Q53" s="25" t="s">
        <v>50</v>
      </c>
      <c r="R53" s="22" t="s">
        <v>36</v>
      </c>
      <c r="S53" s="25" t="s">
        <v>29</v>
      </c>
      <c r="T53" s="24" t="s">
        <v>30</v>
      </c>
      <c r="U53" s="31" t="s">
        <v>31</v>
      </c>
      <c r="V53" s="31" t="n">
        <v>43234</v>
      </c>
      <c r="W53" s="18"/>
      <c r="X53" s="18"/>
    </row>
    <row r="54" customFormat="false" ht="13.8" hidden="false" customHeight="false" outlineLevel="0" collapsed="false">
      <c r="A54" s="18"/>
      <c r="B54" s="19" t="n">
        <v>89</v>
      </c>
      <c r="C54" s="20" t="n">
        <v>43115</v>
      </c>
      <c r="D54" s="21" t="s">
        <v>22</v>
      </c>
      <c r="E54" s="22" t="s">
        <v>178</v>
      </c>
      <c r="F54" s="23" t="s">
        <v>220</v>
      </c>
      <c r="G54" s="22" t="s">
        <v>27</v>
      </c>
      <c r="H54" s="24" t="s">
        <v>74</v>
      </c>
      <c r="I54" s="24" t="s">
        <v>27</v>
      </c>
      <c r="J54" s="25" t="n">
        <v>34.55</v>
      </c>
      <c r="K54" s="26" t="n">
        <v>299500</v>
      </c>
      <c r="L54" s="27" t="n">
        <f aca="false">K54/J54</f>
        <v>8668.59623733719</v>
      </c>
      <c r="M54" s="28" t="s">
        <v>64</v>
      </c>
      <c r="N54" s="29"/>
      <c r="O54" s="30" t="n">
        <f aca="false">K54+N54</f>
        <v>299500</v>
      </c>
      <c r="P54" s="30" t="n">
        <f aca="false">ROUND(O54/J54, 2)</f>
        <v>8668.6</v>
      </c>
      <c r="Q54" s="25" t="s">
        <v>41</v>
      </c>
      <c r="R54" s="22" t="s">
        <v>27</v>
      </c>
      <c r="S54" s="25" t="s">
        <v>29</v>
      </c>
      <c r="T54" s="24" t="s">
        <v>30</v>
      </c>
      <c r="U54" s="31" t="s">
        <v>31</v>
      </c>
      <c r="V54" s="31" t="n">
        <v>43234</v>
      </c>
      <c r="W54" s="18"/>
      <c r="X54" s="18"/>
      <c r="Z54" s="33"/>
      <c r="AB54" s="37"/>
    </row>
    <row r="55" customFormat="false" ht="13.8" hidden="false" customHeight="false" outlineLevel="0" collapsed="false">
      <c r="A55" s="18"/>
      <c r="B55" s="19" t="n">
        <v>280</v>
      </c>
      <c r="C55" s="20" t="n">
        <v>43115</v>
      </c>
      <c r="D55" s="21" t="s">
        <v>22</v>
      </c>
      <c r="E55" s="22" t="s">
        <v>171</v>
      </c>
      <c r="F55" s="23" t="s">
        <v>221</v>
      </c>
      <c r="G55" s="22" t="s">
        <v>111</v>
      </c>
      <c r="H55" s="24" t="s">
        <v>222</v>
      </c>
      <c r="I55" s="24" t="s">
        <v>26</v>
      </c>
      <c r="J55" s="25" t="n">
        <v>46.57</v>
      </c>
      <c r="K55" s="26" t="n">
        <v>306000</v>
      </c>
      <c r="L55" s="27" t="n">
        <f aca="false">K55/J55</f>
        <v>6570.75370410135</v>
      </c>
      <c r="M55" s="28" t="s">
        <v>64</v>
      </c>
      <c r="N55" s="29"/>
      <c r="O55" s="30" t="n">
        <f aca="false">K55+N55</f>
        <v>306000</v>
      </c>
      <c r="P55" s="30" t="n">
        <f aca="false">ROUND(O55/J55, 2)</f>
        <v>6570.75</v>
      </c>
      <c r="Q55" s="25" t="s">
        <v>85</v>
      </c>
      <c r="R55" s="22" t="s">
        <v>26</v>
      </c>
      <c r="S55" s="25" t="s">
        <v>29</v>
      </c>
      <c r="T55" s="24" t="s">
        <v>30</v>
      </c>
      <c r="U55" s="31" t="s">
        <v>31</v>
      </c>
      <c r="V55" s="31" t="n">
        <v>43234</v>
      </c>
      <c r="W55" s="18"/>
      <c r="X55" s="18"/>
      <c r="Z55" s="33"/>
    </row>
    <row r="56" customFormat="false" ht="13.8" hidden="false" customHeight="false" outlineLevel="0" collapsed="false">
      <c r="A56" s="18"/>
      <c r="B56" s="19" t="n">
        <v>492</v>
      </c>
      <c r="C56" s="20" t="n">
        <v>43115</v>
      </c>
      <c r="D56" s="21" t="s">
        <v>22</v>
      </c>
      <c r="E56" s="22" t="s">
        <v>80</v>
      </c>
      <c r="F56" s="23" t="s">
        <v>162</v>
      </c>
      <c r="G56" s="22" t="s">
        <v>223</v>
      </c>
      <c r="H56" s="24" t="s">
        <v>115</v>
      </c>
      <c r="I56" s="24" t="s">
        <v>25</v>
      </c>
      <c r="J56" s="25" t="n">
        <v>125.5</v>
      </c>
      <c r="K56" s="26" t="n">
        <v>1820000</v>
      </c>
      <c r="L56" s="27" t="n">
        <f aca="false">K56/J56</f>
        <v>14501.9920318725</v>
      </c>
      <c r="M56" s="28" t="s">
        <v>205</v>
      </c>
      <c r="N56" s="29"/>
      <c r="O56" s="30" t="n">
        <f aca="false">K56+N56</f>
        <v>1820000</v>
      </c>
      <c r="P56" s="30" t="n">
        <f aca="false">ROUND(O56/J56, 2)</f>
        <v>14501.99</v>
      </c>
      <c r="Q56" s="25" t="s">
        <v>224</v>
      </c>
      <c r="R56" s="22" t="s">
        <v>49</v>
      </c>
      <c r="S56" s="25" t="s">
        <v>29</v>
      </c>
      <c r="T56" s="24" t="s">
        <v>30</v>
      </c>
      <c r="U56" s="31" t="s">
        <v>31</v>
      </c>
      <c r="V56" s="31" t="n">
        <v>43234</v>
      </c>
      <c r="W56" s="18"/>
      <c r="X56" s="18"/>
    </row>
    <row r="57" customFormat="false" ht="13.8" hidden="false" customHeight="false" outlineLevel="0" collapsed="false">
      <c r="A57" s="18"/>
      <c r="B57" s="19" t="n">
        <v>296</v>
      </c>
      <c r="C57" s="20" t="n">
        <v>43115</v>
      </c>
      <c r="D57" s="21" t="s">
        <v>22</v>
      </c>
      <c r="E57" s="22" t="s">
        <v>190</v>
      </c>
      <c r="F57" s="23" t="s">
        <v>225</v>
      </c>
      <c r="G57" s="22" t="s">
        <v>49</v>
      </c>
      <c r="H57" s="24" t="s">
        <v>226</v>
      </c>
      <c r="I57" s="24" t="s">
        <v>82</v>
      </c>
      <c r="J57" s="25" t="n">
        <f aca="false">37.31-2.31</f>
        <v>35</v>
      </c>
      <c r="K57" s="26" t="n">
        <v>385000</v>
      </c>
      <c r="L57" s="27" t="n">
        <f aca="false">K57/J57</f>
        <v>11000</v>
      </c>
      <c r="M57" s="28" t="s">
        <v>227</v>
      </c>
      <c r="N57" s="29"/>
      <c r="O57" s="30" t="n">
        <f aca="false">K57+N57</f>
        <v>385000</v>
      </c>
      <c r="P57" s="30" t="n">
        <f aca="false">ROUND(O57/J57, 2)</f>
        <v>11000</v>
      </c>
      <c r="Q57" s="25" t="s">
        <v>50</v>
      </c>
      <c r="R57" s="22" t="s">
        <v>36</v>
      </c>
      <c r="S57" s="25" t="s">
        <v>29</v>
      </c>
      <c r="T57" s="24" t="s">
        <v>30</v>
      </c>
      <c r="U57" s="31" t="s">
        <v>31</v>
      </c>
      <c r="V57" s="31" t="n">
        <v>43234</v>
      </c>
      <c r="W57" s="34" t="s">
        <v>228</v>
      </c>
      <c r="X57" s="18"/>
    </row>
    <row r="58" customFormat="false" ht="13.8" hidden="false" customHeight="false" outlineLevel="0" collapsed="false">
      <c r="A58" s="18"/>
      <c r="B58" s="19" t="n">
        <v>103</v>
      </c>
      <c r="C58" s="20" t="n">
        <v>43115</v>
      </c>
      <c r="D58" s="21" t="s">
        <v>22</v>
      </c>
      <c r="E58" s="22" t="s">
        <v>229</v>
      </c>
      <c r="F58" s="23" t="s">
        <v>230</v>
      </c>
      <c r="G58" s="22" t="s">
        <v>231</v>
      </c>
      <c r="H58" s="24" t="s">
        <v>126</v>
      </c>
      <c r="I58" s="24" t="s">
        <v>26</v>
      </c>
      <c r="J58" s="25" t="n">
        <v>69.5</v>
      </c>
      <c r="K58" s="26" t="n">
        <v>494000</v>
      </c>
      <c r="L58" s="27" t="n">
        <f aca="false">K58/J58</f>
        <v>7107.91366906475</v>
      </c>
      <c r="M58" s="28" t="s">
        <v>205</v>
      </c>
      <c r="N58" s="29" t="n">
        <v>20000</v>
      </c>
      <c r="O58" s="30" t="n">
        <f aca="false">K58+N58</f>
        <v>514000</v>
      </c>
      <c r="P58" s="30" t="n">
        <f aca="false">ROUND(O58/J58, 2)</f>
        <v>7395.68</v>
      </c>
      <c r="Q58" s="25" t="s">
        <v>232</v>
      </c>
      <c r="R58" s="22" t="s">
        <v>26</v>
      </c>
      <c r="S58" s="25" t="s">
        <v>29</v>
      </c>
      <c r="T58" s="24" t="s">
        <v>30</v>
      </c>
      <c r="U58" s="31" t="s">
        <v>31</v>
      </c>
      <c r="V58" s="31" t="n">
        <v>43234</v>
      </c>
      <c r="W58" s="18"/>
      <c r="X58" s="18"/>
    </row>
    <row r="59" customFormat="false" ht="13.8" hidden="false" customHeight="false" outlineLevel="0" collapsed="false">
      <c r="A59" s="18"/>
      <c r="B59" s="19" t="n">
        <v>174</v>
      </c>
      <c r="C59" s="20" t="n">
        <v>43116</v>
      </c>
      <c r="D59" s="21" t="s">
        <v>22</v>
      </c>
      <c r="E59" s="22" t="s">
        <v>129</v>
      </c>
      <c r="F59" s="23" t="s">
        <v>130</v>
      </c>
      <c r="G59" s="22" t="s">
        <v>49</v>
      </c>
      <c r="H59" s="24" t="s">
        <v>233</v>
      </c>
      <c r="I59" s="24" t="s">
        <v>82</v>
      </c>
      <c r="J59" s="25" t="n">
        <v>107.08</v>
      </c>
      <c r="K59" s="26" t="n">
        <v>1100000</v>
      </c>
      <c r="L59" s="27" t="n">
        <f aca="false">K59/J59</f>
        <v>10272.6933134105</v>
      </c>
      <c r="M59" s="28" t="s">
        <v>234</v>
      </c>
      <c r="N59" s="29"/>
      <c r="O59" s="30" t="n">
        <f aca="false">K59+N59</f>
        <v>1100000</v>
      </c>
      <c r="P59" s="30" t="n">
        <f aca="false">ROUND(O59/J59, 2)</f>
        <v>10272.69</v>
      </c>
      <c r="Q59" s="25" t="s">
        <v>91</v>
      </c>
      <c r="R59" s="22" t="s">
        <v>49</v>
      </c>
      <c r="S59" s="25" t="s">
        <v>29</v>
      </c>
      <c r="T59" s="24" t="s">
        <v>30</v>
      </c>
      <c r="U59" s="31" t="s">
        <v>31</v>
      </c>
      <c r="V59" s="31" t="n">
        <v>43234</v>
      </c>
      <c r="W59" s="18"/>
      <c r="X59" s="18"/>
    </row>
    <row r="60" customFormat="false" ht="13.8" hidden="false" customHeight="false" outlineLevel="0" collapsed="false">
      <c r="A60" s="18"/>
      <c r="B60" s="19" t="n">
        <v>117</v>
      </c>
      <c r="C60" s="20" t="n">
        <v>43116</v>
      </c>
      <c r="D60" s="21" t="s">
        <v>22</v>
      </c>
      <c r="E60" s="22" t="s">
        <v>235</v>
      </c>
      <c r="F60" s="23" t="s">
        <v>236</v>
      </c>
      <c r="G60" s="22" t="s">
        <v>82</v>
      </c>
      <c r="H60" s="24" t="s">
        <v>78</v>
      </c>
      <c r="I60" s="24" t="s">
        <v>26</v>
      </c>
      <c r="J60" s="25" t="n">
        <v>20.6</v>
      </c>
      <c r="K60" s="26" t="n">
        <v>210000</v>
      </c>
      <c r="L60" s="27" t="n">
        <f aca="false">K60/J60</f>
        <v>10194.1747572816</v>
      </c>
      <c r="M60" s="28"/>
      <c r="N60" s="29"/>
      <c r="O60" s="30" t="n">
        <f aca="false">K60+N60</f>
        <v>210000</v>
      </c>
      <c r="P60" s="30" t="n">
        <f aca="false">ROUND(O60/J60, 2)</f>
        <v>10194.17</v>
      </c>
      <c r="Q60" s="25" t="s">
        <v>41</v>
      </c>
      <c r="R60" s="22" t="s">
        <v>27</v>
      </c>
      <c r="S60" s="25" t="s">
        <v>29</v>
      </c>
      <c r="T60" s="24" t="s">
        <v>30</v>
      </c>
      <c r="U60" s="31" t="s">
        <v>31</v>
      </c>
      <c r="V60" s="31" t="n">
        <v>43234</v>
      </c>
      <c r="W60" s="18"/>
      <c r="X60" s="18"/>
    </row>
    <row r="61" customFormat="false" ht="13.8" hidden="false" customHeight="false" outlineLevel="0" collapsed="false">
      <c r="A61" s="18"/>
      <c r="B61" s="19" t="n">
        <v>1510</v>
      </c>
      <c r="C61" s="20" t="n">
        <v>43116</v>
      </c>
      <c r="D61" s="21" t="s">
        <v>22</v>
      </c>
      <c r="E61" s="22" t="s">
        <v>37</v>
      </c>
      <c r="F61" s="23" t="s">
        <v>237</v>
      </c>
      <c r="G61" s="22" t="s">
        <v>26</v>
      </c>
      <c r="H61" s="24" t="s">
        <v>238</v>
      </c>
      <c r="I61" s="24" t="s">
        <v>49</v>
      </c>
      <c r="J61" s="25" t="n">
        <f aca="false">132.64-14.39</f>
        <v>118.25</v>
      </c>
      <c r="K61" s="26" t="n">
        <v>907000</v>
      </c>
      <c r="L61" s="27" t="n">
        <f aca="false">K61/J61</f>
        <v>7670.19027484144</v>
      </c>
      <c r="M61" s="28" t="s">
        <v>239</v>
      </c>
      <c r="N61" s="29"/>
      <c r="O61" s="30" t="n">
        <f aca="false">K61+N61</f>
        <v>907000</v>
      </c>
      <c r="P61" s="30" t="n">
        <f aca="false">ROUND(O61/J61, 2)</f>
        <v>7670.19</v>
      </c>
      <c r="Q61" s="25" t="s">
        <v>85</v>
      </c>
      <c r="R61" s="22" t="s">
        <v>26</v>
      </c>
      <c r="S61" s="25" t="s">
        <v>29</v>
      </c>
      <c r="T61" s="24" t="s">
        <v>30</v>
      </c>
      <c r="U61" s="31" t="s">
        <v>31</v>
      </c>
      <c r="V61" s="31" t="n">
        <v>43234</v>
      </c>
      <c r="W61" s="18"/>
      <c r="X61" s="18"/>
    </row>
    <row r="62" customFormat="false" ht="13.8" hidden="false" customHeight="false" outlineLevel="0" collapsed="false">
      <c r="A62" s="18"/>
      <c r="B62" s="19" t="n">
        <v>569</v>
      </c>
      <c r="C62" s="20" t="n">
        <v>43116</v>
      </c>
      <c r="D62" s="21" t="s">
        <v>22</v>
      </c>
      <c r="E62" s="22" t="s">
        <v>103</v>
      </c>
      <c r="F62" s="23" t="s">
        <v>240</v>
      </c>
      <c r="G62" s="22" t="s">
        <v>27</v>
      </c>
      <c r="H62" s="24" t="s">
        <v>241</v>
      </c>
      <c r="I62" s="24" t="s">
        <v>143</v>
      </c>
      <c r="J62" s="25" t="n">
        <f aca="false">146.1-2.5</f>
        <v>143.6</v>
      </c>
      <c r="K62" s="26" t="n">
        <f aca="false">290000*3.419</f>
        <v>991510</v>
      </c>
      <c r="L62" s="27" t="n">
        <f aca="false">K62/J62</f>
        <v>6904.66573816156</v>
      </c>
      <c r="M62" s="28" t="s">
        <v>242</v>
      </c>
      <c r="N62" s="29"/>
      <c r="O62" s="30" t="n">
        <f aca="false">K62+N62</f>
        <v>991510</v>
      </c>
      <c r="P62" s="30" t="n">
        <f aca="false">ROUND(O62/J62, 2)</f>
        <v>6904.67</v>
      </c>
      <c r="Q62" s="25" t="s">
        <v>243</v>
      </c>
      <c r="R62" s="22" t="s">
        <v>49</v>
      </c>
      <c r="S62" s="25" t="s">
        <v>29</v>
      </c>
      <c r="T62" s="24" t="s">
        <v>30</v>
      </c>
      <c r="U62" s="31" t="s">
        <v>31</v>
      </c>
      <c r="V62" s="31" t="n">
        <v>43234</v>
      </c>
      <c r="W62" s="18"/>
      <c r="X62" s="18"/>
    </row>
    <row r="63" customFormat="false" ht="13.8" hidden="false" customHeight="false" outlineLevel="0" collapsed="false">
      <c r="A63" s="18"/>
      <c r="B63" s="19" t="n">
        <v>132</v>
      </c>
      <c r="C63" s="20" t="n">
        <v>43116</v>
      </c>
      <c r="D63" s="21" t="s">
        <v>22</v>
      </c>
      <c r="E63" s="22" t="s">
        <v>72</v>
      </c>
      <c r="F63" s="23" t="s">
        <v>244</v>
      </c>
      <c r="G63" s="22" t="s">
        <v>245</v>
      </c>
      <c r="H63" s="24" t="s">
        <v>68</v>
      </c>
      <c r="I63" s="24" t="s">
        <v>26</v>
      </c>
      <c r="J63" s="25" t="n">
        <v>35.9</v>
      </c>
      <c r="K63" s="26" t="n">
        <v>325000</v>
      </c>
      <c r="L63" s="27" t="n">
        <f aca="false">K63/J63</f>
        <v>9052.92479108635</v>
      </c>
      <c r="M63" s="28" t="s">
        <v>64</v>
      </c>
      <c r="N63" s="29"/>
      <c r="O63" s="30" t="n">
        <f aca="false">K63+N63</f>
        <v>325000</v>
      </c>
      <c r="P63" s="30" t="n">
        <f aca="false">ROUND(O63/J63, 2)</f>
        <v>9052.92</v>
      </c>
      <c r="Q63" s="25" t="s">
        <v>50</v>
      </c>
      <c r="R63" s="22" t="s">
        <v>36</v>
      </c>
      <c r="S63" s="25" t="s">
        <v>29</v>
      </c>
      <c r="T63" s="24" t="s">
        <v>30</v>
      </c>
      <c r="U63" s="31" t="s">
        <v>31</v>
      </c>
      <c r="V63" s="31" t="n">
        <v>43234</v>
      </c>
      <c r="W63" s="18"/>
      <c r="X63" s="18"/>
      <c r="AMJ63" s="32"/>
    </row>
    <row r="64" s="32" customFormat="true" ht="13.8" hidden="false" customHeight="false" outlineLevel="0" collapsed="false">
      <c r="A64" s="18"/>
      <c r="B64" s="19" t="n">
        <v>358</v>
      </c>
      <c r="C64" s="20" t="n">
        <v>43117</v>
      </c>
      <c r="D64" s="21" t="s">
        <v>22</v>
      </c>
      <c r="E64" s="22" t="s">
        <v>144</v>
      </c>
      <c r="F64" s="23" t="s">
        <v>145</v>
      </c>
      <c r="G64" s="22" t="s">
        <v>168</v>
      </c>
      <c r="H64" s="24" t="s">
        <v>246</v>
      </c>
      <c r="I64" s="24" t="s">
        <v>36</v>
      </c>
      <c r="J64" s="25" t="n">
        <v>46.75</v>
      </c>
      <c r="K64" s="26" t="n">
        <v>405000</v>
      </c>
      <c r="L64" s="27" t="n">
        <f aca="false">K64/J64</f>
        <v>8663.10160427808</v>
      </c>
      <c r="M64" s="28"/>
      <c r="N64" s="29"/>
      <c r="O64" s="30" t="n">
        <f aca="false">K64+N64</f>
        <v>405000</v>
      </c>
      <c r="P64" s="30" t="n">
        <f aca="false">ROUND(O64/J64, 2)</f>
        <v>8663.1</v>
      </c>
      <c r="Q64" s="25" t="s">
        <v>50</v>
      </c>
      <c r="R64" s="22" t="s">
        <v>36</v>
      </c>
      <c r="S64" s="25" t="s">
        <v>29</v>
      </c>
      <c r="T64" s="24" t="s">
        <v>30</v>
      </c>
      <c r="U64" s="31" t="s">
        <v>31</v>
      </c>
      <c r="V64" s="31" t="n">
        <v>43234</v>
      </c>
      <c r="W64" s="18"/>
      <c r="X64" s="18"/>
    </row>
    <row r="65" s="32" customFormat="true" ht="13.8" hidden="false" customHeight="false" outlineLevel="0" collapsed="false">
      <c r="A65" s="18"/>
      <c r="B65" s="19" t="n">
        <v>161</v>
      </c>
      <c r="C65" s="20" t="n">
        <v>43117</v>
      </c>
      <c r="D65" s="21" t="s">
        <v>22</v>
      </c>
      <c r="E65" s="22" t="s">
        <v>247</v>
      </c>
      <c r="F65" s="23" t="s">
        <v>248</v>
      </c>
      <c r="G65" s="22" t="s">
        <v>101</v>
      </c>
      <c r="H65" s="24" t="s">
        <v>249</v>
      </c>
      <c r="I65" s="24" t="s">
        <v>25</v>
      </c>
      <c r="J65" s="25" t="n">
        <v>73.33</v>
      </c>
      <c r="K65" s="26" t="n">
        <v>530000</v>
      </c>
      <c r="L65" s="27" t="n">
        <f aca="false">K65/J65</f>
        <v>7227.60125460248</v>
      </c>
      <c r="M65" s="28"/>
      <c r="N65" s="29"/>
      <c r="O65" s="30" t="n">
        <f aca="false">K65+N65</f>
        <v>530000</v>
      </c>
      <c r="P65" s="30" t="n">
        <f aca="false">ROUND(O65/J65, 2)</f>
        <v>7227.6</v>
      </c>
      <c r="Q65" s="25" t="s">
        <v>85</v>
      </c>
      <c r="R65" s="22" t="s">
        <v>26</v>
      </c>
      <c r="S65" s="25" t="s">
        <v>29</v>
      </c>
      <c r="T65" s="24" t="s">
        <v>30</v>
      </c>
      <c r="U65" s="31" t="s">
        <v>31</v>
      </c>
      <c r="V65" s="31" t="n">
        <v>43234</v>
      </c>
      <c r="W65" s="34"/>
      <c r="X65" s="34"/>
    </row>
    <row r="66" s="32" customFormat="true" ht="13.8" hidden="false" customHeight="false" outlineLevel="0" collapsed="false">
      <c r="A66" s="18"/>
      <c r="B66" s="19" t="n">
        <v>30</v>
      </c>
      <c r="C66" s="20" t="n">
        <v>43117</v>
      </c>
      <c r="D66" s="21" t="s">
        <v>22</v>
      </c>
      <c r="E66" s="22" t="s">
        <v>187</v>
      </c>
      <c r="F66" s="23" t="s">
        <v>127</v>
      </c>
      <c r="G66" s="22" t="s">
        <v>250</v>
      </c>
      <c r="H66" s="24" t="s">
        <v>111</v>
      </c>
      <c r="I66" s="24" t="s">
        <v>27</v>
      </c>
      <c r="J66" s="25" t="n">
        <v>60.74</v>
      </c>
      <c r="K66" s="26" t="n">
        <v>648500</v>
      </c>
      <c r="L66" s="27" t="n">
        <f aca="false">K66/J66</f>
        <v>10676.6545933487</v>
      </c>
      <c r="M66" s="28" t="s">
        <v>64</v>
      </c>
      <c r="N66" s="29"/>
      <c r="O66" s="30" t="n">
        <f aca="false">K66+N66</f>
        <v>648500</v>
      </c>
      <c r="P66" s="30" t="n">
        <f aca="false">ROUND(O66/J66, 2)</f>
        <v>10676.65</v>
      </c>
      <c r="Q66" s="25" t="s">
        <v>85</v>
      </c>
      <c r="R66" s="22" t="s">
        <v>26</v>
      </c>
      <c r="S66" s="25" t="s">
        <v>29</v>
      </c>
      <c r="T66" s="24" t="s">
        <v>30</v>
      </c>
      <c r="U66" s="31" t="s">
        <v>31</v>
      </c>
      <c r="V66" s="31" t="n">
        <v>43234</v>
      </c>
      <c r="W66" s="34"/>
      <c r="X66" s="34"/>
    </row>
    <row r="67" s="32" customFormat="true" ht="13.8" hidden="false" customHeight="false" outlineLevel="0" collapsed="false">
      <c r="A67" s="18"/>
      <c r="B67" s="19" t="n">
        <v>127</v>
      </c>
      <c r="C67" s="20" t="n">
        <v>43118</v>
      </c>
      <c r="D67" s="21" t="s">
        <v>22</v>
      </c>
      <c r="E67" s="22" t="s">
        <v>251</v>
      </c>
      <c r="F67" s="23" t="s">
        <v>252</v>
      </c>
      <c r="G67" s="22" t="s">
        <v>111</v>
      </c>
      <c r="H67" s="24" t="s">
        <v>253</v>
      </c>
      <c r="I67" s="24" t="s">
        <v>143</v>
      </c>
      <c r="J67" s="25" t="n">
        <f aca="false">55.1-2.1</f>
        <v>53</v>
      </c>
      <c r="K67" s="26" t="n">
        <v>280000</v>
      </c>
      <c r="L67" s="27" t="n">
        <f aca="false">K67/J67</f>
        <v>5283.01886792453</v>
      </c>
      <c r="M67" s="28" t="s">
        <v>254</v>
      </c>
      <c r="N67" s="29"/>
      <c r="O67" s="30" t="n">
        <f aca="false">K67+N67</f>
        <v>280000</v>
      </c>
      <c r="P67" s="30" t="n">
        <f aca="false">ROUND(O67/J67, 2)</f>
        <v>5283.02</v>
      </c>
      <c r="Q67" s="25" t="s">
        <v>255</v>
      </c>
      <c r="R67" s="22" t="s">
        <v>36</v>
      </c>
      <c r="S67" s="25" t="s">
        <v>29</v>
      </c>
      <c r="T67" s="24" t="s">
        <v>30</v>
      </c>
      <c r="U67" s="31" t="s">
        <v>31</v>
      </c>
      <c r="V67" s="31" t="n">
        <v>43234</v>
      </c>
      <c r="W67" s="34" t="s">
        <v>256</v>
      </c>
      <c r="X67" s="34"/>
    </row>
    <row r="68" s="32" customFormat="true" ht="13.8" hidden="false" customHeight="false" outlineLevel="0" collapsed="false">
      <c r="A68" s="18"/>
      <c r="B68" s="19" t="n">
        <v>597</v>
      </c>
      <c r="C68" s="20" t="n">
        <v>43119</v>
      </c>
      <c r="D68" s="21" t="s">
        <v>22</v>
      </c>
      <c r="E68" s="22" t="s">
        <v>140</v>
      </c>
      <c r="F68" s="23" t="s">
        <v>138</v>
      </c>
      <c r="G68" s="22" t="s">
        <v>141</v>
      </c>
      <c r="H68" s="24" t="s">
        <v>257</v>
      </c>
      <c r="I68" s="24" t="s">
        <v>200</v>
      </c>
      <c r="J68" s="25" t="n">
        <v>82.18</v>
      </c>
      <c r="K68" s="26" t="n">
        <v>800000</v>
      </c>
      <c r="L68" s="27" t="n">
        <f aca="false">K68/J68</f>
        <v>9734.72864443904</v>
      </c>
      <c r="M68" s="28" t="s">
        <v>258</v>
      </c>
      <c r="N68" s="29" t="n">
        <v>40000</v>
      </c>
      <c r="O68" s="30" t="n">
        <f aca="false">K68+N68</f>
        <v>840000</v>
      </c>
      <c r="P68" s="30" t="n">
        <f aca="false">ROUND(O68/J68, 2)</f>
        <v>10221.47</v>
      </c>
      <c r="Q68" s="25" t="s">
        <v>85</v>
      </c>
      <c r="R68" s="22" t="s">
        <v>26</v>
      </c>
      <c r="S68" s="25" t="s">
        <v>29</v>
      </c>
      <c r="T68" s="24" t="s">
        <v>30</v>
      </c>
      <c r="U68" s="31" t="s">
        <v>31</v>
      </c>
      <c r="V68" s="31" t="n">
        <v>43234</v>
      </c>
      <c r="W68" s="18"/>
      <c r="X68" s="34"/>
    </row>
    <row r="69" s="32" customFormat="true" ht="13.8" hidden="false" customHeight="false" outlineLevel="0" collapsed="false">
      <c r="A69" s="18"/>
      <c r="B69" s="19" t="n">
        <v>462</v>
      </c>
      <c r="C69" s="20" t="n">
        <v>43119</v>
      </c>
      <c r="D69" s="21" t="s">
        <v>22</v>
      </c>
      <c r="E69" s="22" t="s">
        <v>171</v>
      </c>
      <c r="F69" s="23" t="s">
        <v>172</v>
      </c>
      <c r="G69" s="22" t="s">
        <v>36</v>
      </c>
      <c r="H69" s="24" t="s">
        <v>259</v>
      </c>
      <c r="I69" s="24" t="s">
        <v>112</v>
      </c>
      <c r="J69" s="25" t="n">
        <f aca="false">59.98-4.2</f>
        <v>55.78</v>
      </c>
      <c r="K69" s="26" t="n">
        <v>475000</v>
      </c>
      <c r="L69" s="27" t="n">
        <f aca="false">K69/J69</f>
        <v>8515.5969881678</v>
      </c>
      <c r="M69" s="28" t="s">
        <v>260</v>
      </c>
      <c r="N69" s="29"/>
      <c r="O69" s="30" t="n">
        <f aca="false">K69+N69</f>
        <v>475000</v>
      </c>
      <c r="P69" s="30" t="n">
        <f aca="false">ROUND(O69/J69, 2)</f>
        <v>8515.6</v>
      </c>
      <c r="Q69" s="25" t="s">
        <v>50</v>
      </c>
      <c r="R69" s="22" t="s">
        <v>36</v>
      </c>
      <c r="S69" s="25" t="s">
        <v>29</v>
      </c>
      <c r="T69" s="24" t="s">
        <v>30</v>
      </c>
      <c r="U69" s="31" t="s">
        <v>31</v>
      </c>
      <c r="V69" s="31" t="n">
        <v>43234</v>
      </c>
      <c r="W69" s="18"/>
      <c r="X69" s="34"/>
    </row>
    <row r="70" s="32" customFormat="true" ht="13.8" hidden="false" customHeight="false" outlineLevel="0" collapsed="false">
      <c r="A70" s="18"/>
      <c r="B70" s="19" t="n">
        <v>135</v>
      </c>
      <c r="C70" s="20" t="n">
        <v>43119</v>
      </c>
      <c r="D70" s="21" t="s">
        <v>22</v>
      </c>
      <c r="E70" s="22" t="s">
        <v>23</v>
      </c>
      <c r="F70" s="23" t="s">
        <v>195</v>
      </c>
      <c r="G70" s="22" t="s">
        <v>177</v>
      </c>
      <c r="H70" s="24" t="s">
        <v>68</v>
      </c>
      <c r="I70" s="24" t="s">
        <v>49</v>
      </c>
      <c r="J70" s="25" t="n">
        <v>28.2</v>
      </c>
      <c r="K70" s="26" t="n">
        <v>245000</v>
      </c>
      <c r="L70" s="27" t="n">
        <f aca="false">K70/J70</f>
        <v>8687.94326241135</v>
      </c>
      <c r="M70" s="28"/>
      <c r="N70" s="29"/>
      <c r="O70" s="30" t="n">
        <f aca="false">K70+N70</f>
        <v>245000</v>
      </c>
      <c r="P70" s="30" t="n">
        <f aca="false">ROUND(O70/J70, 2)</f>
        <v>8687.94</v>
      </c>
      <c r="Q70" s="25" t="s">
        <v>41</v>
      </c>
      <c r="R70" s="22" t="s">
        <v>27</v>
      </c>
      <c r="S70" s="25" t="s">
        <v>29</v>
      </c>
      <c r="T70" s="24" t="s">
        <v>30</v>
      </c>
      <c r="U70" s="31" t="s">
        <v>31</v>
      </c>
      <c r="V70" s="31" t="n">
        <v>43234</v>
      </c>
      <c r="W70" s="18"/>
      <c r="X70" s="34"/>
    </row>
    <row r="71" s="32" customFormat="true" ht="13.8" hidden="false" customHeight="false" outlineLevel="0" collapsed="false">
      <c r="A71" s="18"/>
      <c r="B71" s="19" t="n">
        <v>47</v>
      </c>
      <c r="C71" s="20" t="n">
        <v>43119</v>
      </c>
      <c r="D71" s="21" t="s">
        <v>22</v>
      </c>
      <c r="E71" s="22" t="s">
        <v>23</v>
      </c>
      <c r="F71" s="23" t="s">
        <v>261</v>
      </c>
      <c r="G71" s="22" t="s">
        <v>262</v>
      </c>
      <c r="H71" s="24" t="s">
        <v>74</v>
      </c>
      <c r="I71" s="24" t="s">
        <v>112</v>
      </c>
      <c r="J71" s="25" t="n">
        <v>48.7</v>
      </c>
      <c r="K71" s="26" t="n">
        <v>340000</v>
      </c>
      <c r="L71" s="27" t="n">
        <f aca="false">K71/J71</f>
        <v>6981.51950718686</v>
      </c>
      <c r="M71" s="28"/>
      <c r="N71" s="29"/>
      <c r="O71" s="30" t="n">
        <f aca="false">K71+N71</f>
        <v>340000</v>
      </c>
      <c r="P71" s="30" t="n">
        <f aca="false">ROUND(O71/J71, 2)</f>
        <v>6981.52</v>
      </c>
      <c r="Q71" s="25" t="s">
        <v>133</v>
      </c>
      <c r="R71" s="22" t="s">
        <v>26</v>
      </c>
      <c r="S71" s="25" t="s">
        <v>29</v>
      </c>
      <c r="T71" s="24" t="s">
        <v>30</v>
      </c>
      <c r="U71" s="31" t="s">
        <v>31</v>
      </c>
      <c r="V71" s="31" t="n">
        <v>43234</v>
      </c>
      <c r="W71" s="18"/>
      <c r="X71" s="34"/>
    </row>
    <row r="72" s="32" customFormat="true" ht="13.8" hidden="false" customHeight="false" outlineLevel="0" collapsed="false">
      <c r="A72" s="18"/>
      <c r="B72" s="19" t="n">
        <v>490</v>
      </c>
      <c r="C72" s="20" t="n">
        <v>43119</v>
      </c>
      <c r="D72" s="21" t="s">
        <v>22</v>
      </c>
      <c r="E72" s="22" t="s">
        <v>42</v>
      </c>
      <c r="F72" s="23" t="s">
        <v>263</v>
      </c>
      <c r="G72" s="22" t="s">
        <v>111</v>
      </c>
      <c r="H72" s="24" t="s">
        <v>259</v>
      </c>
      <c r="I72" s="24" t="s">
        <v>26</v>
      </c>
      <c r="J72" s="25" t="n">
        <f aca="false">55.1-2.6</f>
        <v>52.5</v>
      </c>
      <c r="K72" s="26" t="n">
        <v>424000</v>
      </c>
      <c r="L72" s="27" t="n">
        <f aca="false">K72/J72</f>
        <v>8076.19047619048</v>
      </c>
      <c r="M72" s="28" t="s">
        <v>264</v>
      </c>
      <c r="N72" s="29"/>
      <c r="O72" s="30" t="n">
        <f aca="false">K72+N72</f>
        <v>424000</v>
      </c>
      <c r="P72" s="30" t="n">
        <f aca="false">ROUND(O72/J72, 2)</f>
        <v>8076.19</v>
      </c>
      <c r="Q72" s="25" t="s">
        <v>85</v>
      </c>
      <c r="R72" s="22" t="s">
        <v>26</v>
      </c>
      <c r="S72" s="25" t="s">
        <v>29</v>
      </c>
      <c r="T72" s="24" t="s">
        <v>30</v>
      </c>
      <c r="U72" s="31" t="s">
        <v>31</v>
      </c>
      <c r="V72" s="31" t="n">
        <v>43234</v>
      </c>
      <c r="W72" s="18"/>
      <c r="X72" s="34"/>
    </row>
    <row r="73" s="32" customFormat="true" ht="13.8" hidden="false" customHeight="false" outlineLevel="0" collapsed="false">
      <c r="A73" s="18"/>
      <c r="B73" s="19" t="n">
        <v>352</v>
      </c>
      <c r="C73" s="20" t="n">
        <v>43119</v>
      </c>
      <c r="D73" s="21" t="s">
        <v>22</v>
      </c>
      <c r="E73" s="22" t="s">
        <v>265</v>
      </c>
      <c r="F73" s="23" t="s">
        <v>152</v>
      </c>
      <c r="G73" s="22" t="s">
        <v>266</v>
      </c>
      <c r="H73" s="24" t="s">
        <v>57</v>
      </c>
      <c r="I73" s="24" t="s">
        <v>27</v>
      </c>
      <c r="J73" s="25" t="n">
        <v>21.96</v>
      </c>
      <c r="K73" s="26" t="n">
        <v>150000</v>
      </c>
      <c r="L73" s="27" t="n">
        <f aca="false">K73/J73</f>
        <v>6830.60109289618</v>
      </c>
      <c r="M73" s="28" t="s">
        <v>64</v>
      </c>
      <c r="N73" s="29"/>
      <c r="O73" s="30" t="n">
        <f aca="false">K73+N73</f>
        <v>150000</v>
      </c>
      <c r="P73" s="30" t="n">
        <f aca="false">ROUND(O73/J73, 2)</f>
        <v>6830.6</v>
      </c>
      <c r="Q73" s="25" t="s">
        <v>267</v>
      </c>
      <c r="R73" s="22" t="s">
        <v>27</v>
      </c>
      <c r="S73" s="25" t="s">
        <v>29</v>
      </c>
      <c r="T73" s="24" t="s">
        <v>30</v>
      </c>
      <c r="U73" s="31" t="s">
        <v>31</v>
      </c>
      <c r="V73" s="31" t="n">
        <v>43234</v>
      </c>
      <c r="W73" s="18"/>
      <c r="X73" s="34"/>
    </row>
    <row r="74" s="32" customFormat="true" ht="13.8" hidden="false" customHeight="false" outlineLevel="0" collapsed="false">
      <c r="A74" s="18"/>
      <c r="B74" s="19" t="n">
        <v>942</v>
      </c>
      <c r="C74" s="20" t="n">
        <v>43119</v>
      </c>
      <c r="D74" s="21" t="s">
        <v>22</v>
      </c>
      <c r="E74" s="22" t="s">
        <v>268</v>
      </c>
      <c r="F74" s="23" t="s">
        <v>87</v>
      </c>
      <c r="G74" s="22" t="s">
        <v>174</v>
      </c>
      <c r="H74" s="24" t="s">
        <v>269</v>
      </c>
      <c r="I74" s="24" t="s">
        <v>36</v>
      </c>
      <c r="J74" s="25" t="n">
        <f aca="false">48.96-3.16</f>
        <v>45.8</v>
      </c>
      <c r="K74" s="26" t="n">
        <v>321000</v>
      </c>
      <c r="L74" s="27" t="n">
        <f aca="false">K74/J74</f>
        <v>7008.73362445415</v>
      </c>
      <c r="M74" s="28" t="s">
        <v>270</v>
      </c>
      <c r="N74" s="29"/>
      <c r="O74" s="30" t="n">
        <f aca="false">K74+N74</f>
        <v>321000</v>
      </c>
      <c r="P74" s="30" t="n">
        <f aca="false">ROUND(O74/J74, 2)</f>
        <v>7008.73</v>
      </c>
      <c r="Q74" s="25" t="s">
        <v>133</v>
      </c>
      <c r="R74" s="22" t="s">
        <v>26</v>
      </c>
      <c r="S74" s="25" t="s">
        <v>29</v>
      </c>
      <c r="T74" s="24" t="s">
        <v>30</v>
      </c>
      <c r="U74" s="31" t="s">
        <v>31</v>
      </c>
      <c r="V74" s="31" t="n">
        <v>43234</v>
      </c>
      <c r="W74" s="34"/>
      <c r="X74" s="34"/>
    </row>
    <row r="75" s="32" customFormat="true" ht="13.8" hidden="false" customHeight="false" outlineLevel="0" collapsed="false">
      <c r="A75" s="18"/>
      <c r="B75" s="19" t="n">
        <v>837</v>
      </c>
      <c r="C75" s="20" t="n">
        <v>43119</v>
      </c>
      <c r="D75" s="21" t="s">
        <v>22</v>
      </c>
      <c r="E75" s="22" t="s">
        <v>109</v>
      </c>
      <c r="F75" s="23" t="s">
        <v>271</v>
      </c>
      <c r="G75" s="22" t="s">
        <v>210</v>
      </c>
      <c r="H75" s="24" t="s">
        <v>126</v>
      </c>
      <c r="I75" s="24" t="s">
        <v>57</v>
      </c>
      <c r="J75" s="25" t="n">
        <v>33.26</v>
      </c>
      <c r="K75" s="26" t="n">
        <v>330000</v>
      </c>
      <c r="L75" s="27" t="n">
        <f aca="false">K75/J75</f>
        <v>9921.82802164763</v>
      </c>
      <c r="M75" s="28" t="s">
        <v>64</v>
      </c>
      <c r="N75" s="29"/>
      <c r="O75" s="30" t="n">
        <f aca="false">K75+N75</f>
        <v>330000</v>
      </c>
      <c r="P75" s="30" t="n">
        <f aca="false">ROUND(O75/J75, 2)</f>
        <v>9921.83</v>
      </c>
      <c r="Q75" s="25" t="s">
        <v>41</v>
      </c>
      <c r="R75" s="22" t="s">
        <v>27</v>
      </c>
      <c r="S75" s="25" t="s">
        <v>29</v>
      </c>
      <c r="T75" s="24" t="s">
        <v>30</v>
      </c>
      <c r="U75" s="31" t="s">
        <v>31</v>
      </c>
      <c r="V75" s="31" t="n">
        <v>43234</v>
      </c>
      <c r="W75" s="34"/>
      <c r="X75" s="34"/>
    </row>
    <row r="76" s="32" customFormat="true" ht="13.8" hidden="false" customHeight="false" outlineLevel="0" collapsed="false">
      <c r="A76" s="18"/>
      <c r="B76" s="19" t="n">
        <v>192</v>
      </c>
      <c r="C76" s="20" t="n">
        <v>43119</v>
      </c>
      <c r="D76" s="21" t="s">
        <v>22</v>
      </c>
      <c r="E76" s="22" t="s">
        <v>42</v>
      </c>
      <c r="F76" s="23" t="s">
        <v>272</v>
      </c>
      <c r="G76" s="22" t="s">
        <v>226</v>
      </c>
      <c r="H76" s="24" t="s">
        <v>26</v>
      </c>
      <c r="I76" s="24" t="s">
        <v>27</v>
      </c>
      <c r="J76" s="25" t="n">
        <v>38.1</v>
      </c>
      <c r="K76" s="26" t="n">
        <v>320000</v>
      </c>
      <c r="L76" s="27" t="n">
        <f aca="false">K76/J76</f>
        <v>8398.9501312336</v>
      </c>
      <c r="M76" s="28"/>
      <c r="N76" s="29"/>
      <c r="O76" s="30" t="n">
        <f aca="false">K76+N76</f>
        <v>320000</v>
      </c>
      <c r="P76" s="30" t="n">
        <f aca="false">ROUND(O76/J76, 2)</f>
        <v>8398.95</v>
      </c>
      <c r="Q76" s="25" t="s">
        <v>50</v>
      </c>
      <c r="R76" s="22" t="s">
        <v>36</v>
      </c>
      <c r="S76" s="25" t="s">
        <v>29</v>
      </c>
      <c r="T76" s="24" t="s">
        <v>30</v>
      </c>
      <c r="U76" s="31" t="s">
        <v>31</v>
      </c>
      <c r="V76" s="31" t="n">
        <v>43234</v>
      </c>
      <c r="W76" s="34"/>
      <c r="X76" s="34"/>
    </row>
    <row r="77" s="32" customFormat="true" ht="13.8" hidden="false" customHeight="false" outlineLevel="0" collapsed="false">
      <c r="A77" s="18"/>
      <c r="B77" s="19" t="n">
        <v>2903</v>
      </c>
      <c r="C77" s="20" t="n">
        <v>43122</v>
      </c>
      <c r="D77" s="21" t="s">
        <v>22</v>
      </c>
      <c r="E77" s="22" t="s">
        <v>140</v>
      </c>
      <c r="F77" s="23" t="s">
        <v>273</v>
      </c>
      <c r="G77" s="22" t="s">
        <v>274</v>
      </c>
      <c r="H77" s="24" t="s">
        <v>275</v>
      </c>
      <c r="I77" s="24" t="s">
        <v>111</v>
      </c>
      <c r="J77" s="25" t="n">
        <v>46.05</v>
      </c>
      <c r="K77" s="26" t="n">
        <v>442000</v>
      </c>
      <c r="L77" s="27" t="n">
        <f aca="false">K77/J77</f>
        <v>9598.26275787188</v>
      </c>
      <c r="M77" s="28"/>
      <c r="N77" s="29"/>
      <c r="O77" s="30" t="n">
        <f aca="false">K77+N77</f>
        <v>442000</v>
      </c>
      <c r="P77" s="30" t="n">
        <f aca="false">ROUND(O77/J77, 2)</f>
        <v>9598.26</v>
      </c>
      <c r="Q77" s="25" t="s">
        <v>50</v>
      </c>
      <c r="R77" s="22" t="s">
        <v>36</v>
      </c>
      <c r="S77" s="25" t="s">
        <v>29</v>
      </c>
      <c r="T77" s="24" t="s">
        <v>30</v>
      </c>
      <c r="U77" s="31" t="s">
        <v>31</v>
      </c>
      <c r="V77" s="31" t="n">
        <v>43234</v>
      </c>
      <c r="W77" s="34"/>
      <c r="X77" s="34"/>
    </row>
    <row r="78" s="32" customFormat="true" ht="13.8" hidden="false" customHeight="false" outlineLevel="0" collapsed="false">
      <c r="A78" s="18"/>
      <c r="B78" s="19" t="n">
        <v>1284</v>
      </c>
      <c r="C78" s="20" t="n">
        <v>43122</v>
      </c>
      <c r="D78" s="21" t="s">
        <v>22</v>
      </c>
      <c r="E78" s="22" t="s">
        <v>276</v>
      </c>
      <c r="F78" s="23" t="s">
        <v>38</v>
      </c>
      <c r="G78" s="22" t="s">
        <v>139</v>
      </c>
      <c r="H78" s="24" t="s">
        <v>82</v>
      </c>
      <c r="I78" s="24" t="s">
        <v>49</v>
      </c>
      <c r="J78" s="25" t="n">
        <f aca="false">94.18-3.43-7.35</f>
        <v>83.4</v>
      </c>
      <c r="K78" s="26" t="n">
        <v>545000</v>
      </c>
      <c r="L78" s="27" t="n">
        <f aca="false">K78/J78</f>
        <v>6534.7721822542</v>
      </c>
      <c r="M78" s="28" t="s">
        <v>277</v>
      </c>
      <c r="N78" s="29"/>
      <c r="O78" s="30" t="n">
        <f aca="false">K78+N78</f>
        <v>545000</v>
      </c>
      <c r="P78" s="30" t="n">
        <f aca="false">ROUND(O78/J78, 2)</f>
        <v>6534.77</v>
      </c>
      <c r="Q78" s="25" t="s">
        <v>91</v>
      </c>
      <c r="R78" s="22" t="s">
        <v>49</v>
      </c>
      <c r="S78" s="25" t="s">
        <v>29</v>
      </c>
      <c r="T78" s="24" t="s">
        <v>30</v>
      </c>
      <c r="U78" s="31" t="s">
        <v>31</v>
      </c>
      <c r="V78" s="31" t="n">
        <v>43234</v>
      </c>
      <c r="W78" s="34"/>
      <c r="X78" s="34"/>
    </row>
    <row r="79" s="32" customFormat="true" ht="13.8" hidden="false" customHeight="false" outlineLevel="0" collapsed="false">
      <c r="A79" s="18"/>
      <c r="B79" s="19" t="n">
        <v>336</v>
      </c>
      <c r="C79" s="20" t="n">
        <v>43122</v>
      </c>
      <c r="D79" s="21" t="s">
        <v>22</v>
      </c>
      <c r="E79" s="22" t="s">
        <v>278</v>
      </c>
      <c r="F79" s="23" t="s">
        <v>279</v>
      </c>
      <c r="G79" s="22" t="s">
        <v>115</v>
      </c>
      <c r="H79" s="24" t="s">
        <v>280</v>
      </c>
      <c r="I79" s="24" t="s">
        <v>36</v>
      </c>
      <c r="J79" s="25" t="n">
        <v>46.78</v>
      </c>
      <c r="K79" s="26" t="n">
        <v>240000</v>
      </c>
      <c r="L79" s="27" t="n">
        <f aca="false">K79/J79</f>
        <v>5130.39760581445</v>
      </c>
      <c r="M79" s="28" t="s">
        <v>64</v>
      </c>
      <c r="N79" s="29"/>
      <c r="O79" s="30" t="n">
        <f aca="false">K79+N79</f>
        <v>240000</v>
      </c>
      <c r="P79" s="30" t="n">
        <f aca="false">ROUND(O79/J79, 2)</f>
        <v>5130.4</v>
      </c>
      <c r="Q79" s="25"/>
      <c r="R79" s="22"/>
      <c r="S79" s="25" t="s">
        <v>29</v>
      </c>
      <c r="T79" s="24" t="s">
        <v>30</v>
      </c>
      <c r="U79" s="31" t="s">
        <v>31</v>
      </c>
      <c r="V79" s="31" t="n">
        <v>43234</v>
      </c>
      <c r="W79" s="34"/>
      <c r="X79" s="34"/>
    </row>
    <row r="80" s="32" customFormat="true" ht="13.8" hidden="false" customHeight="false" outlineLevel="0" collapsed="false">
      <c r="A80" s="18"/>
      <c r="B80" s="19" t="n">
        <v>166</v>
      </c>
      <c r="C80" s="20" t="n">
        <v>43123</v>
      </c>
      <c r="D80" s="21" t="s">
        <v>22</v>
      </c>
      <c r="E80" s="22" t="s">
        <v>281</v>
      </c>
      <c r="F80" s="23" t="s">
        <v>282</v>
      </c>
      <c r="G80" s="22" t="s">
        <v>283</v>
      </c>
      <c r="H80" s="24" t="s">
        <v>36</v>
      </c>
      <c r="I80" s="24" t="s">
        <v>27</v>
      </c>
      <c r="J80" s="25" t="n">
        <v>36</v>
      </c>
      <c r="K80" s="26" t="n">
        <v>210000</v>
      </c>
      <c r="L80" s="27" t="n">
        <f aca="false">K80/J80</f>
        <v>5833.33333333333</v>
      </c>
      <c r="M80" s="28"/>
      <c r="N80" s="29"/>
      <c r="O80" s="30" t="n">
        <f aca="false">K80+N80</f>
        <v>210000</v>
      </c>
      <c r="P80" s="30" t="n">
        <f aca="false">ROUND(O80/J80, 2)</f>
        <v>5833.33</v>
      </c>
      <c r="Q80" s="25" t="s">
        <v>41</v>
      </c>
      <c r="R80" s="22" t="s">
        <v>27</v>
      </c>
      <c r="S80" s="25" t="s">
        <v>29</v>
      </c>
      <c r="T80" s="24" t="s">
        <v>30</v>
      </c>
      <c r="U80" s="31" t="s">
        <v>31</v>
      </c>
      <c r="V80" s="31" t="n">
        <v>43234</v>
      </c>
      <c r="W80" s="34"/>
      <c r="X80" s="34"/>
    </row>
    <row r="81" s="32" customFormat="true" ht="13.8" hidden="false" customHeight="false" outlineLevel="0" collapsed="false">
      <c r="A81" s="18"/>
      <c r="B81" s="19" t="n">
        <v>172</v>
      </c>
      <c r="C81" s="20" t="n">
        <v>43123</v>
      </c>
      <c r="D81" s="21" t="s">
        <v>22</v>
      </c>
      <c r="E81" s="22" t="s">
        <v>284</v>
      </c>
      <c r="F81" s="23" t="s">
        <v>285</v>
      </c>
      <c r="G81" s="22" t="s">
        <v>286</v>
      </c>
      <c r="H81" s="24" t="s">
        <v>200</v>
      </c>
      <c r="I81" s="24" t="s">
        <v>26</v>
      </c>
      <c r="J81" s="25" t="n">
        <v>50.17</v>
      </c>
      <c r="K81" s="26" t="n">
        <v>450000</v>
      </c>
      <c r="L81" s="27" t="n">
        <f aca="false">K81/J81</f>
        <v>8969.50368746263</v>
      </c>
      <c r="M81" s="28"/>
      <c r="N81" s="29"/>
      <c r="O81" s="30" t="n">
        <f aca="false">K81+N81</f>
        <v>450000</v>
      </c>
      <c r="P81" s="30" t="n">
        <f aca="false">ROUND(O81/J81, 2)</f>
        <v>8969.5</v>
      </c>
      <c r="Q81" s="25" t="s">
        <v>50</v>
      </c>
      <c r="R81" s="22" t="s">
        <v>36</v>
      </c>
      <c r="S81" s="25" t="s">
        <v>29</v>
      </c>
      <c r="T81" s="24" t="s">
        <v>30</v>
      </c>
      <c r="U81" s="31" t="s">
        <v>31</v>
      </c>
      <c r="V81" s="31" t="n">
        <v>43234</v>
      </c>
      <c r="W81" s="34"/>
      <c r="X81" s="34"/>
    </row>
    <row r="82" s="32" customFormat="true" ht="13.8" hidden="false" customHeight="false" outlineLevel="0" collapsed="false">
      <c r="A82" s="18"/>
      <c r="B82" s="19" t="n">
        <v>89</v>
      </c>
      <c r="C82" s="20" t="n">
        <v>43123</v>
      </c>
      <c r="D82" s="21" t="s">
        <v>22</v>
      </c>
      <c r="E82" s="22" t="s">
        <v>287</v>
      </c>
      <c r="F82" s="23" t="s">
        <v>288</v>
      </c>
      <c r="G82" s="22" t="s">
        <v>47</v>
      </c>
      <c r="H82" s="24" t="s">
        <v>101</v>
      </c>
      <c r="I82" s="24" t="s">
        <v>26</v>
      </c>
      <c r="J82" s="25" t="n">
        <v>54.81</v>
      </c>
      <c r="K82" s="26" t="n">
        <v>409000</v>
      </c>
      <c r="L82" s="27" t="n">
        <f aca="false">K82/J82</f>
        <v>7462.14194490057</v>
      </c>
      <c r="M82" s="28"/>
      <c r="N82" s="29"/>
      <c r="O82" s="30" t="n">
        <f aca="false">K82+N82</f>
        <v>409000</v>
      </c>
      <c r="P82" s="30" t="n">
        <f aca="false">ROUND(O82/J82, 2)</f>
        <v>7462.14</v>
      </c>
      <c r="Q82" s="25" t="s">
        <v>50</v>
      </c>
      <c r="R82" s="22" t="s">
        <v>36</v>
      </c>
      <c r="S82" s="25" t="s">
        <v>29</v>
      </c>
      <c r="T82" s="24" t="s">
        <v>30</v>
      </c>
      <c r="U82" s="31" t="s">
        <v>31</v>
      </c>
      <c r="V82" s="31" t="n">
        <v>43234</v>
      </c>
      <c r="W82" s="34"/>
      <c r="X82" s="34"/>
    </row>
    <row r="83" s="32" customFormat="true" ht="13.8" hidden="false" customHeight="false" outlineLevel="0" collapsed="false">
      <c r="A83" s="18"/>
      <c r="B83" s="19" t="n">
        <v>232</v>
      </c>
      <c r="C83" s="20" t="n">
        <v>43123</v>
      </c>
      <c r="D83" s="21" t="s">
        <v>22</v>
      </c>
      <c r="E83" s="22" t="s">
        <v>289</v>
      </c>
      <c r="F83" s="23" t="s">
        <v>290</v>
      </c>
      <c r="G83" s="22" t="s">
        <v>291</v>
      </c>
      <c r="H83" s="24" t="s">
        <v>259</v>
      </c>
      <c r="I83" s="24" t="s">
        <v>26</v>
      </c>
      <c r="J83" s="25" t="n">
        <f aca="false">33.08-3.91</f>
        <v>29.17</v>
      </c>
      <c r="K83" s="26" t="n">
        <v>270000</v>
      </c>
      <c r="L83" s="27" t="n">
        <f aca="false">K83/J83</f>
        <v>9256.08501885499</v>
      </c>
      <c r="M83" s="28" t="s">
        <v>292</v>
      </c>
      <c r="N83" s="29"/>
      <c r="O83" s="30" t="n">
        <f aca="false">K83+N83</f>
        <v>270000</v>
      </c>
      <c r="P83" s="30" t="n">
        <f aca="false">ROUND(O83/J83, 2)</f>
        <v>9256.09</v>
      </c>
      <c r="Q83" s="25" t="s">
        <v>293</v>
      </c>
      <c r="R83" s="22" t="s">
        <v>27</v>
      </c>
      <c r="S83" s="25" t="s">
        <v>29</v>
      </c>
      <c r="T83" s="24" t="s">
        <v>30</v>
      </c>
      <c r="U83" s="31" t="s">
        <v>31</v>
      </c>
      <c r="V83" s="31" t="n">
        <v>43234</v>
      </c>
      <c r="W83" s="34"/>
      <c r="X83" s="34"/>
    </row>
    <row r="84" customFormat="false" ht="13.8" hidden="false" customHeight="false" outlineLevel="0" collapsed="false">
      <c r="A84" s="18"/>
      <c r="B84" s="19" t="n">
        <v>2632</v>
      </c>
      <c r="C84" s="20" t="n">
        <v>43123</v>
      </c>
      <c r="D84" s="21" t="s">
        <v>22</v>
      </c>
      <c r="E84" s="22" t="s">
        <v>125</v>
      </c>
      <c r="F84" s="23" t="s">
        <v>73</v>
      </c>
      <c r="G84" s="22" t="s">
        <v>141</v>
      </c>
      <c r="H84" s="24" t="s">
        <v>294</v>
      </c>
      <c r="I84" s="24" t="s">
        <v>26</v>
      </c>
      <c r="J84" s="25" t="n">
        <v>40.5</v>
      </c>
      <c r="K84" s="26" t="n">
        <v>425000</v>
      </c>
      <c r="L84" s="27" t="n">
        <f aca="false">K84/J84</f>
        <v>10493.8271604938</v>
      </c>
      <c r="M84" s="28" t="s">
        <v>64</v>
      </c>
      <c r="N84" s="29"/>
      <c r="O84" s="30" t="n">
        <f aca="false">K84+N84</f>
        <v>425000</v>
      </c>
      <c r="P84" s="30" t="n">
        <f aca="false">ROUND(O84/J84, 2)</f>
        <v>10493.83</v>
      </c>
      <c r="Q84" s="25" t="s">
        <v>50</v>
      </c>
      <c r="R84" s="22" t="s">
        <v>36</v>
      </c>
      <c r="S84" s="25" t="s">
        <v>29</v>
      </c>
      <c r="T84" s="24" t="s">
        <v>30</v>
      </c>
      <c r="U84" s="31" t="s">
        <v>31</v>
      </c>
      <c r="V84" s="31" t="n">
        <v>43234</v>
      </c>
      <c r="W84" s="34"/>
      <c r="X84" s="34"/>
    </row>
    <row r="85" customFormat="false" ht="13.8" hidden="false" customHeight="false" outlineLevel="0" collapsed="false">
      <c r="A85" s="18"/>
      <c r="B85" s="19" t="n">
        <v>2068</v>
      </c>
      <c r="C85" s="20" t="n">
        <v>43124</v>
      </c>
      <c r="D85" s="38" t="s">
        <v>22</v>
      </c>
      <c r="E85" s="22" t="s">
        <v>72</v>
      </c>
      <c r="F85" s="34" t="s">
        <v>94</v>
      </c>
      <c r="G85" s="19" t="s">
        <v>295</v>
      </c>
      <c r="H85" s="19" t="n">
        <v>46</v>
      </c>
      <c r="I85" s="19" t="n">
        <v>3</v>
      </c>
      <c r="J85" s="19" t="n">
        <f aca="false">55.68-2.68</f>
        <v>53</v>
      </c>
      <c r="K85" s="39" t="n">
        <v>450000</v>
      </c>
      <c r="L85" s="39" t="n">
        <f aca="false">K85/J85</f>
        <v>8490.56603773585</v>
      </c>
      <c r="M85" s="34" t="s">
        <v>296</v>
      </c>
      <c r="N85" s="40"/>
      <c r="O85" s="30" t="n">
        <f aca="false">K85+N85</f>
        <v>450000</v>
      </c>
      <c r="P85" s="30" t="n">
        <f aca="false">ROUND(O85/J85, 2)</f>
        <v>8490.57</v>
      </c>
      <c r="Q85" s="19" t="s">
        <v>297</v>
      </c>
      <c r="R85" s="22" t="s">
        <v>36</v>
      </c>
      <c r="S85" s="19" t="s">
        <v>29</v>
      </c>
      <c r="T85" s="19" t="s">
        <v>30</v>
      </c>
      <c r="U85" s="19" t="s">
        <v>31</v>
      </c>
      <c r="V85" s="41" t="n">
        <v>43697</v>
      </c>
      <c r="W85" s="34" t="s">
        <v>298</v>
      </c>
      <c r="X85" s="18"/>
    </row>
    <row r="86" customFormat="false" ht="13.8" hidden="false" customHeight="false" outlineLevel="0" collapsed="false">
      <c r="A86" s="18"/>
      <c r="B86" s="19" t="n">
        <v>606</v>
      </c>
      <c r="C86" s="20" t="n">
        <v>43124</v>
      </c>
      <c r="D86" s="21" t="s">
        <v>22</v>
      </c>
      <c r="E86" s="22" t="s">
        <v>299</v>
      </c>
      <c r="F86" s="23" t="s">
        <v>285</v>
      </c>
      <c r="G86" s="22" t="s">
        <v>57</v>
      </c>
      <c r="H86" s="24" t="s">
        <v>300</v>
      </c>
      <c r="I86" s="24" t="s">
        <v>27</v>
      </c>
      <c r="J86" s="25" t="n">
        <v>27.31</v>
      </c>
      <c r="K86" s="26" t="n">
        <v>273000</v>
      </c>
      <c r="L86" s="27" t="n">
        <f aca="false">K86/J86</f>
        <v>9996.33833760527</v>
      </c>
      <c r="M86" s="28"/>
      <c r="N86" s="29"/>
      <c r="O86" s="30" t="n">
        <f aca="false">K86+N86</f>
        <v>273000</v>
      </c>
      <c r="P86" s="30" t="n">
        <f aca="false">ROUND(O86/J86, 2)</f>
        <v>9996.34</v>
      </c>
      <c r="Q86" s="25" t="s">
        <v>41</v>
      </c>
      <c r="R86" s="22" t="s">
        <v>27</v>
      </c>
      <c r="S86" s="25" t="s">
        <v>29</v>
      </c>
      <c r="T86" s="24" t="s">
        <v>30</v>
      </c>
      <c r="U86" s="31" t="s">
        <v>31</v>
      </c>
      <c r="V86" s="31" t="n">
        <v>43234</v>
      </c>
      <c r="W86" s="18"/>
      <c r="X86" s="18"/>
    </row>
    <row r="87" customFormat="false" ht="13.8" hidden="false" customHeight="false" outlineLevel="0" collapsed="false">
      <c r="A87" s="18"/>
      <c r="B87" s="19" t="n">
        <v>107</v>
      </c>
      <c r="C87" s="20" t="n">
        <v>43124</v>
      </c>
      <c r="D87" s="21" t="s">
        <v>22</v>
      </c>
      <c r="E87" s="22" t="s">
        <v>23</v>
      </c>
      <c r="F87" s="42" t="s">
        <v>301</v>
      </c>
      <c r="G87" s="22" t="s">
        <v>49</v>
      </c>
      <c r="H87" s="24" t="s">
        <v>128</v>
      </c>
      <c r="I87" s="24" t="s">
        <v>36</v>
      </c>
      <c r="J87" s="25" t="n">
        <v>36.8</v>
      </c>
      <c r="K87" s="26" t="n">
        <v>340000</v>
      </c>
      <c r="L87" s="27" t="n">
        <f aca="false">K87/J87</f>
        <v>9239.13043478261</v>
      </c>
      <c r="M87" s="28" t="s">
        <v>64</v>
      </c>
      <c r="N87" s="29"/>
      <c r="O87" s="30" t="n">
        <f aca="false">K87+N87</f>
        <v>340000</v>
      </c>
      <c r="P87" s="30" t="n">
        <f aca="false">ROUND(O87/J87, 2)</f>
        <v>9239.13</v>
      </c>
      <c r="Q87" s="25" t="s">
        <v>41</v>
      </c>
      <c r="R87" s="22" t="s">
        <v>27</v>
      </c>
      <c r="S87" s="25" t="s">
        <v>29</v>
      </c>
      <c r="T87" s="24" t="s">
        <v>30</v>
      </c>
      <c r="U87" s="31" t="s">
        <v>31</v>
      </c>
      <c r="V87" s="31" t="n">
        <v>43234</v>
      </c>
      <c r="W87" s="18"/>
      <c r="X87" s="18"/>
      <c r="AMJ87" s="32"/>
    </row>
    <row r="88" s="32" customFormat="true" ht="13.8" hidden="false" customHeight="false" outlineLevel="0" collapsed="false">
      <c r="A88" s="18"/>
      <c r="B88" s="19" t="n">
        <v>802</v>
      </c>
      <c r="C88" s="20" t="n">
        <v>43124</v>
      </c>
      <c r="D88" s="21" t="s">
        <v>22</v>
      </c>
      <c r="E88" s="22" t="s">
        <v>302</v>
      </c>
      <c r="F88" s="23" t="s">
        <v>303</v>
      </c>
      <c r="G88" s="22" t="s">
        <v>304</v>
      </c>
      <c r="H88" s="24" t="s">
        <v>57</v>
      </c>
      <c r="I88" s="24" t="s">
        <v>36</v>
      </c>
      <c r="J88" s="25" t="n">
        <v>29.27</v>
      </c>
      <c r="K88" s="26" t="n">
        <v>250000</v>
      </c>
      <c r="L88" s="27" t="n">
        <f aca="false">K88/J88</f>
        <v>8541.16843184148</v>
      </c>
      <c r="M88" s="28"/>
      <c r="N88" s="29"/>
      <c r="O88" s="30" t="n">
        <f aca="false">K88+N88</f>
        <v>250000</v>
      </c>
      <c r="P88" s="30" t="n">
        <f aca="false">ROUND(O88/J88, 2)</f>
        <v>8541.17</v>
      </c>
      <c r="Q88" s="25" t="s">
        <v>305</v>
      </c>
      <c r="R88" s="22" t="s">
        <v>27</v>
      </c>
      <c r="S88" s="25" t="s">
        <v>29</v>
      </c>
      <c r="T88" s="24" t="s">
        <v>30</v>
      </c>
      <c r="U88" s="31" t="s">
        <v>31</v>
      </c>
      <c r="V88" s="31" t="n">
        <v>43234</v>
      </c>
      <c r="W88" s="18"/>
      <c r="X88" s="18"/>
    </row>
    <row r="89" s="32" customFormat="true" ht="13.8" hidden="false" customHeight="false" outlineLevel="0" collapsed="false">
      <c r="A89" s="18"/>
      <c r="B89" s="19" t="n">
        <v>168</v>
      </c>
      <c r="C89" s="20" t="n">
        <v>43125</v>
      </c>
      <c r="D89" s="21" t="s">
        <v>22</v>
      </c>
      <c r="E89" s="22" t="s">
        <v>306</v>
      </c>
      <c r="F89" s="23" t="s">
        <v>138</v>
      </c>
      <c r="G89" s="22" t="s">
        <v>36</v>
      </c>
      <c r="H89" s="24" t="s">
        <v>307</v>
      </c>
      <c r="I89" s="24" t="s">
        <v>26</v>
      </c>
      <c r="J89" s="25" t="n">
        <v>64.14</v>
      </c>
      <c r="K89" s="26" t="n">
        <v>625000</v>
      </c>
      <c r="L89" s="27" t="n">
        <f aca="false">K89/J89</f>
        <v>9744.30932335516</v>
      </c>
      <c r="M89" s="28" t="s">
        <v>205</v>
      </c>
      <c r="N89" s="29"/>
      <c r="O89" s="30" t="n">
        <f aca="false">K89+N89</f>
        <v>625000</v>
      </c>
      <c r="P89" s="30" t="n">
        <f aca="false">ROUND(O89/J89, 2)</f>
        <v>9744.31</v>
      </c>
      <c r="Q89" s="25" t="s">
        <v>50</v>
      </c>
      <c r="R89" s="22" t="s">
        <v>36</v>
      </c>
      <c r="S89" s="25" t="s">
        <v>29</v>
      </c>
      <c r="T89" s="24" t="s">
        <v>30</v>
      </c>
      <c r="U89" s="31" t="s">
        <v>31</v>
      </c>
      <c r="V89" s="31" t="n">
        <v>43234</v>
      </c>
      <c r="W89" s="18"/>
      <c r="X89" s="18"/>
    </row>
    <row r="90" s="32" customFormat="true" ht="13.8" hidden="false" customHeight="false" outlineLevel="0" collapsed="false">
      <c r="A90" s="18"/>
      <c r="B90" s="19" t="n">
        <v>799</v>
      </c>
      <c r="C90" s="20" t="n">
        <v>43125</v>
      </c>
      <c r="D90" s="21" t="s">
        <v>22</v>
      </c>
      <c r="E90" s="22" t="s">
        <v>308</v>
      </c>
      <c r="F90" s="23" t="s">
        <v>309</v>
      </c>
      <c r="G90" s="22" t="s">
        <v>95</v>
      </c>
      <c r="H90" s="24" t="s">
        <v>154</v>
      </c>
      <c r="I90" s="24" t="s">
        <v>57</v>
      </c>
      <c r="J90" s="25" t="n">
        <f aca="false">314.2-10.98</f>
        <v>303.22</v>
      </c>
      <c r="K90" s="26" t="n">
        <v>3130000</v>
      </c>
      <c r="L90" s="27" t="n">
        <f aca="false">K90/J90</f>
        <v>10322.5380911549</v>
      </c>
      <c r="M90" s="28" t="s">
        <v>310</v>
      </c>
      <c r="N90" s="29"/>
      <c r="O90" s="30" t="n">
        <f aca="false">K90+N90</f>
        <v>3130000</v>
      </c>
      <c r="P90" s="30" t="n">
        <f aca="false">ROUND(O90/J90, 2)</f>
        <v>10322.54</v>
      </c>
      <c r="Q90" s="25" t="s">
        <v>311</v>
      </c>
      <c r="R90" s="22" t="s">
        <v>26</v>
      </c>
      <c r="S90" s="25" t="s">
        <v>29</v>
      </c>
      <c r="T90" s="24" t="s">
        <v>30</v>
      </c>
      <c r="U90" s="31" t="s">
        <v>31</v>
      </c>
      <c r="V90" s="31" t="n">
        <v>43234</v>
      </c>
      <c r="W90" s="34"/>
      <c r="X90" s="34"/>
    </row>
    <row r="91" s="32" customFormat="true" ht="13.8" hidden="false" customHeight="false" outlineLevel="0" collapsed="false">
      <c r="A91" s="18"/>
      <c r="B91" s="19" t="n">
        <v>1275</v>
      </c>
      <c r="C91" s="20" t="n">
        <v>43125</v>
      </c>
      <c r="D91" s="21" t="s">
        <v>22</v>
      </c>
      <c r="E91" s="22" t="s">
        <v>187</v>
      </c>
      <c r="F91" s="23" t="s">
        <v>271</v>
      </c>
      <c r="G91" s="22" t="s">
        <v>169</v>
      </c>
      <c r="H91" s="24" t="s">
        <v>257</v>
      </c>
      <c r="I91" s="24" t="s">
        <v>27</v>
      </c>
      <c r="J91" s="25" t="n">
        <v>49.07</v>
      </c>
      <c r="K91" s="26" t="n">
        <v>381000</v>
      </c>
      <c r="L91" s="27" t="n">
        <f aca="false">K91/J91</f>
        <v>7764.4181781129</v>
      </c>
      <c r="M91" s="28" t="s">
        <v>64</v>
      </c>
      <c r="N91" s="29"/>
      <c r="O91" s="30" t="n">
        <f aca="false">K91+N91</f>
        <v>381000</v>
      </c>
      <c r="P91" s="30" t="n">
        <f aca="false">ROUND(O91/J91, 2)</f>
        <v>7764.42</v>
      </c>
      <c r="Q91" s="25" t="s">
        <v>50</v>
      </c>
      <c r="R91" s="22" t="s">
        <v>36</v>
      </c>
      <c r="S91" s="25" t="s">
        <v>29</v>
      </c>
      <c r="T91" s="24" t="s">
        <v>30</v>
      </c>
      <c r="U91" s="31" t="s">
        <v>31</v>
      </c>
      <c r="V91" s="31" t="n">
        <v>43234</v>
      </c>
      <c r="W91" s="34"/>
      <c r="X91" s="34"/>
    </row>
    <row r="92" s="32" customFormat="true" ht="13.8" hidden="false" customHeight="false" outlineLevel="0" collapsed="false">
      <c r="A92" s="18"/>
      <c r="B92" s="19" t="n">
        <v>1055</v>
      </c>
      <c r="C92" s="20" t="n">
        <v>43126</v>
      </c>
      <c r="D92" s="21" t="s">
        <v>22</v>
      </c>
      <c r="E92" s="22" t="s">
        <v>75</v>
      </c>
      <c r="F92" s="23" t="s">
        <v>76</v>
      </c>
      <c r="G92" s="22" t="s">
        <v>312</v>
      </c>
      <c r="H92" s="24" t="s">
        <v>47</v>
      </c>
      <c r="I92" s="24" t="s">
        <v>57</v>
      </c>
      <c r="J92" s="25" t="n">
        <f aca="false">132.38-4.24</f>
        <v>128.14</v>
      </c>
      <c r="K92" s="26" t="n">
        <v>1450000</v>
      </c>
      <c r="L92" s="27" t="n">
        <f aca="false">K92/J92</f>
        <v>11315.7484001873</v>
      </c>
      <c r="M92" s="28" t="s">
        <v>313</v>
      </c>
      <c r="N92" s="29"/>
      <c r="O92" s="30" t="n">
        <f aca="false">K92+N92</f>
        <v>1450000</v>
      </c>
      <c r="P92" s="30" t="n">
        <f aca="false">ROUND(O92/J92, 2)</f>
        <v>11315.75</v>
      </c>
      <c r="Q92" s="25" t="s">
        <v>232</v>
      </c>
      <c r="R92" s="22" t="s">
        <v>26</v>
      </c>
      <c r="S92" s="25" t="s">
        <v>29</v>
      </c>
      <c r="T92" s="24" t="s">
        <v>30</v>
      </c>
      <c r="U92" s="31" t="s">
        <v>31</v>
      </c>
      <c r="V92" s="31" t="n">
        <v>43234</v>
      </c>
      <c r="W92" s="34"/>
      <c r="X92" s="34"/>
    </row>
    <row r="93" s="32" customFormat="true" ht="13.8" hidden="false" customHeight="false" outlineLevel="0" collapsed="false">
      <c r="A93" s="18"/>
      <c r="B93" s="19" t="n">
        <v>306</v>
      </c>
      <c r="C93" s="20" t="n">
        <v>43126</v>
      </c>
      <c r="D93" s="21" t="s">
        <v>22</v>
      </c>
      <c r="E93" s="22" t="s">
        <v>61</v>
      </c>
      <c r="F93" s="23" t="s">
        <v>62</v>
      </c>
      <c r="G93" s="22" t="s">
        <v>27</v>
      </c>
      <c r="H93" s="24" t="s">
        <v>314</v>
      </c>
      <c r="I93" s="24" t="s">
        <v>111</v>
      </c>
      <c r="J93" s="25" t="n">
        <v>42.86</v>
      </c>
      <c r="K93" s="26" t="n">
        <v>330000</v>
      </c>
      <c r="L93" s="27" t="n">
        <f aca="false">K93/J93</f>
        <v>7699.48670088661</v>
      </c>
      <c r="M93" s="28"/>
      <c r="N93" s="29"/>
      <c r="O93" s="30" t="n">
        <f aca="false">K93+N93</f>
        <v>330000</v>
      </c>
      <c r="P93" s="30" t="n">
        <f aca="false">ROUND(O93/J93, 2)</f>
        <v>7699.49</v>
      </c>
      <c r="Q93" s="25" t="s">
        <v>50</v>
      </c>
      <c r="R93" s="22" t="s">
        <v>36</v>
      </c>
      <c r="S93" s="25" t="s">
        <v>29</v>
      </c>
      <c r="T93" s="24" t="s">
        <v>30</v>
      </c>
      <c r="U93" s="31" t="s">
        <v>31</v>
      </c>
      <c r="V93" s="31" t="n">
        <v>43234</v>
      </c>
      <c r="W93" s="34"/>
      <c r="X93" s="34"/>
    </row>
    <row r="94" customFormat="false" ht="13.8" hidden="false" customHeight="false" outlineLevel="0" collapsed="false">
      <c r="A94" s="18"/>
      <c r="B94" s="19" t="n">
        <v>3743</v>
      </c>
      <c r="C94" s="20" t="n">
        <v>43126</v>
      </c>
      <c r="D94" s="21" t="s">
        <v>22</v>
      </c>
      <c r="E94" s="22" t="s">
        <v>171</v>
      </c>
      <c r="F94" s="23" t="s">
        <v>315</v>
      </c>
      <c r="G94" s="22" t="s">
        <v>36</v>
      </c>
      <c r="H94" s="24" t="s">
        <v>27</v>
      </c>
      <c r="I94" s="24" t="s">
        <v>27</v>
      </c>
      <c r="J94" s="25" t="n">
        <v>76.3</v>
      </c>
      <c r="K94" s="26" t="n">
        <v>605000</v>
      </c>
      <c r="L94" s="27" t="n">
        <f aca="false">K94/J94</f>
        <v>7929.22673656619</v>
      </c>
      <c r="M94" s="28" t="s">
        <v>205</v>
      </c>
      <c r="N94" s="29" t="n">
        <v>30000</v>
      </c>
      <c r="O94" s="30" t="n">
        <f aca="false">K94+N94</f>
        <v>635000</v>
      </c>
      <c r="P94" s="30" t="n">
        <f aca="false">ROUND(O94/J94, 2)</f>
        <v>8322.41</v>
      </c>
      <c r="Q94" s="25" t="s">
        <v>85</v>
      </c>
      <c r="R94" s="22" t="s">
        <v>26</v>
      </c>
      <c r="S94" s="25" t="s">
        <v>29</v>
      </c>
      <c r="T94" s="24" t="s">
        <v>30</v>
      </c>
      <c r="U94" s="31" t="s">
        <v>31</v>
      </c>
      <c r="V94" s="31" t="n">
        <v>43234</v>
      </c>
      <c r="W94" s="34"/>
      <c r="X94" s="34"/>
    </row>
    <row r="95" customFormat="false" ht="13.8" hidden="false" customHeight="false" outlineLevel="0" collapsed="false">
      <c r="A95" s="18"/>
      <c r="B95" s="19" t="n">
        <v>335</v>
      </c>
      <c r="C95" s="20" t="n">
        <v>43127</v>
      </c>
      <c r="D95" s="21" t="s">
        <v>22</v>
      </c>
      <c r="E95" s="22" t="s">
        <v>109</v>
      </c>
      <c r="F95" s="23" t="s">
        <v>271</v>
      </c>
      <c r="G95" s="22" t="s">
        <v>210</v>
      </c>
      <c r="H95" s="24" t="s">
        <v>316</v>
      </c>
      <c r="I95" s="24" t="s">
        <v>26</v>
      </c>
      <c r="J95" s="25" t="n">
        <v>32.27</v>
      </c>
      <c r="K95" s="26" t="n">
        <v>350000</v>
      </c>
      <c r="L95" s="27" t="n">
        <f aca="false">K95/J95</f>
        <v>10845.9869848156</v>
      </c>
      <c r="M95" s="28"/>
      <c r="N95" s="29"/>
      <c r="O95" s="30" t="n">
        <f aca="false">K95+N95</f>
        <v>350000</v>
      </c>
      <c r="P95" s="30" t="n">
        <f aca="false">ROUND(O95/J95, 2)</f>
        <v>10845.99</v>
      </c>
      <c r="Q95" s="25" t="s">
        <v>41</v>
      </c>
      <c r="R95" s="22" t="s">
        <v>27</v>
      </c>
      <c r="S95" s="25" t="s">
        <v>29</v>
      </c>
      <c r="T95" s="24" t="s">
        <v>30</v>
      </c>
      <c r="U95" s="31" t="s">
        <v>31</v>
      </c>
      <c r="V95" s="31" t="n">
        <v>43234</v>
      </c>
      <c r="W95" s="34"/>
      <c r="X95" s="34"/>
    </row>
    <row r="96" customFormat="false" ht="13.8" hidden="false" customHeight="false" outlineLevel="0" collapsed="false">
      <c r="A96" s="18"/>
      <c r="B96" s="19" t="n">
        <v>266</v>
      </c>
      <c r="C96" s="20" t="n">
        <v>43128</v>
      </c>
      <c r="D96" s="21" t="s">
        <v>22</v>
      </c>
      <c r="E96" s="22" t="s">
        <v>61</v>
      </c>
      <c r="F96" s="23" t="s">
        <v>317</v>
      </c>
      <c r="G96" s="22" t="s">
        <v>95</v>
      </c>
      <c r="H96" s="24" t="s">
        <v>318</v>
      </c>
      <c r="I96" s="24" t="s">
        <v>27</v>
      </c>
      <c r="J96" s="25" t="n">
        <v>52.6</v>
      </c>
      <c r="K96" s="26" t="n">
        <v>385000</v>
      </c>
      <c r="L96" s="27" t="n">
        <f aca="false">K96/J96</f>
        <v>7319.39163498099</v>
      </c>
      <c r="M96" s="28"/>
      <c r="N96" s="29"/>
      <c r="O96" s="30" t="n">
        <f aca="false">K96+N96</f>
        <v>385000</v>
      </c>
      <c r="P96" s="30" t="n">
        <f aca="false">ROUND(O96/J96, 2)</f>
        <v>7319.39</v>
      </c>
      <c r="Q96" s="25" t="s">
        <v>85</v>
      </c>
      <c r="R96" s="22" t="s">
        <v>26</v>
      </c>
      <c r="S96" s="25" t="s">
        <v>29</v>
      </c>
      <c r="T96" s="24" t="s">
        <v>30</v>
      </c>
      <c r="U96" s="31" t="s">
        <v>31</v>
      </c>
      <c r="V96" s="31" t="n">
        <v>43234</v>
      </c>
      <c r="W96" s="18"/>
      <c r="X96" s="18"/>
    </row>
    <row r="97" customFormat="false" ht="13.8" hidden="false" customHeight="false" outlineLevel="0" collapsed="false">
      <c r="A97" s="18"/>
      <c r="B97" s="19" t="n">
        <v>396</v>
      </c>
      <c r="C97" s="20" t="n">
        <v>43129</v>
      </c>
      <c r="D97" s="21" t="s">
        <v>22</v>
      </c>
      <c r="E97" s="22" t="s">
        <v>319</v>
      </c>
      <c r="F97" s="23" t="s">
        <v>320</v>
      </c>
      <c r="G97" s="22" t="s">
        <v>321</v>
      </c>
      <c r="H97" s="24" t="s">
        <v>88</v>
      </c>
      <c r="I97" s="24" t="s">
        <v>26</v>
      </c>
      <c r="J97" s="25" t="n">
        <v>70.76</v>
      </c>
      <c r="K97" s="26" t="n">
        <v>585000</v>
      </c>
      <c r="L97" s="27" t="n">
        <f aca="false">K97/J97</f>
        <v>8267.38270209158</v>
      </c>
      <c r="M97" s="28" t="s">
        <v>205</v>
      </c>
      <c r="N97" s="29" t="n">
        <v>30000</v>
      </c>
      <c r="O97" s="30" t="n">
        <f aca="false">K97+N97</f>
        <v>615000</v>
      </c>
      <c r="P97" s="30" t="n">
        <f aca="false">ROUND(O97/J97, 2)</f>
        <v>8691.35</v>
      </c>
      <c r="Q97" s="25" t="s">
        <v>232</v>
      </c>
      <c r="R97" s="22" t="s">
        <v>26</v>
      </c>
      <c r="S97" s="25" t="s">
        <v>29</v>
      </c>
      <c r="T97" s="24" t="s">
        <v>30</v>
      </c>
      <c r="U97" s="31" t="s">
        <v>31</v>
      </c>
      <c r="V97" s="31" t="n">
        <v>43234</v>
      </c>
      <c r="W97" s="18"/>
      <c r="X97" s="18"/>
    </row>
    <row r="98" customFormat="false" ht="13.8" hidden="false" customHeight="false" outlineLevel="0" collapsed="false">
      <c r="A98" s="18"/>
      <c r="B98" s="19" t="n">
        <v>789</v>
      </c>
      <c r="C98" s="20" t="n">
        <v>43129</v>
      </c>
      <c r="D98" s="38" t="s">
        <v>22</v>
      </c>
      <c r="E98" s="22" t="s">
        <v>322</v>
      </c>
      <c r="F98" s="34" t="s">
        <v>323</v>
      </c>
      <c r="G98" s="19" t="n">
        <v>4</v>
      </c>
      <c r="H98" s="19" t="n">
        <v>87</v>
      </c>
      <c r="I98" s="19" t="n">
        <v>5</v>
      </c>
      <c r="J98" s="19" t="n">
        <v>39.85</v>
      </c>
      <c r="K98" s="39" t="n">
        <v>457425</v>
      </c>
      <c r="L98" s="39" t="n">
        <f aca="false">K98/J98</f>
        <v>11478.6700125471</v>
      </c>
      <c r="M98" s="34"/>
      <c r="N98" s="40"/>
      <c r="O98" s="30" t="n">
        <f aca="false">K98+N98</f>
        <v>457425</v>
      </c>
      <c r="P98" s="30" t="n">
        <f aca="false">ROUND(O98/J98, 2)</f>
        <v>11478.67</v>
      </c>
      <c r="Q98" s="19" t="s">
        <v>324</v>
      </c>
      <c r="R98" s="22" t="s">
        <v>36</v>
      </c>
      <c r="S98" s="19" t="s">
        <v>29</v>
      </c>
      <c r="T98" s="19" t="s">
        <v>30</v>
      </c>
      <c r="U98" s="19" t="s">
        <v>31</v>
      </c>
      <c r="V98" s="41" t="n">
        <v>43698</v>
      </c>
      <c r="W98" s="34" t="s">
        <v>325</v>
      </c>
      <c r="X98" s="18"/>
    </row>
    <row r="99" customFormat="false" ht="13.8" hidden="false" customHeight="false" outlineLevel="0" collapsed="false">
      <c r="A99" s="18"/>
      <c r="B99" s="19" t="n">
        <v>1180</v>
      </c>
      <c r="C99" s="20" t="n">
        <v>43129</v>
      </c>
      <c r="D99" s="21" t="s">
        <v>22</v>
      </c>
      <c r="E99" s="22" t="s">
        <v>235</v>
      </c>
      <c r="F99" s="23" t="s">
        <v>236</v>
      </c>
      <c r="G99" s="22" t="s">
        <v>326</v>
      </c>
      <c r="H99" s="24" t="s">
        <v>120</v>
      </c>
      <c r="I99" s="24" t="s">
        <v>36</v>
      </c>
      <c r="J99" s="25" t="n">
        <v>48.91</v>
      </c>
      <c r="K99" s="26" t="n">
        <v>420000</v>
      </c>
      <c r="L99" s="27" t="n">
        <f aca="false">K99/J99</f>
        <v>8587.2009813944</v>
      </c>
      <c r="M99" s="28"/>
      <c r="N99" s="29"/>
      <c r="O99" s="30" t="n">
        <f aca="false">K99+N99</f>
        <v>420000</v>
      </c>
      <c r="P99" s="30" t="n">
        <f aca="false">ROUND(O99/J99, 2)</f>
        <v>8587.2</v>
      </c>
      <c r="Q99" s="25" t="s">
        <v>50</v>
      </c>
      <c r="R99" s="22" t="s">
        <v>36</v>
      </c>
      <c r="S99" s="25" t="s">
        <v>29</v>
      </c>
      <c r="T99" s="24" t="s">
        <v>30</v>
      </c>
      <c r="U99" s="31" t="s">
        <v>31</v>
      </c>
      <c r="V99" s="31" t="n">
        <v>43234</v>
      </c>
      <c r="W99" s="18"/>
      <c r="X99" s="18"/>
      <c r="AMJ99" s="32"/>
    </row>
    <row r="100" s="32" customFormat="true" ht="13.8" hidden="false" customHeight="false" outlineLevel="0" collapsed="false">
      <c r="A100" s="18"/>
      <c r="B100" s="19" t="n">
        <v>1162</v>
      </c>
      <c r="C100" s="20" t="n">
        <v>43129</v>
      </c>
      <c r="D100" s="21" t="s">
        <v>22</v>
      </c>
      <c r="E100" s="22" t="s">
        <v>109</v>
      </c>
      <c r="F100" s="23" t="s">
        <v>110</v>
      </c>
      <c r="G100" s="22" t="s">
        <v>49</v>
      </c>
      <c r="H100" s="24" t="s">
        <v>111</v>
      </c>
      <c r="I100" s="24" t="s">
        <v>26</v>
      </c>
      <c r="J100" s="25" t="n">
        <v>37.58</v>
      </c>
      <c r="K100" s="26" t="n">
        <v>415000</v>
      </c>
      <c r="L100" s="27" t="n">
        <f aca="false">K100/J100</f>
        <v>11043.1080361895</v>
      </c>
      <c r="M100" s="28" t="s">
        <v>64</v>
      </c>
      <c r="N100" s="29"/>
      <c r="O100" s="30" t="n">
        <f aca="false">K100+N100</f>
        <v>415000</v>
      </c>
      <c r="P100" s="30" t="n">
        <f aca="false">ROUND(O100/J100, 2)</f>
        <v>11043.11</v>
      </c>
      <c r="Q100" s="25" t="s">
        <v>41</v>
      </c>
      <c r="R100" s="22" t="s">
        <v>27</v>
      </c>
      <c r="S100" s="25" t="s">
        <v>29</v>
      </c>
      <c r="T100" s="24" t="s">
        <v>30</v>
      </c>
      <c r="U100" s="31" t="s">
        <v>31</v>
      </c>
      <c r="V100" s="31" t="n">
        <v>43234</v>
      </c>
      <c r="W100" s="18"/>
      <c r="X100" s="18"/>
    </row>
    <row r="101" s="32" customFormat="true" ht="13.8" hidden="false" customHeight="false" outlineLevel="0" collapsed="false">
      <c r="A101" s="18"/>
      <c r="B101" s="19" t="n">
        <v>748</v>
      </c>
      <c r="C101" s="20" t="n">
        <v>43129</v>
      </c>
      <c r="D101" s="21" t="s">
        <v>22</v>
      </c>
      <c r="E101" s="22" t="s">
        <v>148</v>
      </c>
      <c r="F101" s="23" t="s">
        <v>149</v>
      </c>
      <c r="G101" s="22" t="s">
        <v>57</v>
      </c>
      <c r="H101" s="24" t="s">
        <v>177</v>
      </c>
      <c r="I101" s="24" t="s">
        <v>82</v>
      </c>
      <c r="J101" s="25" t="n">
        <v>31.06</v>
      </c>
      <c r="K101" s="26" t="n">
        <v>242000</v>
      </c>
      <c r="L101" s="27" t="n">
        <f aca="false">K101/J101</f>
        <v>7791.37153895686</v>
      </c>
      <c r="M101" s="28"/>
      <c r="N101" s="29"/>
      <c r="O101" s="30" t="n">
        <f aca="false">K101+N101</f>
        <v>242000</v>
      </c>
      <c r="P101" s="30" t="n">
        <f aca="false">ROUND(O101/J101, 2)</f>
        <v>7791.37</v>
      </c>
      <c r="Q101" s="25" t="s">
        <v>41</v>
      </c>
      <c r="R101" s="22" t="s">
        <v>27</v>
      </c>
      <c r="S101" s="25" t="s">
        <v>29</v>
      </c>
      <c r="T101" s="24" t="s">
        <v>30</v>
      </c>
      <c r="U101" s="31" t="s">
        <v>31</v>
      </c>
      <c r="V101" s="31" t="n">
        <v>43234</v>
      </c>
      <c r="W101" s="18"/>
      <c r="X101" s="18"/>
    </row>
    <row r="102" s="32" customFormat="true" ht="13.8" hidden="false" customHeight="false" outlineLevel="0" collapsed="false">
      <c r="A102" s="18"/>
      <c r="B102" s="19" t="n">
        <v>1016</v>
      </c>
      <c r="C102" s="20" t="n">
        <v>43129</v>
      </c>
      <c r="D102" s="21" t="s">
        <v>22</v>
      </c>
      <c r="E102" s="22" t="s">
        <v>327</v>
      </c>
      <c r="F102" s="23" t="s">
        <v>328</v>
      </c>
      <c r="G102" s="22" t="s">
        <v>26</v>
      </c>
      <c r="H102" s="24" t="s">
        <v>82</v>
      </c>
      <c r="I102" s="24" t="s">
        <v>49</v>
      </c>
      <c r="J102" s="25" t="n">
        <v>149.3</v>
      </c>
      <c r="K102" s="26" t="n">
        <v>1600000</v>
      </c>
      <c r="L102" s="27" t="n">
        <f aca="false">K102/J102</f>
        <v>10716.6778298727</v>
      </c>
      <c r="M102" s="28" t="s">
        <v>329</v>
      </c>
      <c r="N102" s="29"/>
      <c r="O102" s="30" t="n">
        <f aca="false">K102+N102</f>
        <v>1600000</v>
      </c>
      <c r="P102" s="30" t="n">
        <f aca="false">ROUND(O102/J102, 2)</f>
        <v>10716.68</v>
      </c>
      <c r="Q102" s="25" t="s">
        <v>85</v>
      </c>
      <c r="R102" s="22" t="s">
        <v>26</v>
      </c>
      <c r="S102" s="25" t="s">
        <v>29</v>
      </c>
      <c r="T102" s="24" t="s">
        <v>30</v>
      </c>
      <c r="U102" s="31" t="s">
        <v>31</v>
      </c>
      <c r="V102" s="31" t="n">
        <v>43234</v>
      </c>
      <c r="W102" s="34" t="s">
        <v>330</v>
      </c>
      <c r="X102" s="34"/>
    </row>
    <row r="103" s="32" customFormat="true" ht="13.8" hidden="false" customHeight="false" outlineLevel="0" collapsed="false">
      <c r="A103" s="18"/>
      <c r="B103" s="19" t="n">
        <v>1337</v>
      </c>
      <c r="C103" s="20" t="n">
        <v>43130</v>
      </c>
      <c r="D103" s="21" t="s">
        <v>22</v>
      </c>
      <c r="E103" s="22" t="s">
        <v>331</v>
      </c>
      <c r="F103" s="23" t="s">
        <v>332</v>
      </c>
      <c r="G103" s="22" t="s">
        <v>333</v>
      </c>
      <c r="H103" s="24" t="s">
        <v>197</v>
      </c>
      <c r="I103" s="24" t="s">
        <v>49</v>
      </c>
      <c r="J103" s="25" t="n">
        <v>50.6</v>
      </c>
      <c r="K103" s="26" t="n">
        <v>539000</v>
      </c>
      <c r="L103" s="27" t="n">
        <f aca="false">K103/J103</f>
        <v>10652.1739130435</v>
      </c>
      <c r="M103" s="28" t="s">
        <v>334</v>
      </c>
      <c r="N103" s="29"/>
      <c r="O103" s="30" t="n">
        <f aca="false">K103+N103</f>
        <v>539000</v>
      </c>
      <c r="P103" s="30" t="n">
        <f aca="false">ROUND(O103/J103, 2)</f>
        <v>10652.17</v>
      </c>
      <c r="Q103" s="25" t="s">
        <v>50</v>
      </c>
      <c r="R103" s="22" t="s">
        <v>36</v>
      </c>
      <c r="S103" s="25" t="s">
        <v>29</v>
      </c>
      <c r="T103" s="24" t="s">
        <v>30</v>
      </c>
      <c r="U103" s="31" t="s">
        <v>31</v>
      </c>
      <c r="V103" s="31" t="n">
        <v>43234</v>
      </c>
      <c r="W103" s="18"/>
      <c r="X103" s="34"/>
    </row>
    <row r="104" s="32" customFormat="true" ht="13.8" hidden="false" customHeight="false" outlineLevel="0" collapsed="false">
      <c r="A104" s="18"/>
      <c r="B104" s="19" t="n">
        <v>936</v>
      </c>
      <c r="C104" s="20" t="n">
        <v>43130</v>
      </c>
      <c r="D104" s="21" t="s">
        <v>22</v>
      </c>
      <c r="E104" s="22" t="s">
        <v>125</v>
      </c>
      <c r="F104" s="23" t="s">
        <v>335</v>
      </c>
      <c r="G104" s="22" t="s">
        <v>336</v>
      </c>
      <c r="H104" s="24" t="s">
        <v>337</v>
      </c>
      <c r="I104" s="24" t="s">
        <v>26</v>
      </c>
      <c r="J104" s="25" t="n">
        <v>57.2</v>
      </c>
      <c r="K104" s="26" t="n">
        <v>815000</v>
      </c>
      <c r="L104" s="27" t="n">
        <f aca="false">K104/J104</f>
        <v>14248.2517482517</v>
      </c>
      <c r="M104" s="28"/>
      <c r="N104" s="29"/>
      <c r="O104" s="30" t="n">
        <f aca="false">K104+N104</f>
        <v>815000</v>
      </c>
      <c r="P104" s="30" t="n">
        <f aca="false">ROUND(O104/J104, 2)</f>
        <v>14248.25</v>
      </c>
      <c r="Q104" s="25" t="s">
        <v>50</v>
      </c>
      <c r="R104" s="22" t="s">
        <v>36</v>
      </c>
      <c r="S104" s="25" t="s">
        <v>29</v>
      </c>
      <c r="T104" s="24" t="s">
        <v>30</v>
      </c>
      <c r="U104" s="31" t="s">
        <v>31</v>
      </c>
      <c r="V104" s="31" t="n">
        <v>43234</v>
      </c>
      <c r="W104" s="18"/>
      <c r="X104" s="34"/>
    </row>
    <row r="105" s="32" customFormat="true" ht="13.8" hidden="false" customHeight="false" outlineLevel="0" collapsed="false">
      <c r="A105" s="18"/>
      <c r="B105" s="19" t="n">
        <v>500</v>
      </c>
      <c r="C105" s="20" t="n">
        <v>43130</v>
      </c>
      <c r="D105" s="21" t="s">
        <v>22</v>
      </c>
      <c r="E105" s="22" t="s">
        <v>278</v>
      </c>
      <c r="F105" s="23" t="s">
        <v>338</v>
      </c>
      <c r="G105" s="22" t="s">
        <v>339</v>
      </c>
      <c r="H105" s="24" t="s">
        <v>181</v>
      </c>
      <c r="I105" s="24" t="s">
        <v>36</v>
      </c>
      <c r="J105" s="25" t="n">
        <v>46.1</v>
      </c>
      <c r="K105" s="26" t="n">
        <v>365000</v>
      </c>
      <c r="L105" s="27" t="n">
        <f aca="false">K105/J105</f>
        <v>7917.5704989154</v>
      </c>
      <c r="M105" s="28" t="s">
        <v>64</v>
      </c>
      <c r="N105" s="29"/>
      <c r="O105" s="30" t="n">
        <f aca="false">K105+N105</f>
        <v>365000</v>
      </c>
      <c r="P105" s="30" t="n">
        <f aca="false">ROUND(O105/J105, 2)</f>
        <v>7917.57</v>
      </c>
      <c r="Q105" s="25" t="s">
        <v>50</v>
      </c>
      <c r="R105" s="22" t="s">
        <v>36</v>
      </c>
      <c r="S105" s="25" t="s">
        <v>29</v>
      </c>
      <c r="T105" s="24" t="s">
        <v>30</v>
      </c>
      <c r="U105" s="31" t="s">
        <v>31</v>
      </c>
      <c r="V105" s="31" t="n">
        <v>43234</v>
      </c>
      <c r="W105" s="18"/>
      <c r="X105" s="34"/>
    </row>
    <row r="106" s="32" customFormat="true" ht="13.8" hidden="false" customHeight="false" outlineLevel="0" collapsed="false">
      <c r="A106" s="18"/>
      <c r="B106" s="19" t="n">
        <v>505</v>
      </c>
      <c r="C106" s="20" t="n">
        <v>43130</v>
      </c>
      <c r="D106" s="21" t="s">
        <v>22</v>
      </c>
      <c r="E106" s="22" t="s">
        <v>148</v>
      </c>
      <c r="F106" s="23" t="s">
        <v>340</v>
      </c>
      <c r="G106" s="22" t="s">
        <v>57</v>
      </c>
      <c r="H106" s="24" t="s">
        <v>341</v>
      </c>
      <c r="I106" s="24" t="s">
        <v>57</v>
      </c>
      <c r="J106" s="25" t="n">
        <v>31.06</v>
      </c>
      <c r="K106" s="26" t="n">
        <v>238000</v>
      </c>
      <c r="L106" s="27" t="n">
        <f aca="false">K106/J106</f>
        <v>7662.58853831294</v>
      </c>
      <c r="M106" s="28" t="s">
        <v>64</v>
      </c>
      <c r="N106" s="29"/>
      <c r="O106" s="30" t="n">
        <f aca="false">K106+N106</f>
        <v>238000</v>
      </c>
      <c r="P106" s="30" t="n">
        <f aca="false">ROUND(O106/J106, 2)</f>
        <v>7662.59</v>
      </c>
      <c r="Q106" s="25" t="s">
        <v>41</v>
      </c>
      <c r="R106" s="22" t="s">
        <v>27</v>
      </c>
      <c r="S106" s="25" t="s">
        <v>29</v>
      </c>
      <c r="T106" s="24" t="s">
        <v>30</v>
      </c>
      <c r="U106" s="31" t="s">
        <v>31</v>
      </c>
      <c r="V106" s="31" t="n">
        <v>43234</v>
      </c>
      <c r="W106" s="18"/>
      <c r="X106" s="34"/>
    </row>
    <row r="107" s="32" customFormat="true" ht="13.8" hidden="false" customHeight="false" outlineLevel="0" collapsed="false">
      <c r="A107" s="18"/>
      <c r="B107" s="19" t="n">
        <v>558</v>
      </c>
      <c r="C107" s="20" t="n">
        <v>43130</v>
      </c>
      <c r="D107" s="21" t="s">
        <v>22</v>
      </c>
      <c r="E107" s="22" t="s">
        <v>86</v>
      </c>
      <c r="F107" s="23" t="s">
        <v>342</v>
      </c>
      <c r="G107" s="22" t="s">
        <v>143</v>
      </c>
      <c r="H107" s="24" t="s">
        <v>115</v>
      </c>
      <c r="I107" s="24" t="s">
        <v>49</v>
      </c>
      <c r="J107" s="25" t="n">
        <v>49.4</v>
      </c>
      <c r="K107" s="26" t="n">
        <v>410000</v>
      </c>
      <c r="L107" s="27" t="n">
        <f aca="false">K107/J107</f>
        <v>8299.59514170041</v>
      </c>
      <c r="M107" s="28"/>
      <c r="N107" s="29"/>
      <c r="O107" s="30" t="n">
        <f aca="false">K107+N107</f>
        <v>410000</v>
      </c>
      <c r="P107" s="30" t="n">
        <f aca="false">ROUND(O107/J107, 2)</f>
        <v>8299.6</v>
      </c>
      <c r="Q107" s="25" t="s">
        <v>85</v>
      </c>
      <c r="R107" s="22" t="s">
        <v>26</v>
      </c>
      <c r="S107" s="25" t="s">
        <v>29</v>
      </c>
      <c r="T107" s="24" t="s">
        <v>30</v>
      </c>
      <c r="U107" s="31" t="s">
        <v>31</v>
      </c>
      <c r="V107" s="31" t="n">
        <v>43234</v>
      </c>
      <c r="W107" s="18"/>
      <c r="X107" s="34"/>
    </row>
    <row r="108" s="32" customFormat="true" ht="13.8" hidden="false" customHeight="false" outlineLevel="0" collapsed="false">
      <c r="A108" s="18"/>
      <c r="B108" s="19" t="n">
        <v>700</v>
      </c>
      <c r="C108" s="20" t="n">
        <v>43131</v>
      </c>
      <c r="D108" s="21" t="s">
        <v>22</v>
      </c>
      <c r="E108" s="22" t="s">
        <v>343</v>
      </c>
      <c r="F108" s="23" t="s">
        <v>344</v>
      </c>
      <c r="G108" s="22" t="s">
        <v>345</v>
      </c>
      <c r="H108" s="24" t="s">
        <v>280</v>
      </c>
      <c r="I108" s="24" t="s">
        <v>27</v>
      </c>
      <c r="J108" s="25" t="n">
        <v>35.51</v>
      </c>
      <c r="K108" s="26" t="n">
        <v>378000</v>
      </c>
      <c r="L108" s="27" t="n">
        <f aca="false">K108/J108</f>
        <v>10644.8887637285</v>
      </c>
      <c r="M108" s="28" t="s">
        <v>346</v>
      </c>
      <c r="N108" s="29"/>
      <c r="O108" s="30" t="n">
        <f aca="false">K108+N108</f>
        <v>378000</v>
      </c>
      <c r="P108" s="30" t="n">
        <f aca="false">ROUND(O108/J108, 2)</f>
        <v>10644.89</v>
      </c>
      <c r="Q108" s="25"/>
      <c r="R108" s="22"/>
      <c r="S108" s="25" t="s">
        <v>29</v>
      </c>
      <c r="T108" s="24" t="s">
        <v>30</v>
      </c>
      <c r="U108" s="31" t="s">
        <v>31</v>
      </c>
      <c r="V108" s="31" t="n">
        <v>43234</v>
      </c>
      <c r="W108" s="18"/>
      <c r="X108" s="34"/>
    </row>
    <row r="109" s="32" customFormat="true" ht="13.8" hidden="false" customHeight="false" outlineLevel="0" collapsed="false">
      <c r="A109" s="18"/>
      <c r="B109" s="19" t="n">
        <v>884</v>
      </c>
      <c r="C109" s="20" t="n">
        <v>43131</v>
      </c>
      <c r="D109" s="21" t="s">
        <v>22</v>
      </c>
      <c r="E109" s="22" t="s">
        <v>118</v>
      </c>
      <c r="F109" s="23" t="s">
        <v>347</v>
      </c>
      <c r="G109" s="22" t="s">
        <v>27</v>
      </c>
      <c r="H109" s="24" t="s">
        <v>348</v>
      </c>
      <c r="I109" s="24" t="s">
        <v>112</v>
      </c>
      <c r="J109" s="25" t="n">
        <f aca="false">39.18-2</f>
        <v>37.18</v>
      </c>
      <c r="K109" s="26" t="n">
        <v>305000</v>
      </c>
      <c r="L109" s="27" t="n">
        <f aca="false">K109/J109</f>
        <v>8203.33512641205</v>
      </c>
      <c r="M109" s="28" t="s">
        <v>349</v>
      </c>
      <c r="N109" s="29"/>
      <c r="O109" s="30" t="n">
        <f aca="false">K109+N109</f>
        <v>305000</v>
      </c>
      <c r="P109" s="30" t="n">
        <f aca="false">ROUND(O109/J109, 2)</f>
        <v>8203.34</v>
      </c>
      <c r="Q109" s="25" t="s">
        <v>50</v>
      </c>
      <c r="R109" s="22" t="s">
        <v>36</v>
      </c>
      <c r="S109" s="25" t="s">
        <v>29</v>
      </c>
      <c r="T109" s="24" t="s">
        <v>30</v>
      </c>
      <c r="U109" s="31" t="s">
        <v>31</v>
      </c>
      <c r="V109" s="31" t="n">
        <v>43234</v>
      </c>
      <c r="W109" s="18"/>
      <c r="X109" s="34"/>
    </row>
    <row r="110" s="32" customFormat="true" ht="13.8" hidden="false" customHeight="false" outlineLevel="0" collapsed="false">
      <c r="A110" s="18"/>
      <c r="B110" s="19" t="n">
        <v>582</v>
      </c>
      <c r="C110" s="20" t="n">
        <v>43131</v>
      </c>
      <c r="D110" s="21" t="s">
        <v>22</v>
      </c>
      <c r="E110" s="22" t="s">
        <v>350</v>
      </c>
      <c r="F110" s="23" t="s">
        <v>351</v>
      </c>
      <c r="G110" s="22" t="s">
        <v>283</v>
      </c>
      <c r="H110" s="24" t="s">
        <v>352</v>
      </c>
      <c r="I110" s="24" t="s">
        <v>57</v>
      </c>
      <c r="J110" s="25" t="n">
        <f aca="false">63.59-1.46-4.9</f>
        <v>57.23</v>
      </c>
      <c r="K110" s="26" t="n">
        <v>650000</v>
      </c>
      <c r="L110" s="27" t="n">
        <f aca="false">K110/J110</f>
        <v>11357.6795387035</v>
      </c>
      <c r="M110" s="28" t="s">
        <v>353</v>
      </c>
      <c r="N110" s="29"/>
      <c r="O110" s="30" t="n">
        <f aca="false">K110+N110</f>
        <v>650000</v>
      </c>
      <c r="P110" s="30" t="n">
        <f aca="false">ROUND(O110/J110, 2)</f>
        <v>11357.68</v>
      </c>
      <c r="Q110" s="25" t="s">
        <v>161</v>
      </c>
      <c r="R110" s="22" t="s">
        <v>36</v>
      </c>
      <c r="S110" s="25" t="s">
        <v>29</v>
      </c>
      <c r="T110" s="24" t="s">
        <v>30</v>
      </c>
      <c r="U110" s="31" t="s">
        <v>31</v>
      </c>
      <c r="V110" s="31" t="n">
        <v>43234</v>
      </c>
      <c r="W110" s="18"/>
      <c r="X110" s="34"/>
    </row>
    <row r="111" s="32" customFormat="true" ht="13.8" hidden="false" customHeight="false" outlineLevel="0" collapsed="false">
      <c r="A111" s="18"/>
      <c r="B111" s="19" t="n">
        <v>677</v>
      </c>
      <c r="C111" s="20" t="n">
        <v>43131</v>
      </c>
      <c r="D111" s="21" t="s">
        <v>22</v>
      </c>
      <c r="E111" s="22" t="s">
        <v>42</v>
      </c>
      <c r="F111" s="23" t="s">
        <v>272</v>
      </c>
      <c r="G111" s="22" t="s">
        <v>259</v>
      </c>
      <c r="H111" s="24" t="s">
        <v>169</v>
      </c>
      <c r="I111" s="24" t="s">
        <v>49</v>
      </c>
      <c r="J111" s="25" t="n">
        <v>47</v>
      </c>
      <c r="K111" s="26" t="n">
        <v>370000</v>
      </c>
      <c r="L111" s="27" t="n">
        <f aca="false">K111/J111</f>
        <v>7872.34042553192</v>
      </c>
      <c r="M111" s="28"/>
      <c r="N111" s="29"/>
      <c r="O111" s="30" t="n">
        <f aca="false">K111+N111</f>
        <v>370000</v>
      </c>
      <c r="P111" s="30" t="n">
        <f aca="false">ROUND(O111/J111, 2)</f>
        <v>7872.34</v>
      </c>
      <c r="Q111" s="25" t="s">
        <v>85</v>
      </c>
      <c r="R111" s="22" t="s">
        <v>26</v>
      </c>
      <c r="S111" s="25" t="s">
        <v>29</v>
      </c>
      <c r="T111" s="24" t="s">
        <v>30</v>
      </c>
      <c r="U111" s="31" t="s">
        <v>31</v>
      </c>
      <c r="V111" s="31" t="n">
        <v>43234</v>
      </c>
      <c r="W111" s="18"/>
      <c r="X111" s="34"/>
    </row>
    <row r="112" s="32" customFormat="true" ht="13.8" hidden="false" customHeight="false" outlineLevel="0" collapsed="false">
      <c r="A112" s="18"/>
      <c r="B112" s="19" t="n">
        <v>191</v>
      </c>
      <c r="C112" s="20" t="n">
        <v>43131</v>
      </c>
      <c r="D112" s="21" t="s">
        <v>22</v>
      </c>
      <c r="E112" s="22" t="s">
        <v>354</v>
      </c>
      <c r="F112" s="23" t="s">
        <v>355</v>
      </c>
      <c r="G112" s="22" t="s">
        <v>356</v>
      </c>
      <c r="H112" s="24" t="s">
        <v>128</v>
      </c>
      <c r="I112" s="24" t="s">
        <v>57</v>
      </c>
      <c r="J112" s="25" t="n">
        <v>46.4</v>
      </c>
      <c r="K112" s="26" t="n">
        <v>323000</v>
      </c>
      <c r="L112" s="27" t="n">
        <f aca="false">K112/J112</f>
        <v>6961.20689655172</v>
      </c>
      <c r="M112" s="28"/>
      <c r="N112" s="29"/>
      <c r="O112" s="30" t="n">
        <f aca="false">K112+N112</f>
        <v>323000</v>
      </c>
      <c r="P112" s="30" t="n">
        <f aca="false">ROUND(O112/J112, 2)</f>
        <v>6961.21</v>
      </c>
      <c r="Q112" s="25" t="s">
        <v>59</v>
      </c>
      <c r="R112" s="22" t="s">
        <v>26</v>
      </c>
      <c r="S112" s="25" t="s">
        <v>29</v>
      </c>
      <c r="T112" s="24" t="s">
        <v>30</v>
      </c>
      <c r="U112" s="31" t="s">
        <v>31</v>
      </c>
      <c r="V112" s="31" t="n">
        <v>43234</v>
      </c>
      <c r="W112" s="18"/>
      <c r="X112" s="34"/>
    </row>
    <row r="113" s="32" customFormat="true" ht="13.8" hidden="false" customHeight="false" outlineLevel="0" collapsed="false">
      <c r="A113" s="18"/>
      <c r="B113" s="19" t="n">
        <v>210</v>
      </c>
      <c r="C113" s="20" t="n">
        <v>43132</v>
      </c>
      <c r="D113" s="21" t="s">
        <v>22</v>
      </c>
      <c r="E113" s="22" t="s">
        <v>125</v>
      </c>
      <c r="F113" s="23" t="s">
        <v>94</v>
      </c>
      <c r="G113" s="22" t="s">
        <v>213</v>
      </c>
      <c r="H113" s="24" t="s">
        <v>101</v>
      </c>
      <c r="I113" s="24" t="s">
        <v>26</v>
      </c>
      <c r="J113" s="25" t="n">
        <v>55.38</v>
      </c>
      <c r="K113" s="26" t="n">
        <v>509000</v>
      </c>
      <c r="L113" s="27" t="n">
        <f aca="false">K113/J113</f>
        <v>9191.04369808595</v>
      </c>
      <c r="M113" s="28"/>
      <c r="N113" s="29"/>
      <c r="O113" s="30" t="n">
        <f aca="false">K113+N113</f>
        <v>509000</v>
      </c>
      <c r="P113" s="30" t="n">
        <f aca="false">ROUND(O113/J113, 2)</f>
        <v>9191.04</v>
      </c>
      <c r="Q113" s="25" t="s">
        <v>50</v>
      </c>
      <c r="R113" s="22" t="s">
        <v>36</v>
      </c>
      <c r="S113" s="25" t="s">
        <v>29</v>
      </c>
      <c r="T113" s="24" t="s">
        <v>30</v>
      </c>
      <c r="U113" s="31" t="s">
        <v>31</v>
      </c>
      <c r="V113" s="31" t="n">
        <v>43234</v>
      </c>
      <c r="W113" s="34"/>
      <c r="X113" s="34"/>
    </row>
    <row r="114" s="32" customFormat="true" ht="13.8" hidden="false" customHeight="false" outlineLevel="0" collapsed="false">
      <c r="A114" s="18"/>
      <c r="B114" s="19" t="n">
        <v>1</v>
      </c>
      <c r="C114" s="20" t="n">
        <v>43132</v>
      </c>
      <c r="D114" s="21" t="s">
        <v>22</v>
      </c>
      <c r="E114" s="22" t="s">
        <v>229</v>
      </c>
      <c r="F114" s="23" t="s">
        <v>357</v>
      </c>
      <c r="G114" s="22" t="s">
        <v>358</v>
      </c>
      <c r="H114" s="24" t="s">
        <v>359</v>
      </c>
      <c r="I114" s="24" t="s">
        <v>49</v>
      </c>
      <c r="J114" s="25" t="n">
        <v>38.05</v>
      </c>
      <c r="K114" s="26" t="n">
        <v>390000</v>
      </c>
      <c r="L114" s="27" t="n">
        <f aca="false">K114/J114</f>
        <v>10249.6714848883</v>
      </c>
      <c r="M114" s="28" t="s">
        <v>360</v>
      </c>
      <c r="N114" s="29"/>
      <c r="O114" s="30" t="n">
        <f aca="false">K114+N114</f>
        <v>390000</v>
      </c>
      <c r="P114" s="30" t="n">
        <f aca="false">ROUND(O114/J114, 2)</f>
        <v>10249.67</v>
      </c>
      <c r="Q114" s="25" t="s">
        <v>161</v>
      </c>
      <c r="R114" s="22" t="s">
        <v>36</v>
      </c>
      <c r="S114" s="25" t="s">
        <v>29</v>
      </c>
      <c r="T114" s="24" t="s">
        <v>30</v>
      </c>
      <c r="U114" s="31" t="s">
        <v>31</v>
      </c>
      <c r="V114" s="31" t="n">
        <v>43234</v>
      </c>
      <c r="W114" s="34"/>
      <c r="X114" s="34"/>
    </row>
    <row r="115" s="32" customFormat="true" ht="13.8" hidden="false" customHeight="false" outlineLevel="0" collapsed="false">
      <c r="A115" s="18"/>
      <c r="B115" s="19" t="n">
        <v>4270</v>
      </c>
      <c r="C115" s="20" t="n">
        <v>43132</v>
      </c>
      <c r="D115" s="21" t="s">
        <v>22</v>
      </c>
      <c r="E115" s="22" t="s">
        <v>109</v>
      </c>
      <c r="F115" s="23" t="s">
        <v>110</v>
      </c>
      <c r="G115" s="22" t="s">
        <v>111</v>
      </c>
      <c r="H115" s="24" t="s">
        <v>57</v>
      </c>
      <c r="I115" s="24" t="s">
        <v>26</v>
      </c>
      <c r="J115" s="25" t="n">
        <v>57.34</v>
      </c>
      <c r="K115" s="26" t="n">
        <v>540000</v>
      </c>
      <c r="L115" s="27" t="n">
        <f aca="false">K115/J115</f>
        <v>9417.50959190792</v>
      </c>
      <c r="M115" s="28" t="s">
        <v>64</v>
      </c>
      <c r="N115" s="29"/>
      <c r="O115" s="30" t="n">
        <f aca="false">K115+N115</f>
        <v>540000</v>
      </c>
      <c r="P115" s="30" t="n">
        <f aca="false">ROUND(O115/J115, 2)</f>
        <v>9417.51</v>
      </c>
      <c r="Q115" s="25" t="s">
        <v>50</v>
      </c>
      <c r="R115" s="22" t="s">
        <v>36</v>
      </c>
      <c r="S115" s="25" t="s">
        <v>29</v>
      </c>
      <c r="T115" s="24" t="s">
        <v>30</v>
      </c>
      <c r="U115" s="31" t="s">
        <v>31</v>
      </c>
      <c r="V115" s="31" t="n">
        <v>43234</v>
      </c>
      <c r="W115" s="34"/>
      <c r="X115" s="34"/>
    </row>
    <row r="116" s="32" customFormat="true" ht="13.8" hidden="false" customHeight="false" outlineLevel="0" collapsed="false">
      <c r="A116" s="18"/>
      <c r="B116" s="19" t="n">
        <v>656</v>
      </c>
      <c r="C116" s="20" t="n">
        <v>43132</v>
      </c>
      <c r="D116" s="21" t="s">
        <v>22</v>
      </c>
      <c r="E116" s="22" t="s">
        <v>212</v>
      </c>
      <c r="F116" s="23" t="s">
        <v>361</v>
      </c>
      <c r="G116" s="22" t="s">
        <v>362</v>
      </c>
      <c r="H116" s="24" t="s">
        <v>250</v>
      </c>
      <c r="I116" s="24" t="s">
        <v>36</v>
      </c>
      <c r="J116" s="25" t="n">
        <v>33.38</v>
      </c>
      <c r="K116" s="26" t="n">
        <v>348000</v>
      </c>
      <c r="L116" s="27" t="n">
        <f aca="false">K116/J116</f>
        <v>10425.4044337927</v>
      </c>
      <c r="M116" s="28" t="s">
        <v>363</v>
      </c>
      <c r="N116" s="29" t="n">
        <v>20000</v>
      </c>
      <c r="O116" s="30" t="n">
        <f aca="false">K116+N116</f>
        <v>368000</v>
      </c>
      <c r="P116" s="30" t="n">
        <f aca="false">ROUND(O116/J116, 2)</f>
        <v>11024.57</v>
      </c>
      <c r="Q116" s="25"/>
      <c r="R116" s="22"/>
      <c r="S116" s="25" t="s">
        <v>29</v>
      </c>
      <c r="T116" s="24" t="s">
        <v>30</v>
      </c>
      <c r="U116" s="31" t="s">
        <v>31</v>
      </c>
      <c r="V116" s="31" t="n">
        <v>43234</v>
      </c>
      <c r="W116" s="34" t="s">
        <v>364</v>
      </c>
      <c r="X116" s="34"/>
    </row>
    <row r="117" s="32" customFormat="true" ht="13.8" hidden="false" customHeight="false" outlineLevel="0" collapsed="false">
      <c r="A117" s="18"/>
      <c r="B117" s="19" t="n">
        <v>438</v>
      </c>
      <c r="C117" s="20" t="n">
        <v>43132</v>
      </c>
      <c r="D117" s="21" t="s">
        <v>22</v>
      </c>
      <c r="E117" s="22" t="s">
        <v>289</v>
      </c>
      <c r="F117" s="23" t="s">
        <v>46</v>
      </c>
      <c r="G117" s="22" t="s">
        <v>345</v>
      </c>
      <c r="H117" s="24" t="s">
        <v>95</v>
      </c>
      <c r="I117" s="24" t="s">
        <v>25</v>
      </c>
      <c r="J117" s="25" t="n">
        <v>35.92</v>
      </c>
      <c r="K117" s="26" t="n">
        <v>330708</v>
      </c>
      <c r="L117" s="27" t="n">
        <f aca="false">K117/J117</f>
        <v>9206.79287305122</v>
      </c>
      <c r="M117" s="28"/>
      <c r="N117" s="29"/>
      <c r="O117" s="30" t="n">
        <f aca="false">K117+N117</f>
        <v>330708</v>
      </c>
      <c r="P117" s="30" t="n">
        <f aca="false">ROUND(O117/J117, 2)</f>
        <v>9206.79</v>
      </c>
      <c r="Q117" s="25" t="s">
        <v>41</v>
      </c>
      <c r="R117" s="22" t="s">
        <v>27</v>
      </c>
      <c r="S117" s="25" t="s">
        <v>29</v>
      </c>
      <c r="T117" s="24" t="s">
        <v>30</v>
      </c>
      <c r="U117" s="31" t="s">
        <v>31</v>
      </c>
      <c r="V117" s="31" t="n">
        <v>43234</v>
      </c>
      <c r="W117" s="34"/>
      <c r="X117" s="34"/>
    </row>
    <row r="118" customFormat="false" ht="13.8" hidden="false" customHeight="false" outlineLevel="0" collapsed="false">
      <c r="A118" s="18"/>
      <c r="B118" s="19" t="n">
        <v>1185</v>
      </c>
      <c r="C118" s="20" t="n">
        <v>43132</v>
      </c>
      <c r="D118" s="21" t="s">
        <v>22</v>
      </c>
      <c r="E118" s="22" t="s">
        <v>109</v>
      </c>
      <c r="F118" s="23" t="s">
        <v>271</v>
      </c>
      <c r="G118" s="22" t="s">
        <v>210</v>
      </c>
      <c r="H118" s="24" t="s">
        <v>365</v>
      </c>
      <c r="I118" s="24" t="s">
        <v>25</v>
      </c>
      <c r="J118" s="25" t="n">
        <v>46.82</v>
      </c>
      <c r="K118" s="26" t="n">
        <v>600000</v>
      </c>
      <c r="L118" s="27" t="n">
        <f aca="false">K118/J118</f>
        <v>12815.0363092695</v>
      </c>
      <c r="M118" s="28"/>
      <c r="N118" s="29"/>
      <c r="O118" s="30" t="n">
        <f aca="false">K118+N118</f>
        <v>600000</v>
      </c>
      <c r="P118" s="30" t="n">
        <f aca="false">ROUND(O118/J118, 2)</f>
        <v>12815.04</v>
      </c>
      <c r="Q118" s="25" t="s">
        <v>161</v>
      </c>
      <c r="R118" s="22" t="s">
        <v>36</v>
      </c>
      <c r="S118" s="25" t="s">
        <v>29</v>
      </c>
      <c r="T118" s="24" t="s">
        <v>30</v>
      </c>
      <c r="U118" s="31" t="s">
        <v>31</v>
      </c>
      <c r="V118" s="31" t="n">
        <v>43234</v>
      </c>
      <c r="W118" s="34"/>
      <c r="X118" s="34"/>
      <c r="AMJ118" s="32"/>
    </row>
    <row r="119" s="32" customFormat="true" ht="13.8" hidden="false" customHeight="false" outlineLevel="0" collapsed="false">
      <c r="A119" s="18"/>
      <c r="B119" s="19" t="n">
        <v>389</v>
      </c>
      <c r="C119" s="20" t="n">
        <v>43133</v>
      </c>
      <c r="D119" s="21" t="s">
        <v>22</v>
      </c>
      <c r="E119" s="22" t="s">
        <v>53</v>
      </c>
      <c r="F119" s="23" t="s">
        <v>366</v>
      </c>
      <c r="G119" s="22" t="s">
        <v>141</v>
      </c>
      <c r="H119" s="24" t="s">
        <v>367</v>
      </c>
      <c r="I119" s="24" t="s">
        <v>111</v>
      </c>
      <c r="J119" s="25" t="n">
        <f aca="false">49.5-3.1</f>
        <v>46.4</v>
      </c>
      <c r="K119" s="26" t="n">
        <v>355000</v>
      </c>
      <c r="L119" s="27" t="n">
        <f aca="false">K119/J119</f>
        <v>7650.86206896552</v>
      </c>
      <c r="M119" s="28" t="s">
        <v>368</v>
      </c>
      <c r="N119" s="29"/>
      <c r="O119" s="30" t="n">
        <f aca="false">K119+N119</f>
        <v>355000</v>
      </c>
      <c r="P119" s="30" t="n">
        <f aca="false">ROUND(O119/J119, 2)</f>
        <v>7650.86</v>
      </c>
      <c r="Q119" s="25" t="s">
        <v>50</v>
      </c>
      <c r="R119" s="22" t="s">
        <v>36</v>
      </c>
      <c r="S119" s="25" t="s">
        <v>29</v>
      </c>
      <c r="T119" s="24" t="s">
        <v>30</v>
      </c>
      <c r="U119" s="31" t="s">
        <v>31</v>
      </c>
      <c r="V119" s="31" t="n">
        <v>43234</v>
      </c>
      <c r="W119" s="34"/>
      <c r="X119" s="34"/>
    </row>
    <row r="120" customFormat="false" ht="13.8" hidden="false" customHeight="false" outlineLevel="0" collapsed="false">
      <c r="A120" s="18"/>
      <c r="B120" s="19" t="n">
        <v>1323</v>
      </c>
      <c r="C120" s="20" t="n">
        <v>43133</v>
      </c>
      <c r="D120" s="21" t="s">
        <v>22</v>
      </c>
      <c r="E120" s="22" t="s">
        <v>198</v>
      </c>
      <c r="F120" s="23" t="s">
        <v>199</v>
      </c>
      <c r="G120" s="22" t="s">
        <v>135</v>
      </c>
      <c r="H120" s="24" t="s">
        <v>147</v>
      </c>
      <c r="I120" s="24" t="s">
        <v>57</v>
      </c>
      <c r="J120" s="25" t="n">
        <v>54.38</v>
      </c>
      <c r="K120" s="26" t="n">
        <v>349000</v>
      </c>
      <c r="L120" s="27" t="n">
        <f aca="false">K120/J120</f>
        <v>6417.80066200809</v>
      </c>
      <c r="M120" s="28" t="s">
        <v>64</v>
      </c>
      <c r="N120" s="29"/>
      <c r="O120" s="30" t="n">
        <f aca="false">K120+N120</f>
        <v>349000</v>
      </c>
      <c r="P120" s="39" t="n">
        <f aca="false">ROUND(O120/J120,2)</f>
        <v>6417.8</v>
      </c>
      <c r="Q120" s="25" t="s">
        <v>85</v>
      </c>
      <c r="R120" s="22" t="s">
        <v>26</v>
      </c>
      <c r="S120" s="25" t="s">
        <v>29</v>
      </c>
      <c r="T120" s="24" t="s">
        <v>30</v>
      </c>
      <c r="U120" s="31" t="s">
        <v>31</v>
      </c>
      <c r="V120" s="31" t="n">
        <v>43234</v>
      </c>
      <c r="W120" s="18"/>
      <c r="X120" s="18"/>
    </row>
    <row r="121" customFormat="false" ht="13.8" hidden="false" customHeight="false" outlineLevel="0" collapsed="false">
      <c r="A121" s="18"/>
      <c r="B121" s="19" t="n">
        <v>680</v>
      </c>
      <c r="C121" s="20" t="n">
        <v>43133</v>
      </c>
      <c r="D121" s="21" t="s">
        <v>22</v>
      </c>
      <c r="E121" s="22" t="s">
        <v>369</v>
      </c>
      <c r="F121" s="23" t="s">
        <v>370</v>
      </c>
      <c r="G121" s="22" t="s">
        <v>115</v>
      </c>
      <c r="H121" s="24" t="s">
        <v>49</v>
      </c>
      <c r="I121" s="24" t="s">
        <v>36</v>
      </c>
      <c r="J121" s="25" t="n">
        <f aca="false">97.1-2.8</f>
        <v>94.3</v>
      </c>
      <c r="K121" s="26" t="n">
        <v>1170000</v>
      </c>
      <c r="L121" s="27" t="n">
        <f aca="false">K121/J121</f>
        <v>12407.211028632</v>
      </c>
      <c r="M121" s="28" t="s">
        <v>371</v>
      </c>
      <c r="N121" s="29" t="n">
        <v>30000</v>
      </c>
      <c r="O121" s="30" t="n">
        <f aca="false">K121+N121</f>
        <v>1200000</v>
      </c>
      <c r="P121" s="30" t="n">
        <f aca="false">ROUND(O121/J121, 2)</f>
        <v>12725.34</v>
      </c>
      <c r="Q121" s="25" t="s">
        <v>85</v>
      </c>
      <c r="R121" s="22" t="s">
        <v>49</v>
      </c>
      <c r="S121" s="25" t="s">
        <v>29</v>
      </c>
      <c r="T121" s="24" t="s">
        <v>30</v>
      </c>
      <c r="U121" s="31" t="s">
        <v>31</v>
      </c>
      <c r="V121" s="31" t="n">
        <v>43234</v>
      </c>
      <c r="W121" s="34"/>
      <c r="X121" s="34"/>
    </row>
    <row r="122" customFormat="false" ht="13.8" hidden="false" customHeight="false" outlineLevel="0" collapsed="false">
      <c r="A122" s="18"/>
      <c r="B122" s="19" t="n">
        <v>1</v>
      </c>
      <c r="C122" s="20" t="n">
        <v>43133</v>
      </c>
      <c r="D122" s="21" t="s">
        <v>22</v>
      </c>
      <c r="E122" s="22" t="s">
        <v>372</v>
      </c>
      <c r="F122" s="23" t="s">
        <v>272</v>
      </c>
      <c r="G122" s="22" t="s">
        <v>217</v>
      </c>
      <c r="H122" s="24" t="s">
        <v>373</v>
      </c>
      <c r="I122" s="24" t="s">
        <v>25</v>
      </c>
      <c r="J122" s="25" t="n">
        <f aca="false">51.26-3.88</f>
        <v>47.38</v>
      </c>
      <c r="K122" s="26" t="n">
        <v>494000</v>
      </c>
      <c r="L122" s="27" t="n">
        <f aca="false">K122/J122</f>
        <v>10426.3402279443</v>
      </c>
      <c r="M122" s="28" t="s">
        <v>374</v>
      </c>
      <c r="N122" s="29" t="n">
        <v>40000</v>
      </c>
      <c r="O122" s="30" t="n">
        <f aca="false">K122+N122</f>
        <v>534000</v>
      </c>
      <c r="P122" s="30" t="n">
        <f aca="false">ROUND(O122/J122, 2)</f>
        <v>11270.58</v>
      </c>
      <c r="Q122" s="25" t="s">
        <v>161</v>
      </c>
      <c r="R122" s="22" t="s">
        <v>36</v>
      </c>
      <c r="S122" s="25" t="s">
        <v>29</v>
      </c>
      <c r="T122" s="24" t="s">
        <v>30</v>
      </c>
      <c r="U122" s="31" t="s">
        <v>31</v>
      </c>
      <c r="V122" s="31" t="n">
        <v>43234</v>
      </c>
      <c r="W122" s="18"/>
      <c r="X122" s="18"/>
    </row>
    <row r="123" customFormat="false" ht="13.8" hidden="false" customHeight="false" outlineLevel="0" collapsed="false">
      <c r="A123" s="18"/>
      <c r="B123" s="19" t="n">
        <v>1193</v>
      </c>
      <c r="C123" s="20" t="n">
        <v>43134</v>
      </c>
      <c r="D123" s="21" t="s">
        <v>22</v>
      </c>
      <c r="E123" s="22" t="s">
        <v>375</v>
      </c>
      <c r="F123" s="23" t="s">
        <v>376</v>
      </c>
      <c r="G123" s="22" t="s">
        <v>36</v>
      </c>
      <c r="H123" s="24" t="s">
        <v>294</v>
      </c>
      <c r="I123" s="24" t="s">
        <v>36</v>
      </c>
      <c r="J123" s="25" t="n">
        <v>76.78</v>
      </c>
      <c r="K123" s="26" t="n">
        <v>750000</v>
      </c>
      <c r="L123" s="27" t="n">
        <f aca="false">K123/J123</f>
        <v>9768.16879395676</v>
      </c>
      <c r="M123" s="28"/>
      <c r="N123" s="29"/>
      <c r="O123" s="30" t="n">
        <f aca="false">K123+N123</f>
        <v>750000</v>
      </c>
      <c r="P123" s="30" t="n">
        <f aca="false">ROUND(O123/J123, 2)</f>
        <v>9768.17</v>
      </c>
      <c r="Q123" s="25" t="s">
        <v>50</v>
      </c>
      <c r="R123" s="22" t="s">
        <v>36</v>
      </c>
      <c r="S123" s="25" t="s">
        <v>29</v>
      </c>
      <c r="T123" s="24" t="s">
        <v>30</v>
      </c>
      <c r="U123" s="31" t="s">
        <v>31</v>
      </c>
      <c r="V123" s="31" t="n">
        <v>43234</v>
      </c>
      <c r="W123" s="18"/>
      <c r="X123" s="18"/>
    </row>
    <row r="124" customFormat="false" ht="13.8" hidden="false" customHeight="false" outlineLevel="0" collapsed="false">
      <c r="A124" s="18"/>
      <c r="B124" s="19" t="n">
        <v>269</v>
      </c>
      <c r="C124" s="20" t="n">
        <v>43136</v>
      </c>
      <c r="D124" s="21" t="s">
        <v>22</v>
      </c>
      <c r="E124" s="22" t="s">
        <v>319</v>
      </c>
      <c r="F124" s="23" t="s">
        <v>320</v>
      </c>
      <c r="G124" s="22" t="s">
        <v>321</v>
      </c>
      <c r="H124" s="24" t="s">
        <v>377</v>
      </c>
      <c r="I124" s="24" t="s">
        <v>57</v>
      </c>
      <c r="J124" s="25" t="n">
        <v>49.67</v>
      </c>
      <c r="K124" s="26" t="n">
        <v>498000</v>
      </c>
      <c r="L124" s="27" t="n">
        <f aca="false">K124/J124</f>
        <v>10026.1727400846</v>
      </c>
      <c r="M124" s="28" t="s">
        <v>205</v>
      </c>
      <c r="N124" s="29" t="n">
        <v>35000</v>
      </c>
      <c r="O124" s="30" t="n">
        <f aca="false">K124+N124</f>
        <v>533000</v>
      </c>
      <c r="P124" s="30" t="n">
        <f aca="false">ROUND(O124/J124, 2)</f>
        <v>10730.82</v>
      </c>
      <c r="Q124" s="25" t="s">
        <v>161</v>
      </c>
      <c r="R124" s="22" t="s">
        <v>36</v>
      </c>
      <c r="S124" s="25" t="s">
        <v>29</v>
      </c>
      <c r="T124" s="24" t="s">
        <v>30</v>
      </c>
      <c r="U124" s="31" t="s">
        <v>31</v>
      </c>
      <c r="V124" s="31" t="n">
        <v>43234</v>
      </c>
      <c r="W124" s="18"/>
      <c r="X124" s="18"/>
    </row>
    <row r="125" customFormat="false" ht="13.8" hidden="false" customHeight="false" outlineLevel="0" collapsed="false">
      <c r="A125" s="18"/>
      <c r="B125" s="19" t="n">
        <v>1287</v>
      </c>
      <c r="C125" s="20" t="n">
        <v>43136</v>
      </c>
      <c r="D125" s="21" t="s">
        <v>22</v>
      </c>
      <c r="E125" s="22" t="s">
        <v>378</v>
      </c>
      <c r="F125" s="23" t="s">
        <v>379</v>
      </c>
      <c r="G125" s="22" t="s">
        <v>26</v>
      </c>
      <c r="H125" s="24" t="s">
        <v>380</v>
      </c>
      <c r="I125" s="24" t="s">
        <v>101</v>
      </c>
      <c r="J125" s="25" t="n">
        <v>73.7</v>
      </c>
      <c r="K125" s="26" t="n">
        <v>814000</v>
      </c>
      <c r="L125" s="27" t="n">
        <f aca="false">K125/J125</f>
        <v>11044.776119403</v>
      </c>
      <c r="M125" s="28" t="s">
        <v>205</v>
      </c>
      <c r="N125" s="29" t="n">
        <v>40000</v>
      </c>
      <c r="O125" s="30" t="n">
        <f aca="false">K125+N125</f>
        <v>854000</v>
      </c>
      <c r="P125" s="30" t="n">
        <f aca="false">ROUND(O125/J125, 2)</f>
        <v>11587.52</v>
      </c>
      <c r="Q125" s="25" t="s">
        <v>85</v>
      </c>
      <c r="R125" s="22" t="s">
        <v>26</v>
      </c>
      <c r="S125" s="25" t="s">
        <v>29</v>
      </c>
      <c r="T125" s="24" t="s">
        <v>30</v>
      </c>
      <c r="U125" s="31" t="s">
        <v>31</v>
      </c>
      <c r="V125" s="31" t="n">
        <v>43234</v>
      </c>
      <c r="W125" s="18"/>
      <c r="X125" s="18"/>
    </row>
    <row r="126" customFormat="false" ht="13.8" hidden="false" customHeight="false" outlineLevel="0" collapsed="false">
      <c r="A126" s="18"/>
      <c r="B126" s="19" t="n">
        <v>2229</v>
      </c>
      <c r="C126" s="20" t="n">
        <v>43136</v>
      </c>
      <c r="D126" s="21" t="s">
        <v>22</v>
      </c>
      <c r="E126" s="22" t="s">
        <v>203</v>
      </c>
      <c r="F126" s="23" t="s">
        <v>138</v>
      </c>
      <c r="G126" s="22" t="s">
        <v>200</v>
      </c>
      <c r="H126" s="24" t="s">
        <v>381</v>
      </c>
      <c r="I126" s="24" t="s">
        <v>82</v>
      </c>
      <c r="J126" s="25" t="n">
        <f aca="false">39.27-2.09</f>
        <v>37.18</v>
      </c>
      <c r="K126" s="26" t="n">
        <v>360000</v>
      </c>
      <c r="L126" s="27" t="n">
        <f aca="false">K126/J126</f>
        <v>9682.62506724045</v>
      </c>
      <c r="M126" s="28" t="s">
        <v>382</v>
      </c>
      <c r="N126" s="29" t="n">
        <v>25000</v>
      </c>
      <c r="O126" s="30" t="n">
        <f aca="false">K126+N126</f>
        <v>385000</v>
      </c>
      <c r="P126" s="30" t="n">
        <f aca="false">ROUND(O126/J126, 2)</f>
        <v>10355.03</v>
      </c>
      <c r="Q126" s="25" t="s">
        <v>383</v>
      </c>
      <c r="R126" s="22" t="s">
        <v>27</v>
      </c>
      <c r="S126" s="25" t="s">
        <v>29</v>
      </c>
      <c r="T126" s="24" t="s">
        <v>30</v>
      </c>
      <c r="U126" s="31" t="s">
        <v>31</v>
      </c>
      <c r="V126" s="31" t="n">
        <v>43234</v>
      </c>
      <c r="W126" s="18"/>
      <c r="X126" s="18"/>
      <c r="AMJ126" s="32"/>
    </row>
    <row r="127" s="32" customFormat="true" ht="13.8" hidden="false" customHeight="false" outlineLevel="0" collapsed="false">
      <c r="A127" s="18"/>
      <c r="B127" s="19" t="n">
        <v>4690</v>
      </c>
      <c r="C127" s="20" t="n">
        <v>43136</v>
      </c>
      <c r="D127" s="21" t="s">
        <v>22</v>
      </c>
      <c r="E127" s="22" t="s">
        <v>322</v>
      </c>
      <c r="F127" s="23" t="s">
        <v>323</v>
      </c>
      <c r="G127" s="22" t="s">
        <v>384</v>
      </c>
      <c r="H127" s="24" t="s">
        <v>385</v>
      </c>
      <c r="I127" s="24" t="s">
        <v>25</v>
      </c>
      <c r="J127" s="25" t="n">
        <v>29.92</v>
      </c>
      <c r="K127" s="26" t="n">
        <v>305000</v>
      </c>
      <c r="L127" s="27" t="n">
        <f aca="false">K127/J127</f>
        <v>10193.8502673797</v>
      </c>
      <c r="M127" s="28"/>
      <c r="N127" s="29"/>
      <c r="O127" s="30" t="n">
        <f aca="false">K127+N127</f>
        <v>305000</v>
      </c>
      <c r="P127" s="30" t="n">
        <f aca="false">ROUND(O127/J127, 2)</f>
        <v>10193.85</v>
      </c>
      <c r="Q127" s="25" t="s">
        <v>41</v>
      </c>
      <c r="R127" s="22" t="s">
        <v>27</v>
      </c>
      <c r="S127" s="25" t="s">
        <v>29</v>
      </c>
      <c r="T127" s="24" t="s">
        <v>30</v>
      </c>
      <c r="U127" s="31" t="s">
        <v>31</v>
      </c>
      <c r="V127" s="31" t="n">
        <v>43234</v>
      </c>
      <c r="W127" s="18"/>
      <c r="X127" s="18"/>
    </row>
    <row r="128" s="32" customFormat="true" ht="13.8" hidden="false" customHeight="false" outlineLevel="0" collapsed="false">
      <c r="A128" s="18"/>
      <c r="B128" s="19" t="n">
        <v>6019</v>
      </c>
      <c r="C128" s="20" t="n">
        <v>43136</v>
      </c>
      <c r="D128" s="21" t="s">
        <v>22</v>
      </c>
      <c r="E128" s="22" t="s">
        <v>354</v>
      </c>
      <c r="F128" s="23" t="s">
        <v>386</v>
      </c>
      <c r="G128" s="22" t="s">
        <v>294</v>
      </c>
      <c r="H128" s="24" t="s">
        <v>68</v>
      </c>
      <c r="I128" s="24" t="s">
        <v>26</v>
      </c>
      <c r="J128" s="25" t="n">
        <v>46.01</v>
      </c>
      <c r="K128" s="26" t="n">
        <v>370000</v>
      </c>
      <c r="L128" s="27" t="n">
        <f aca="false">K128/J128</f>
        <v>8041.73005868289</v>
      </c>
      <c r="M128" s="28" t="s">
        <v>64</v>
      </c>
      <c r="N128" s="29"/>
      <c r="O128" s="30" t="n">
        <f aca="false">K128+N128</f>
        <v>370000</v>
      </c>
      <c r="P128" s="30" t="n">
        <f aca="false">ROUND(O128/J128, 2)</f>
        <v>8041.73</v>
      </c>
      <c r="Q128" s="25" t="s">
        <v>50</v>
      </c>
      <c r="R128" s="22" t="s">
        <v>36</v>
      </c>
      <c r="S128" s="25" t="s">
        <v>29</v>
      </c>
      <c r="T128" s="24" t="s">
        <v>30</v>
      </c>
      <c r="U128" s="31" t="s">
        <v>31</v>
      </c>
      <c r="V128" s="31" t="n">
        <v>43234</v>
      </c>
      <c r="W128" s="18"/>
      <c r="X128" s="18"/>
    </row>
    <row r="129" s="32" customFormat="true" ht="13.8" hidden="false" customHeight="false" outlineLevel="0" collapsed="false">
      <c r="A129" s="18"/>
      <c r="B129" s="19" t="n">
        <v>850</v>
      </c>
      <c r="C129" s="20" t="n">
        <v>43136</v>
      </c>
      <c r="D129" s="21" t="s">
        <v>22</v>
      </c>
      <c r="E129" s="22" t="s">
        <v>72</v>
      </c>
      <c r="F129" s="23" t="s">
        <v>387</v>
      </c>
      <c r="G129" s="22" t="s">
        <v>68</v>
      </c>
      <c r="H129" s="24" t="s">
        <v>112</v>
      </c>
      <c r="I129" s="24" t="s">
        <v>49</v>
      </c>
      <c r="J129" s="25" t="n">
        <f aca="false">99.72-4.5</f>
        <v>95.22</v>
      </c>
      <c r="K129" s="26" t="n">
        <v>695000</v>
      </c>
      <c r="L129" s="27" t="n">
        <f aca="false">K129/J129</f>
        <v>7298.88678848981</v>
      </c>
      <c r="M129" s="28" t="s">
        <v>388</v>
      </c>
      <c r="N129" s="29"/>
      <c r="O129" s="30" t="n">
        <f aca="false">K129+N129</f>
        <v>695000</v>
      </c>
      <c r="P129" s="30" t="n">
        <f aca="false">ROUND(O129/J129, 2)</f>
        <v>7298.89</v>
      </c>
      <c r="Q129" s="25" t="s">
        <v>85</v>
      </c>
      <c r="R129" s="22" t="s">
        <v>26</v>
      </c>
      <c r="S129" s="25" t="s">
        <v>29</v>
      </c>
      <c r="T129" s="24" t="s">
        <v>30</v>
      </c>
      <c r="U129" s="31" t="s">
        <v>31</v>
      </c>
      <c r="V129" s="31" t="n">
        <v>43234</v>
      </c>
      <c r="W129" s="34"/>
      <c r="X129" s="34"/>
    </row>
    <row r="130" s="32" customFormat="true" ht="13.8" hidden="false" customHeight="false" outlineLevel="0" collapsed="false">
      <c r="A130" s="18"/>
      <c r="B130" s="19" t="n">
        <v>765</v>
      </c>
      <c r="C130" s="20" t="n">
        <v>43136</v>
      </c>
      <c r="D130" s="21" t="s">
        <v>22</v>
      </c>
      <c r="E130" s="22" t="s">
        <v>389</v>
      </c>
      <c r="F130" s="23" t="s">
        <v>46</v>
      </c>
      <c r="G130" s="22" t="s">
        <v>390</v>
      </c>
      <c r="H130" s="24" t="s">
        <v>135</v>
      </c>
      <c r="I130" s="24" t="s">
        <v>26</v>
      </c>
      <c r="J130" s="25" t="n">
        <f aca="false">80.61-2.45</f>
        <v>78.16</v>
      </c>
      <c r="K130" s="26" t="n">
        <v>630000</v>
      </c>
      <c r="L130" s="27" t="n">
        <f aca="false">K130/J130</f>
        <v>8060.3889457523</v>
      </c>
      <c r="M130" s="28" t="s">
        <v>391</v>
      </c>
      <c r="N130" s="29"/>
      <c r="O130" s="30" t="n">
        <f aca="false">K130+N130</f>
        <v>630000</v>
      </c>
      <c r="P130" s="30" t="n">
        <f aca="false">ROUND(O130/J130, 2)</f>
        <v>8060.39</v>
      </c>
      <c r="Q130" s="25" t="s">
        <v>91</v>
      </c>
      <c r="R130" s="22" t="s">
        <v>49</v>
      </c>
      <c r="S130" s="25" t="s">
        <v>29</v>
      </c>
      <c r="T130" s="24" t="s">
        <v>30</v>
      </c>
      <c r="U130" s="31" t="s">
        <v>31</v>
      </c>
      <c r="V130" s="31" t="n">
        <v>43234</v>
      </c>
      <c r="W130" s="34"/>
      <c r="X130" s="34"/>
    </row>
    <row r="131" customFormat="false" ht="13.8" hidden="false" customHeight="false" outlineLevel="0" collapsed="false">
      <c r="A131" s="18"/>
      <c r="B131" s="19" t="n">
        <v>14</v>
      </c>
      <c r="C131" s="20" t="n">
        <v>43136</v>
      </c>
      <c r="D131" s="21" t="s">
        <v>22</v>
      </c>
      <c r="E131" s="22" t="s">
        <v>187</v>
      </c>
      <c r="F131" s="23" t="s">
        <v>271</v>
      </c>
      <c r="G131" s="22" t="s">
        <v>105</v>
      </c>
      <c r="H131" s="24" t="s">
        <v>89</v>
      </c>
      <c r="I131" s="24" t="s">
        <v>26</v>
      </c>
      <c r="J131" s="25" t="n">
        <v>50.16</v>
      </c>
      <c r="K131" s="26" t="n">
        <v>530000</v>
      </c>
      <c r="L131" s="27" t="n">
        <f aca="false">K131/J131</f>
        <v>10566.1881977671</v>
      </c>
      <c r="M131" s="28" t="s">
        <v>64</v>
      </c>
      <c r="N131" s="29"/>
      <c r="O131" s="30" t="n">
        <f aca="false">K131+N131</f>
        <v>530000</v>
      </c>
      <c r="P131" s="30" t="n">
        <f aca="false">ROUND(O131/J131, 2)</f>
        <v>10566.19</v>
      </c>
      <c r="Q131" s="25" t="s">
        <v>50</v>
      </c>
      <c r="R131" s="22" t="s">
        <v>36</v>
      </c>
      <c r="S131" s="25" t="s">
        <v>29</v>
      </c>
      <c r="T131" s="24" t="s">
        <v>30</v>
      </c>
      <c r="U131" s="31" t="s">
        <v>31</v>
      </c>
      <c r="V131" s="31" t="n">
        <v>43234</v>
      </c>
      <c r="W131" s="34"/>
      <c r="X131" s="34"/>
    </row>
    <row r="132" customFormat="false" ht="13.8" hidden="false" customHeight="false" outlineLevel="0" collapsed="false">
      <c r="A132" s="18"/>
      <c r="B132" s="19" t="n">
        <v>715</v>
      </c>
      <c r="C132" s="20" t="n">
        <v>43137</v>
      </c>
      <c r="D132" s="21" t="s">
        <v>22</v>
      </c>
      <c r="E132" s="22" t="s">
        <v>23</v>
      </c>
      <c r="F132" s="23" t="s">
        <v>43</v>
      </c>
      <c r="G132" s="22" t="s">
        <v>47</v>
      </c>
      <c r="H132" s="24" t="s">
        <v>77</v>
      </c>
      <c r="I132" s="24" t="s">
        <v>26</v>
      </c>
      <c r="J132" s="25" t="n">
        <v>48.9</v>
      </c>
      <c r="K132" s="26" t="n">
        <v>548000</v>
      </c>
      <c r="L132" s="27" t="n">
        <f aca="false">K132/J132</f>
        <v>11206.5439672802</v>
      </c>
      <c r="M132" s="28" t="s">
        <v>64</v>
      </c>
      <c r="N132" s="29"/>
      <c r="O132" s="30" t="n">
        <f aca="false">K132+N132</f>
        <v>548000</v>
      </c>
      <c r="P132" s="30" t="n">
        <f aca="false">ROUND(O132/J132, 2)</f>
        <v>11206.54</v>
      </c>
      <c r="Q132" s="25" t="s">
        <v>50</v>
      </c>
      <c r="R132" s="22" t="s">
        <v>36</v>
      </c>
      <c r="S132" s="25" t="s">
        <v>29</v>
      </c>
      <c r="T132" s="24" t="s">
        <v>30</v>
      </c>
      <c r="U132" s="31" t="s">
        <v>31</v>
      </c>
      <c r="V132" s="31" t="n">
        <v>43234</v>
      </c>
      <c r="W132" s="34"/>
      <c r="X132" s="34"/>
    </row>
    <row r="133" customFormat="false" ht="13.8" hidden="false" customHeight="false" outlineLevel="0" collapsed="false">
      <c r="A133" s="18"/>
      <c r="B133" s="19" t="n">
        <v>890</v>
      </c>
      <c r="C133" s="20" t="n">
        <v>43138</v>
      </c>
      <c r="D133" s="21" t="s">
        <v>22</v>
      </c>
      <c r="E133" s="22" t="s">
        <v>156</v>
      </c>
      <c r="F133" s="23" t="s">
        <v>392</v>
      </c>
      <c r="G133" s="22" t="s">
        <v>393</v>
      </c>
      <c r="H133" s="24" t="s">
        <v>36</v>
      </c>
      <c r="I133" s="24" t="s">
        <v>27</v>
      </c>
      <c r="J133" s="25" t="n">
        <v>44.23</v>
      </c>
      <c r="K133" s="26" t="n">
        <v>370000</v>
      </c>
      <c r="L133" s="27" t="n">
        <f aca="false">K133/J133</f>
        <v>8365.3628758761</v>
      </c>
      <c r="M133" s="28"/>
      <c r="N133" s="29"/>
      <c r="O133" s="30" t="n">
        <f aca="false">K133+N133</f>
        <v>370000</v>
      </c>
      <c r="P133" s="30" t="n">
        <f aca="false">ROUND(O133/J133, 2)</f>
        <v>8365.36</v>
      </c>
      <c r="Q133" s="25" t="s">
        <v>161</v>
      </c>
      <c r="R133" s="22" t="s">
        <v>36</v>
      </c>
      <c r="S133" s="25" t="s">
        <v>29</v>
      </c>
      <c r="T133" s="24" t="s">
        <v>30</v>
      </c>
      <c r="U133" s="31" t="s">
        <v>31</v>
      </c>
      <c r="V133" s="31" t="n">
        <v>43234</v>
      </c>
      <c r="W133" s="18"/>
      <c r="X133" s="18"/>
      <c r="AMJ133" s="32"/>
    </row>
    <row r="134" s="32" customFormat="true" ht="13.8" hidden="false" customHeight="false" outlineLevel="0" collapsed="false">
      <c r="A134" s="18"/>
      <c r="B134" s="19" t="n">
        <v>267</v>
      </c>
      <c r="C134" s="20" t="n">
        <v>43138</v>
      </c>
      <c r="D134" s="21" t="s">
        <v>22</v>
      </c>
      <c r="E134" s="22" t="s">
        <v>203</v>
      </c>
      <c r="F134" s="23" t="s">
        <v>138</v>
      </c>
      <c r="G134" s="22" t="s">
        <v>112</v>
      </c>
      <c r="H134" s="24" t="s">
        <v>394</v>
      </c>
      <c r="I134" s="24" t="s">
        <v>111</v>
      </c>
      <c r="J134" s="25" t="n">
        <v>30.55</v>
      </c>
      <c r="K134" s="26" t="n">
        <v>295000</v>
      </c>
      <c r="L134" s="27" t="n">
        <f aca="false">K134/J134</f>
        <v>9656.30114566285</v>
      </c>
      <c r="M134" s="28"/>
      <c r="N134" s="29"/>
      <c r="O134" s="30" t="n">
        <f aca="false">K134+N134</f>
        <v>295000</v>
      </c>
      <c r="P134" s="30" t="n">
        <f aca="false">ROUND(O134/J134, 2)</f>
        <v>9656.3</v>
      </c>
      <c r="Q134" s="25" t="s">
        <v>383</v>
      </c>
      <c r="R134" s="22" t="s">
        <v>27</v>
      </c>
      <c r="S134" s="25" t="s">
        <v>29</v>
      </c>
      <c r="T134" s="24" t="s">
        <v>30</v>
      </c>
      <c r="U134" s="31" t="s">
        <v>31</v>
      </c>
      <c r="V134" s="31" t="n">
        <v>43234</v>
      </c>
      <c r="W134" s="18"/>
      <c r="X134" s="18"/>
      <c r="Y134" s="35"/>
      <c r="Z134" s="36"/>
    </row>
    <row r="135" s="32" customFormat="true" ht="13.8" hidden="false" customHeight="false" outlineLevel="0" collapsed="false">
      <c r="A135" s="18"/>
      <c r="B135" s="19" t="n">
        <v>975</v>
      </c>
      <c r="C135" s="20" t="n">
        <v>43138</v>
      </c>
      <c r="D135" s="21" t="s">
        <v>22</v>
      </c>
      <c r="E135" s="22" t="s">
        <v>42</v>
      </c>
      <c r="F135" s="42" t="s">
        <v>301</v>
      </c>
      <c r="G135" s="22" t="s">
        <v>395</v>
      </c>
      <c r="H135" s="24" t="s">
        <v>396</v>
      </c>
      <c r="I135" s="24" t="s">
        <v>82</v>
      </c>
      <c r="J135" s="25" t="n">
        <f aca="false">38.65-2.65</f>
        <v>36</v>
      </c>
      <c r="K135" s="26" t="n">
        <v>295101</v>
      </c>
      <c r="L135" s="27" t="n">
        <f aca="false">K135/J135</f>
        <v>8197.25</v>
      </c>
      <c r="M135" s="28" t="s">
        <v>397</v>
      </c>
      <c r="N135" s="29"/>
      <c r="O135" s="30" t="n">
        <f aca="false">K135+N135</f>
        <v>295101</v>
      </c>
      <c r="P135" s="30" t="n">
        <f aca="false">ROUND(O135/J135, 2)</f>
        <v>8197.25</v>
      </c>
      <c r="Q135" s="25" t="s">
        <v>398</v>
      </c>
      <c r="R135" s="22" t="s">
        <v>36</v>
      </c>
      <c r="S135" s="25" t="s">
        <v>29</v>
      </c>
      <c r="T135" s="24" t="s">
        <v>30</v>
      </c>
      <c r="U135" s="31" t="s">
        <v>31</v>
      </c>
      <c r="V135" s="31" t="n">
        <v>43234</v>
      </c>
      <c r="W135" s="18"/>
      <c r="X135" s="18"/>
      <c r="Y135" s="1"/>
      <c r="Z135" s="1"/>
    </row>
    <row r="136" customFormat="false" ht="13.8" hidden="false" customHeight="false" outlineLevel="0" collapsed="false">
      <c r="A136" s="18"/>
      <c r="B136" s="19" t="n">
        <v>1467</v>
      </c>
      <c r="C136" s="20" t="n">
        <v>43138</v>
      </c>
      <c r="D136" s="21" t="s">
        <v>22</v>
      </c>
      <c r="E136" s="22" t="s">
        <v>399</v>
      </c>
      <c r="F136" s="23" t="s">
        <v>400</v>
      </c>
      <c r="G136" s="22" t="s">
        <v>36</v>
      </c>
      <c r="H136" s="24" t="s">
        <v>25</v>
      </c>
      <c r="I136" s="24" t="s">
        <v>26</v>
      </c>
      <c r="J136" s="25" t="n">
        <v>61.71</v>
      </c>
      <c r="K136" s="26" t="n">
        <v>685000</v>
      </c>
      <c r="L136" s="27" t="n">
        <f aca="false">K136/J136</f>
        <v>11100.3078917517</v>
      </c>
      <c r="M136" s="28" t="s">
        <v>205</v>
      </c>
      <c r="N136" s="29" t="n">
        <v>40000</v>
      </c>
      <c r="O136" s="30" t="n">
        <f aca="false">K136+N136</f>
        <v>725000</v>
      </c>
      <c r="P136" s="30" t="n">
        <f aca="false">ROUND(O136/J136, 2)</f>
        <v>11748.5</v>
      </c>
      <c r="Q136" s="25" t="s">
        <v>50</v>
      </c>
      <c r="R136" s="22" t="s">
        <v>36</v>
      </c>
      <c r="S136" s="25" t="s">
        <v>29</v>
      </c>
      <c r="T136" s="24" t="s">
        <v>30</v>
      </c>
      <c r="U136" s="31" t="s">
        <v>31</v>
      </c>
      <c r="V136" s="31" t="n">
        <v>43234</v>
      </c>
      <c r="W136" s="34"/>
      <c r="X136" s="34"/>
    </row>
    <row r="137" customFormat="false" ht="13.8" hidden="false" customHeight="false" outlineLevel="0" collapsed="false">
      <c r="A137" s="18"/>
      <c r="B137" s="19" t="n">
        <v>784</v>
      </c>
      <c r="C137" s="20" t="n">
        <v>43138</v>
      </c>
      <c r="D137" s="21" t="s">
        <v>22</v>
      </c>
      <c r="E137" s="22" t="s">
        <v>187</v>
      </c>
      <c r="F137" s="23" t="s">
        <v>401</v>
      </c>
      <c r="G137" s="22" t="s">
        <v>202</v>
      </c>
      <c r="H137" s="24" t="s">
        <v>147</v>
      </c>
      <c r="I137" s="24" t="s">
        <v>26</v>
      </c>
      <c r="J137" s="25" t="n">
        <v>46.06</v>
      </c>
      <c r="K137" s="26" t="n">
        <v>490000</v>
      </c>
      <c r="L137" s="27" t="n">
        <f aca="false">K137/J137</f>
        <v>10638.2978723404</v>
      </c>
      <c r="M137" s="28"/>
      <c r="N137" s="29"/>
      <c r="O137" s="30" t="n">
        <f aca="false">K137+N137</f>
        <v>490000</v>
      </c>
      <c r="P137" s="30" t="n">
        <f aca="false">ROUND(O137/J137, 2)</f>
        <v>10638.3</v>
      </c>
      <c r="Q137" s="25" t="s">
        <v>50</v>
      </c>
      <c r="R137" s="22" t="s">
        <v>36</v>
      </c>
      <c r="S137" s="25" t="s">
        <v>29</v>
      </c>
      <c r="T137" s="24" t="s">
        <v>30</v>
      </c>
      <c r="U137" s="31" t="s">
        <v>31</v>
      </c>
      <c r="V137" s="31" t="n">
        <v>43234</v>
      </c>
      <c r="W137" s="34"/>
      <c r="X137" s="34"/>
    </row>
    <row r="138" customFormat="false" ht="13.8" hidden="false" customHeight="false" outlineLevel="0" collapsed="false">
      <c r="A138" s="18"/>
      <c r="B138" s="19" t="n">
        <v>885</v>
      </c>
      <c r="C138" s="20" t="n">
        <v>43138</v>
      </c>
      <c r="D138" s="21" t="s">
        <v>22</v>
      </c>
      <c r="E138" s="22" t="s">
        <v>93</v>
      </c>
      <c r="F138" s="23" t="s">
        <v>402</v>
      </c>
      <c r="G138" s="22" t="s">
        <v>47</v>
      </c>
      <c r="H138" s="24" t="s">
        <v>49</v>
      </c>
      <c r="I138" s="24" t="s">
        <v>36</v>
      </c>
      <c r="J138" s="25" t="n">
        <f aca="false">40-2.3</f>
        <v>37.7</v>
      </c>
      <c r="K138" s="26" t="n">
        <v>345000</v>
      </c>
      <c r="L138" s="27" t="n">
        <f aca="false">K138/J138</f>
        <v>9151.19363395226</v>
      </c>
      <c r="M138" s="28" t="s">
        <v>403</v>
      </c>
      <c r="N138" s="29"/>
      <c r="O138" s="30" t="n">
        <f aca="false">K138+N138</f>
        <v>345000</v>
      </c>
      <c r="P138" s="30" t="n">
        <f aca="false">ROUND(O138/J138, 2)</f>
        <v>9151.19</v>
      </c>
      <c r="Q138" s="25" t="s">
        <v>50</v>
      </c>
      <c r="R138" s="22" t="s">
        <v>36</v>
      </c>
      <c r="S138" s="25" t="s">
        <v>29</v>
      </c>
      <c r="T138" s="24" t="s">
        <v>30</v>
      </c>
      <c r="U138" s="31" t="s">
        <v>31</v>
      </c>
      <c r="V138" s="31" t="n">
        <v>43234</v>
      </c>
      <c r="W138" s="18"/>
      <c r="X138" s="18"/>
    </row>
    <row r="139" customFormat="false" ht="13.8" hidden="false" customHeight="false" outlineLevel="0" collapsed="false">
      <c r="A139" s="18"/>
      <c r="B139" s="19" t="n">
        <v>721</v>
      </c>
      <c r="C139" s="20" t="n">
        <v>43138</v>
      </c>
      <c r="D139" s="21" t="s">
        <v>22</v>
      </c>
      <c r="E139" s="22" t="s">
        <v>284</v>
      </c>
      <c r="F139" s="23" t="s">
        <v>404</v>
      </c>
      <c r="G139" s="22" t="s">
        <v>154</v>
      </c>
      <c r="H139" s="24" t="s">
        <v>47</v>
      </c>
      <c r="I139" s="24" t="s">
        <v>36</v>
      </c>
      <c r="J139" s="25" t="n">
        <f aca="false">70.51</f>
        <v>70.51</v>
      </c>
      <c r="K139" s="26" t="n">
        <v>800000</v>
      </c>
      <c r="L139" s="27" t="n">
        <f aca="false">K139/J139</f>
        <v>11345.9083817898</v>
      </c>
      <c r="M139" s="28" t="s">
        <v>405</v>
      </c>
      <c r="N139" s="29"/>
      <c r="O139" s="30" t="n">
        <f aca="false">K139+N139</f>
        <v>800000</v>
      </c>
      <c r="P139" s="30" t="n">
        <f aca="false">ROUND(O139/J139, 2)</f>
        <v>11345.91</v>
      </c>
      <c r="Q139" s="25" t="s">
        <v>85</v>
      </c>
      <c r="R139" s="22" t="s">
        <v>26</v>
      </c>
      <c r="S139" s="25" t="s">
        <v>29</v>
      </c>
      <c r="T139" s="24" t="s">
        <v>30</v>
      </c>
      <c r="U139" s="31" t="s">
        <v>31</v>
      </c>
      <c r="V139" s="31" t="n">
        <v>43234</v>
      </c>
      <c r="W139" s="34" t="s">
        <v>406</v>
      </c>
      <c r="X139" s="18"/>
    </row>
    <row r="140" customFormat="false" ht="13.8" hidden="false" customHeight="false" outlineLevel="0" collapsed="false">
      <c r="A140" s="18"/>
      <c r="B140" s="19" t="n">
        <v>768</v>
      </c>
      <c r="C140" s="20" t="n">
        <v>43138</v>
      </c>
      <c r="D140" s="21" t="s">
        <v>22</v>
      </c>
      <c r="E140" s="22" t="s">
        <v>407</v>
      </c>
      <c r="F140" s="23" t="s">
        <v>230</v>
      </c>
      <c r="G140" s="22" t="s">
        <v>408</v>
      </c>
      <c r="H140" s="24" t="s">
        <v>135</v>
      </c>
      <c r="I140" s="24" t="s">
        <v>57</v>
      </c>
      <c r="J140" s="25" t="n">
        <f aca="false">84.89-4.53</f>
        <v>80.36</v>
      </c>
      <c r="K140" s="26" t="n">
        <v>540000</v>
      </c>
      <c r="L140" s="27" t="n">
        <f aca="false">K140/J140</f>
        <v>6719.76107516177</v>
      </c>
      <c r="M140" s="28" t="s">
        <v>409</v>
      </c>
      <c r="N140" s="29" t="n">
        <v>30000</v>
      </c>
      <c r="O140" s="30" t="n">
        <f aca="false">K140+N140</f>
        <v>570000</v>
      </c>
      <c r="P140" s="30" t="n">
        <f aca="false">ROUND(O140/J140, 2)</f>
        <v>7093.08</v>
      </c>
      <c r="Q140" s="25" t="s">
        <v>91</v>
      </c>
      <c r="R140" s="22" t="s">
        <v>49</v>
      </c>
      <c r="S140" s="25" t="s">
        <v>29</v>
      </c>
      <c r="T140" s="24" t="s">
        <v>30</v>
      </c>
      <c r="U140" s="31" t="s">
        <v>31</v>
      </c>
      <c r="V140" s="31" t="n">
        <v>43234</v>
      </c>
      <c r="W140" s="18"/>
      <c r="X140" s="18"/>
    </row>
    <row r="141" customFormat="false" ht="13.8" hidden="false" customHeight="false" outlineLevel="0" collapsed="false">
      <c r="A141" s="18"/>
      <c r="B141" s="19" t="n">
        <v>112</v>
      </c>
      <c r="C141" s="20" t="n">
        <v>43138</v>
      </c>
      <c r="D141" s="21" t="s">
        <v>22</v>
      </c>
      <c r="E141" s="22" t="s">
        <v>354</v>
      </c>
      <c r="F141" s="23" t="s">
        <v>355</v>
      </c>
      <c r="G141" s="22" t="s">
        <v>410</v>
      </c>
      <c r="H141" s="24" t="s">
        <v>128</v>
      </c>
      <c r="I141" s="24" t="s">
        <v>36</v>
      </c>
      <c r="J141" s="25" t="n">
        <v>33.7</v>
      </c>
      <c r="K141" s="26" t="n">
        <v>375000</v>
      </c>
      <c r="L141" s="27" t="n">
        <f aca="false">K141/J141</f>
        <v>11127.5964391691</v>
      </c>
      <c r="M141" s="28" t="s">
        <v>64</v>
      </c>
      <c r="N141" s="29"/>
      <c r="O141" s="30" t="n">
        <f aca="false">K141+N141</f>
        <v>375000</v>
      </c>
      <c r="P141" s="30" t="n">
        <f aca="false">ROUND(O141/J141, 2)</f>
        <v>11127.6</v>
      </c>
      <c r="Q141" s="25" t="s">
        <v>41</v>
      </c>
      <c r="R141" s="22" t="s">
        <v>27</v>
      </c>
      <c r="S141" s="25" t="s">
        <v>29</v>
      </c>
      <c r="T141" s="24" t="s">
        <v>30</v>
      </c>
      <c r="U141" s="31" t="s">
        <v>31</v>
      </c>
      <c r="V141" s="31" t="n">
        <v>43234</v>
      </c>
      <c r="W141" s="18"/>
      <c r="X141" s="18"/>
    </row>
    <row r="142" customFormat="false" ht="13.8" hidden="false" customHeight="false" outlineLevel="0" collapsed="false">
      <c r="A142" s="18"/>
      <c r="B142" s="19" t="n">
        <v>223</v>
      </c>
      <c r="C142" s="20" t="n">
        <v>43139</v>
      </c>
      <c r="D142" s="21" t="s">
        <v>22</v>
      </c>
      <c r="E142" s="22" t="s">
        <v>206</v>
      </c>
      <c r="F142" s="23" t="s">
        <v>191</v>
      </c>
      <c r="G142" s="22" t="s">
        <v>101</v>
      </c>
      <c r="H142" s="24" t="s">
        <v>411</v>
      </c>
      <c r="I142" s="24" t="s">
        <v>36</v>
      </c>
      <c r="J142" s="25" t="n">
        <v>56.19</v>
      </c>
      <c r="K142" s="26" t="n">
        <v>500000</v>
      </c>
      <c r="L142" s="27" t="n">
        <f aca="false">K142/J142</f>
        <v>8898.38049474996</v>
      </c>
      <c r="M142" s="28" t="s">
        <v>412</v>
      </c>
      <c r="N142" s="29"/>
      <c r="O142" s="30" t="n">
        <f aca="false">K142+N142</f>
        <v>500000</v>
      </c>
      <c r="P142" s="30" t="n">
        <f aca="false">ROUND(O142/J142, 2)</f>
        <v>8898.38</v>
      </c>
      <c r="Q142" s="25" t="s">
        <v>50</v>
      </c>
      <c r="R142" s="22" t="s">
        <v>36</v>
      </c>
      <c r="S142" s="25" t="s">
        <v>29</v>
      </c>
      <c r="T142" s="24" t="s">
        <v>30</v>
      </c>
      <c r="U142" s="31" t="s">
        <v>31</v>
      </c>
      <c r="V142" s="31" t="n">
        <v>43234</v>
      </c>
      <c r="W142" s="18"/>
      <c r="X142" s="18"/>
    </row>
    <row r="143" customFormat="false" ht="13.8" hidden="false" customHeight="false" outlineLevel="0" collapsed="false">
      <c r="A143" s="18"/>
      <c r="B143" s="19" t="n">
        <v>508</v>
      </c>
      <c r="C143" s="20" t="n">
        <v>43139</v>
      </c>
      <c r="D143" s="21" t="s">
        <v>22</v>
      </c>
      <c r="E143" s="22" t="s">
        <v>187</v>
      </c>
      <c r="F143" s="23" t="s">
        <v>401</v>
      </c>
      <c r="G143" s="22" t="s">
        <v>413</v>
      </c>
      <c r="H143" s="24" t="s">
        <v>27</v>
      </c>
      <c r="I143" s="24" t="s">
        <v>27</v>
      </c>
      <c r="J143" s="25" t="n">
        <v>32.71</v>
      </c>
      <c r="K143" s="26" t="n">
        <v>180000</v>
      </c>
      <c r="L143" s="27" t="n">
        <f aca="false">K143/J143</f>
        <v>5502.90431060838</v>
      </c>
      <c r="M143" s="28"/>
      <c r="N143" s="29"/>
      <c r="O143" s="30" t="n">
        <f aca="false">K143+N143</f>
        <v>180000</v>
      </c>
      <c r="P143" s="30" t="n">
        <f aca="false">ROUND(O143/J143, 2)</f>
        <v>5502.9</v>
      </c>
      <c r="Q143" s="25" t="s">
        <v>41</v>
      </c>
      <c r="R143" s="22" t="s">
        <v>27</v>
      </c>
      <c r="S143" s="25" t="s">
        <v>29</v>
      </c>
      <c r="T143" s="24" t="s">
        <v>30</v>
      </c>
      <c r="U143" s="31" t="s">
        <v>31</v>
      </c>
      <c r="V143" s="31" t="n">
        <v>43234</v>
      </c>
      <c r="W143" s="18"/>
      <c r="X143" s="18"/>
    </row>
    <row r="144" customFormat="false" ht="13.8" hidden="false" customHeight="false" outlineLevel="0" collapsed="false">
      <c r="A144" s="18"/>
      <c r="B144" s="19" t="n">
        <v>1893</v>
      </c>
      <c r="C144" s="20" t="n">
        <v>43139</v>
      </c>
      <c r="D144" s="21" t="s">
        <v>22</v>
      </c>
      <c r="E144" s="22" t="s">
        <v>148</v>
      </c>
      <c r="F144" s="23" t="s">
        <v>195</v>
      </c>
      <c r="G144" s="22" t="s">
        <v>154</v>
      </c>
      <c r="H144" s="24" t="s">
        <v>414</v>
      </c>
      <c r="I144" s="24" t="s">
        <v>25</v>
      </c>
      <c r="J144" s="25" t="n">
        <v>31.06</v>
      </c>
      <c r="K144" s="26" t="n">
        <v>280000</v>
      </c>
      <c r="L144" s="27" t="n">
        <f aca="false">K144/J144</f>
        <v>9014.81004507405</v>
      </c>
      <c r="M144" s="28"/>
      <c r="N144" s="29"/>
      <c r="O144" s="30" t="n">
        <f aca="false">K144+N144</f>
        <v>280000</v>
      </c>
      <c r="P144" s="30" t="n">
        <f aca="false">ROUND(O144/J144, 2)</f>
        <v>9014.81</v>
      </c>
      <c r="Q144" s="25" t="s">
        <v>41</v>
      </c>
      <c r="R144" s="22" t="s">
        <v>27</v>
      </c>
      <c r="S144" s="25" t="s">
        <v>29</v>
      </c>
      <c r="T144" s="24" t="s">
        <v>30</v>
      </c>
      <c r="U144" s="31" t="s">
        <v>31</v>
      </c>
      <c r="V144" s="31" t="n">
        <v>43234</v>
      </c>
      <c r="W144" s="18"/>
      <c r="X144" s="18"/>
      <c r="AMJ144" s="32"/>
    </row>
    <row r="145" s="32" customFormat="true" ht="13.8" hidden="false" customHeight="false" outlineLevel="0" collapsed="false">
      <c r="A145" s="18"/>
      <c r="B145" s="19" t="n">
        <v>111</v>
      </c>
      <c r="C145" s="20" t="n">
        <v>43139</v>
      </c>
      <c r="D145" s="21" t="s">
        <v>22</v>
      </c>
      <c r="E145" s="22" t="s">
        <v>287</v>
      </c>
      <c r="F145" s="23" t="s">
        <v>290</v>
      </c>
      <c r="G145" s="22" t="s">
        <v>111</v>
      </c>
      <c r="H145" s="24" t="s">
        <v>141</v>
      </c>
      <c r="I145" s="24" t="s">
        <v>25</v>
      </c>
      <c r="J145" s="25" t="n">
        <f aca="false">119.49-2.61</f>
        <v>116.88</v>
      </c>
      <c r="K145" s="26" t="n">
        <v>1735000</v>
      </c>
      <c r="L145" s="27" t="n">
        <f aca="false">K145/J145</f>
        <v>14844.2847364819</v>
      </c>
      <c r="M145" s="28" t="s">
        <v>415</v>
      </c>
      <c r="N145" s="29" t="n">
        <v>40000</v>
      </c>
      <c r="O145" s="30" t="n">
        <f aca="false">K145+N145</f>
        <v>1775000</v>
      </c>
      <c r="P145" s="30" t="n">
        <f aca="false">ROUND(O145/J145, 2)</f>
        <v>15186.52</v>
      </c>
      <c r="Q145" s="25" t="s">
        <v>85</v>
      </c>
      <c r="R145" s="22" t="s">
        <v>26</v>
      </c>
      <c r="S145" s="25" t="s">
        <v>29</v>
      </c>
      <c r="T145" s="24" t="s">
        <v>30</v>
      </c>
      <c r="U145" s="31" t="s">
        <v>31</v>
      </c>
      <c r="V145" s="31" t="n">
        <v>43234</v>
      </c>
      <c r="W145" s="18"/>
      <c r="X145" s="18"/>
    </row>
    <row r="146" s="32" customFormat="true" ht="13.8" hidden="false" customHeight="false" outlineLevel="0" collapsed="false">
      <c r="A146" s="18"/>
      <c r="B146" s="19" t="n">
        <v>48</v>
      </c>
      <c r="C146" s="20" t="n">
        <v>43139</v>
      </c>
      <c r="D146" s="21" t="s">
        <v>22</v>
      </c>
      <c r="E146" s="22" t="s">
        <v>72</v>
      </c>
      <c r="F146" s="23" t="s">
        <v>387</v>
      </c>
      <c r="G146" s="22" t="s">
        <v>26</v>
      </c>
      <c r="H146" s="24" t="s">
        <v>26</v>
      </c>
      <c r="I146" s="24" t="s">
        <v>27</v>
      </c>
      <c r="J146" s="25" t="n">
        <v>27.76</v>
      </c>
      <c r="K146" s="26" t="n">
        <v>310000</v>
      </c>
      <c r="L146" s="27" t="n">
        <f aca="false">K146/J146</f>
        <v>11167.1469740634</v>
      </c>
      <c r="M146" s="28" t="s">
        <v>64</v>
      </c>
      <c r="N146" s="29"/>
      <c r="O146" s="30" t="n">
        <f aca="false">K146+N146</f>
        <v>310000</v>
      </c>
      <c r="P146" s="30" t="n">
        <f aca="false">ROUND(O146/J146, 2)</f>
        <v>11167.15</v>
      </c>
      <c r="Q146" s="25" t="s">
        <v>50</v>
      </c>
      <c r="R146" s="22" t="s">
        <v>36</v>
      </c>
      <c r="S146" s="25" t="s">
        <v>29</v>
      </c>
      <c r="T146" s="24" t="s">
        <v>30</v>
      </c>
      <c r="U146" s="31" t="s">
        <v>31</v>
      </c>
      <c r="V146" s="31" t="n">
        <v>43234</v>
      </c>
      <c r="W146" s="34"/>
      <c r="X146" s="34"/>
    </row>
    <row r="147" s="32" customFormat="true" ht="13.8" hidden="false" customHeight="false" outlineLevel="0" collapsed="false">
      <c r="A147" s="18"/>
      <c r="B147" s="19" t="n">
        <v>1159</v>
      </c>
      <c r="C147" s="20" t="n">
        <v>43139</v>
      </c>
      <c r="D147" s="21" t="s">
        <v>22</v>
      </c>
      <c r="E147" s="22" t="s">
        <v>354</v>
      </c>
      <c r="F147" s="23" t="s">
        <v>355</v>
      </c>
      <c r="G147" s="22" t="s">
        <v>356</v>
      </c>
      <c r="H147" s="24" t="s">
        <v>27</v>
      </c>
      <c r="I147" s="24" t="s">
        <v>27</v>
      </c>
      <c r="J147" s="25" t="n">
        <v>64.44</v>
      </c>
      <c r="K147" s="26" t="n">
        <v>519000</v>
      </c>
      <c r="L147" s="27" t="n">
        <f aca="false">K147/J147</f>
        <v>8054.00372439479</v>
      </c>
      <c r="M147" s="28" t="s">
        <v>64</v>
      </c>
      <c r="N147" s="29"/>
      <c r="O147" s="30" t="n">
        <f aca="false">K147+N147</f>
        <v>519000</v>
      </c>
      <c r="P147" s="30" t="n">
        <f aca="false">ROUND(O147/J147, 2)</f>
        <v>8054</v>
      </c>
      <c r="Q147" s="25" t="s">
        <v>91</v>
      </c>
      <c r="R147" s="22" t="s">
        <v>49</v>
      </c>
      <c r="S147" s="25" t="s">
        <v>29</v>
      </c>
      <c r="T147" s="24" t="s">
        <v>30</v>
      </c>
      <c r="U147" s="31" t="s">
        <v>31</v>
      </c>
      <c r="V147" s="31" t="n">
        <v>43234</v>
      </c>
      <c r="W147" s="18"/>
      <c r="X147" s="18"/>
    </row>
    <row r="148" customFormat="false" ht="13.8" hidden="false" customHeight="false" outlineLevel="0" collapsed="false">
      <c r="A148" s="18"/>
      <c r="B148" s="19" t="n">
        <v>747</v>
      </c>
      <c r="C148" s="20" t="n">
        <v>43140</v>
      </c>
      <c r="D148" s="21" t="s">
        <v>22</v>
      </c>
      <c r="E148" s="22" t="s">
        <v>278</v>
      </c>
      <c r="F148" s="23" t="s">
        <v>416</v>
      </c>
      <c r="G148" s="22" t="s">
        <v>49</v>
      </c>
      <c r="H148" s="24" t="s">
        <v>88</v>
      </c>
      <c r="I148" s="24" t="s">
        <v>49</v>
      </c>
      <c r="J148" s="25" t="n">
        <v>46.09</v>
      </c>
      <c r="K148" s="26" t="n">
        <v>359000</v>
      </c>
      <c r="L148" s="27" t="n">
        <f aca="false">K148/J148</f>
        <v>7789.10826643524</v>
      </c>
      <c r="M148" s="28"/>
      <c r="N148" s="29"/>
      <c r="O148" s="30" t="n">
        <f aca="false">K148+N148</f>
        <v>359000</v>
      </c>
      <c r="P148" s="30" t="n">
        <f aca="false">ROUND(O148/J148, 2)</f>
        <v>7789.11</v>
      </c>
      <c r="Q148" s="25" t="s">
        <v>85</v>
      </c>
      <c r="R148" s="22" t="s">
        <v>26</v>
      </c>
      <c r="S148" s="25" t="s">
        <v>29</v>
      </c>
      <c r="T148" s="24" t="s">
        <v>30</v>
      </c>
      <c r="U148" s="31" t="s">
        <v>31</v>
      </c>
      <c r="V148" s="31" t="n">
        <v>43234</v>
      </c>
      <c r="W148" s="18"/>
      <c r="X148" s="18"/>
    </row>
    <row r="149" customFormat="false" ht="13.8" hidden="false" customHeight="false" outlineLevel="0" collapsed="false">
      <c r="A149" s="18"/>
      <c r="B149" s="19" t="n">
        <v>591</v>
      </c>
      <c r="C149" s="20" t="n">
        <v>43140</v>
      </c>
      <c r="D149" s="21" t="s">
        <v>22</v>
      </c>
      <c r="E149" s="22" t="s">
        <v>190</v>
      </c>
      <c r="F149" s="23" t="s">
        <v>191</v>
      </c>
      <c r="G149" s="22" t="s">
        <v>417</v>
      </c>
      <c r="H149" s="24" t="s">
        <v>101</v>
      </c>
      <c r="I149" s="24" t="s">
        <v>36</v>
      </c>
      <c r="J149" s="25" t="n">
        <v>48.06</v>
      </c>
      <c r="K149" s="26" t="n">
        <v>365000</v>
      </c>
      <c r="L149" s="27" t="n">
        <f aca="false">K149/J149</f>
        <v>7594.6733250104</v>
      </c>
      <c r="M149" s="28"/>
      <c r="N149" s="29"/>
      <c r="O149" s="30" t="n">
        <f aca="false">K149+N149</f>
        <v>365000</v>
      </c>
      <c r="P149" s="30" t="n">
        <f aca="false">ROUND(O149/J149, 2)</f>
        <v>7594.67</v>
      </c>
      <c r="Q149" s="25" t="s">
        <v>267</v>
      </c>
      <c r="R149" s="22" t="s">
        <v>27</v>
      </c>
      <c r="S149" s="25" t="s">
        <v>29</v>
      </c>
      <c r="T149" s="24" t="s">
        <v>30</v>
      </c>
      <c r="U149" s="31" t="s">
        <v>31</v>
      </c>
      <c r="V149" s="31" t="n">
        <v>43234</v>
      </c>
      <c r="W149" s="18"/>
      <c r="X149" s="18"/>
    </row>
    <row r="150" customFormat="false" ht="13.8" hidden="false" customHeight="false" outlineLevel="0" collapsed="false">
      <c r="A150" s="18"/>
      <c r="B150" s="19" t="n">
        <v>772</v>
      </c>
      <c r="C150" s="20" t="n">
        <v>43140</v>
      </c>
      <c r="D150" s="21" t="s">
        <v>22</v>
      </c>
      <c r="E150" s="22" t="s">
        <v>144</v>
      </c>
      <c r="F150" s="23" t="s">
        <v>145</v>
      </c>
      <c r="G150" s="22" t="s">
        <v>49</v>
      </c>
      <c r="H150" s="24" t="s">
        <v>294</v>
      </c>
      <c r="I150" s="24" t="s">
        <v>49</v>
      </c>
      <c r="J150" s="25" t="n">
        <v>57.72</v>
      </c>
      <c r="K150" s="26" t="n">
        <v>450000</v>
      </c>
      <c r="L150" s="27" t="n">
        <f aca="false">K150/J150</f>
        <v>7796.2577962578</v>
      </c>
      <c r="M150" s="28" t="s">
        <v>64</v>
      </c>
      <c r="N150" s="29"/>
      <c r="O150" s="30" t="n">
        <f aca="false">K150+N150</f>
        <v>450000</v>
      </c>
      <c r="P150" s="30" t="n">
        <f aca="false">ROUND(O150/J150, 2)</f>
        <v>7796.26</v>
      </c>
      <c r="Q150" s="25" t="s">
        <v>50</v>
      </c>
      <c r="R150" s="22" t="s">
        <v>36</v>
      </c>
      <c r="S150" s="25" t="s">
        <v>29</v>
      </c>
      <c r="T150" s="24" t="s">
        <v>30</v>
      </c>
      <c r="U150" s="31" t="s">
        <v>31</v>
      </c>
      <c r="V150" s="31" t="n">
        <v>43234</v>
      </c>
      <c r="W150" s="18"/>
      <c r="X150" s="18"/>
    </row>
    <row r="151" customFormat="false" ht="13.8" hidden="false" customHeight="false" outlineLevel="0" collapsed="false">
      <c r="A151" s="18"/>
      <c r="B151" s="19" t="n">
        <v>547</v>
      </c>
      <c r="C151" s="20" t="n">
        <v>43140</v>
      </c>
      <c r="D151" s="21" t="s">
        <v>22</v>
      </c>
      <c r="E151" s="22" t="s">
        <v>343</v>
      </c>
      <c r="F151" s="23" t="s">
        <v>418</v>
      </c>
      <c r="G151" s="22" t="s">
        <v>36</v>
      </c>
      <c r="H151" s="24" t="s">
        <v>217</v>
      </c>
      <c r="I151" s="24" t="s">
        <v>27</v>
      </c>
      <c r="J151" s="25" t="n">
        <f aca="false">83.87-3.9</f>
        <v>79.97</v>
      </c>
      <c r="K151" s="26" t="n">
        <v>655000</v>
      </c>
      <c r="L151" s="27" t="n">
        <f aca="false">K151/J151</f>
        <v>8190.57146429911</v>
      </c>
      <c r="M151" s="28" t="s">
        <v>419</v>
      </c>
      <c r="N151" s="29" t="n">
        <v>25000</v>
      </c>
      <c r="O151" s="30" t="n">
        <f aca="false">K151+N151</f>
        <v>680000</v>
      </c>
      <c r="P151" s="30" t="n">
        <f aca="false">ROUND(O151/J151, 2)</f>
        <v>8503.19</v>
      </c>
      <c r="Q151" s="25" t="s">
        <v>420</v>
      </c>
      <c r="R151" s="22" t="s">
        <v>26</v>
      </c>
      <c r="S151" s="25" t="s">
        <v>29</v>
      </c>
      <c r="T151" s="24" t="s">
        <v>30</v>
      </c>
      <c r="U151" s="31" t="s">
        <v>31</v>
      </c>
      <c r="V151" s="31" t="n">
        <v>43234</v>
      </c>
      <c r="W151" s="18"/>
      <c r="X151" s="18"/>
      <c r="AMJ151" s="32"/>
    </row>
    <row r="152" s="32" customFormat="true" ht="13.8" hidden="false" customHeight="false" outlineLevel="0" collapsed="false">
      <c r="A152" s="18"/>
      <c r="B152" s="19" t="n">
        <v>422</v>
      </c>
      <c r="C152" s="20" t="n">
        <v>43143</v>
      </c>
      <c r="D152" s="21" t="s">
        <v>22</v>
      </c>
      <c r="E152" s="22" t="s">
        <v>75</v>
      </c>
      <c r="F152" s="23" t="s">
        <v>76</v>
      </c>
      <c r="G152" s="22" t="s">
        <v>421</v>
      </c>
      <c r="H152" s="24" t="s">
        <v>111</v>
      </c>
      <c r="I152" s="24" t="s">
        <v>26</v>
      </c>
      <c r="J152" s="25" t="n">
        <v>48.7</v>
      </c>
      <c r="K152" s="26" t="n">
        <v>478000</v>
      </c>
      <c r="L152" s="27" t="n">
        <f aca="false">K152/J152</f>
        <v>9815.19507186858</v>
      </c>
      <c r="M152" s="28" t="s">
        <v>234</v>
      </c>
      <c r="N152" s="29"/>
      <c r="O152" s="30" t="n">
        <f aca="false">K152+N152</f>
        <v>478000</v>
      </c>
      <c r="P152" s="30" t="n">
        <f aca="false">ROUND(O152/J152, 2)</f>
        <v>9815.2</v>
      </c>
      <c r="Q152" s="25" t="s">
        <v>422</v>
      </c>
      <c r="R152" s="22" t="s">
        <v>36</v>
      </c>
      <c r="S152" s="25" t="s">
        <v>29</v>
      </c>
      <c r="T152" s="24" t="s">
        <v>30</v>
      </c>
      <c r="U152" s="31" t="s">
        <v>31</v>
      </c>
      <c r="V152" s="31" t="n">
        <v>43234</v>
      </c>
      <c r="W152" s="34"/>
      <c r="X152" s="34"/>
    </row>
    <row r="153" s="32" customFormat="true" ht="13.8" hidden="false" customHeight="false" outlineLevel="0" collapsed="false">
      <c r="A153" s="18" t="s">
        <v>423</v>
      </c>
      <c r="B153" s="19" t="n">
        <v>1575</v>
      </c>
      <c r="C153" s="20" t="n">
        <v>43143</v>
      </c>
      <c r="D153" s="21" t="s">
        <v>22</v>
      </c>
      <c r="E153" s="22" t="s">
        <v>171</v>
      </c>
      <c r="F153" s="23" t="s">
        <v>221</v>
      </c>
      <c r="G153" s="22" t="s">
        <v>111</v>
      </c>
      <c r="H153" s="24" t="s">
        <v>177</v>
      </c>
      <c r="I153" s="24" t="s">
        <v>57</v>
      </c>
      <c r="J153" s="25" t="n">
        <v>57.28</v>
      </c>
      <c r="K153" s="26" t="n">
        <v>368000</v>
      </c>
      <c r="L153" s="27" t="n">
        <f aca="false">K153/J153</f>
        <v>6424.58100558659</v>
      </c>
      <c r="M153" s="28" t="s">
        <v>64</v>
      </c>
      <c r="N153" s="29"/>
      <c r="O153" s="30" t="n">
        <f aca="false">K153+N153</f>
        <v>368000</v>
      </c>
      <c r="P153" s="30" t="n">
        <f aca="false">ROUND(O153/J153, 2)</f>
        <v>6424.58</v>
      </c>
      <c r="Q153" s="25" t="s">
        <v>85</v>
      </c>
      <c r="R153" s="22" t="s">
        <v>26</v>
      </c>
      <c r="S153" s="25" t="s">
        <v>29</v>
      </c>
      <c r="T153" s="24" t="s">
        <v>30</v>
      </c>
      <c r="U153" s="31" t="s">
        <v>31</v>
      </c>
      <c r="V153" s="31" t="n">
        <v>43234</v>
      </c>
      <c r="W153" s="34"/>
      <c r="X153" s="34"/>
    </row>
    <row r="154" s="32" customFormat="true" ht="13.8" hidden="false" customHeight="false" outlineLevel="0" collapsed="false">
      <c r="A154" s="18"/>
      <c r="B154" s="19" t="n">
        <v>895</v>
      </c>
      <c r="C154" s="20" t="n">
        <v>43143</v>
      </c>
      <c r="D154" s="21" t="s">
        <v>22</v>
      </c>
      <c r="E154" s="22" t="s">
        <v>80</v>
      </c>
      <c r="F154" s="23" t="s">
        <v>162</v>
      </c>
      <c r="G154" s="22" t="s">
        <v>36</v>
      </c>
      <c r="H154" s="24" t="s">
        <v>68</v>
      </c>
      <c r="I154" s="24" t="s">
        <v>57</v>
      </c>
      <c r="J154" s="25" t="n">
        <v>65.2</v>
      </c>
      <c r="K154" s="26" t="n">
        <v>1000000</v>
      </c>
      <c r="L154" s="27" t="n">
        <f aca="false">K154/J154</f>
        <v>15337.4233128834</v>
      </c>
      <c r="M154" s="28" t="s">
        <v>205</v>
      </c>
      <c r="N154" s="29" t="n">
        <v>50000</v>
      </c>
      <c r="O154" s="30" t="n">
        <f aca="false">K154+N154</f>
        <v>1050000</v>
      </c>
      <c r="P154" s="30" t="n">
        <f aca="false">ROUND(O154/J154, 2)</f>
        <v>16104.29</v>
      </c>
      <c r="Q154" s="25" t="s">
        <v>85</v>
      </c>
      <c r="R154" s="22" t="s">
        <v>26</v>
      </c>
      <c r="S154" s="25" t="s">
        <v>29</v>
      </c>
      <c r="T154" s="24" t="s">
        <v>30</v>
      </c>
      <c r="U154" s="31" t="s">
        <v>31</v>
      </c>
      <c r="V154" s="31" t="n">
        <v>43234</v>
      </c>
      <c r="W154" s="34"/>
      <c r="X154" s="34"/>
    </row>
    <row r="155" customFormat="false" ht="13.8" hidden="false" customHeight="false" outlineLevel="0" collapsed="false">
      <c r="A155" s="18"/>
      <c r="B155" s="19" t="n">
        <v>1450</v>
      </c>
      <c r="C155" s="20" t="n">
        <v>43143</v>
      </c>
      <c r="D155" s="21" t="s">
        <v>22</v>
      </c>
      <c r="E155" s="22" t="s">
        <v>80</v>
      </c>
      <c r="F155" s="23" t="s">
        <v>162</v>
      </c>
      <c r="G155" s="22" t="s">
        <v>27</v>
      </c>
      <c r="H155" s="24" t="s">
        <v>68</v>
      </c>
      <c r="I155" s="24" t="s">
        <v>49</v>
      </c>
      <c r="J155" s="25" t="n">
        <v>159.59</v>
      </c>
      <c r="K155" s="26" t="n">
        <v>2655000</v>
      </c>
      <c r="L155" s="27" t="n">
        <f aca="false">K155/J155</f>
        <v>16636.3807256094</v>
      </c>
      <c r="M155" s="28" t="s">
        <v>424</v>
      </c>
      <c r="N155" s="29" t="n">
        <f aca="false">80000+15000</f>
        <v>95000</v>
      </c>
      <c r="O155" s="30" t="n">
        <f aca="false">K155+N155</f>
        <v>2750000</v>
      </c>
      <c r="P155" s="30" t="n">
        <f aca="false">ROUND(O155/J155, 2)</f>
        <v>17231.66</v>
      </c>
      <c r="Q155" s="25" t="s">
        <v>425</v>
      </c>
      <c r="R155" s="22" t="s">
        <v>49</v>
      </c>
      <c r="S155" s="25" t="s">
        <v>29</v>
      </c>
      <c r="T155" s="24" t="s">
        <v>30</v>
      </c>
      <c r="U155" s="31" t="s">
        <v>31</v>
      </c>
      <c r="V155" s="31" t="n">
        <v>43234</v>
      </c>
      <c r="W155" s="34"/>
      <c r="X155" s="34"/>
    </row>
    <row r="156" customFormat="false" ht="13.8" hidden="false" customHeight="false" outlineLevel="0" collapsed="false">
      <c r="A156" s="18"/>
      <c r="B156" s="19" t="n">
        <v>572</v>
      </c>
      <c r="C156" s="20" t="n">
        <v>43143</v>
      </c>
      <c r="D156" s="21" t="s">
        <v>22</v>
      </c>
      <c r="E156" s="22" t="s">
        <v>144</v>
      </c>
      <c r="F156" s="23" t="s">
        <v>145</v>
      </c>
      <c r="G156" s="22" t="s">
        <v>168</v>
      </c>
      <c r="H156" s="24" t="s">
        <v>128</v>
      </c>
      <c r="I156" s="24" t="s">
        <v>36</v>
      </c>
      <c r="J156" s="25" t="n">
        <v>39.52</v>
      </c>
      <c r="K156" s="26" t="n">
        <v>480000</v>
      </c>
      <c r="L156" s="27" t="n">
        <f aca="false">K156/J156</f>
        <v>12145.7489878543</v>
      </c>
      <c r="M156" s="28" t="s">
        <v>64</v>
      </c>
      <c r="N156" s="29"/>
      <c r="O156" s="30" t="n">
        <f aca="false">K156+N156</f>
        <v>480000</v>
      </c>
      <c r="P156" s="30" t="n">
        <f aca="false">ROUND(O156/J156, 2)</f>
        <v>12145.75</v>
      </c>
      <c r="Q156" s="25" t="s">
        <v>50</v>
      </c>
      <c r="R156" s="22" t="s">
        <v>36</v>
      </c>
      <c r="S156" s="25" t="s">
        <v>29</v>
      </c>
      <c r="T156" s="24" t="s">
        <v>30</v>
      </c>
      <c r="U156" s="31" t="s">
        <v>31</v>
      </c>
      <c r="V156" s="31" t="n">
        <v>43234</v>
      </c>
      <c r="W156" s="34"/>
      <c r="X156" s="34"/>
    </row>
    <row r="157" customFormat="false" ht="13.8" hidden="false" customHeight="false" outlineLevel="0" collapsed="false">
      <c r="A157" s="18"/>
      <c r="B157" s="19" t="n">
        <v>2558</v>
      </c>
      <c r="C157" s="20" t="n">
        <v>43143</v>
      </c>
      <c r="D157" s="21" t="s">
        <v>22</v>
      </c>
      <c r="E157" s="22" t="s">
        <v>281</v>
      </c>
      <c r="F157" s="23" t="s">
        <v>401</v>
      </c>
      <c r="G157" s="22" t="s">
        <v>426</v>
      </c>
      <c r="H157" s="24" t="s">
        <v>427</v>
      </c>
      <c r="I157" s="24" t="s">
        <v>200</v>
      </c>
      <c r="J157" s="25" t="n">
        <v>41</v>
      </c>
      <c r="K157" s="26" t="n">
        <v>400000</v>
      </c>
      <c r="L157" s="27" t="n">
        <f aca="false">K157/J157</f>
        <v>9756.09756097561</v>
      </c>
      <c r="M157" s="28" t="s">
        <v>349</v>
      </c>
      <c r="N157" s="29"/>
      <c r="O157" s="30" t="n">
        <f aca="false">K157+N157</f>
        <v>400000</v>
      </c>
      <c r="P157" s="30" t="n">
        <f aca="false">ROUND(O157/J157, 2)</f>
        <v>9756.1</v>
      </c>
      <c r="Q157" s="25" t="s">
        <v>50</v>
      </c>
      <c r="R157" s="22" t="s">
        <v>36</v>
      </c>
      <c r="S157" s="25" t="s">
        <v>29</v>
      </c>
      <c r="T157" s="24" t="s">
        <v>30</v>
      </c>
      <c r="U157" s="31" t="s">
        <v>31</v>
      </c>
      <c r="V157" s="31" t="n">
        <v>43234</v>
      </c>
      <c r="W157" s="34" t="s">
        <v>428</v>
      </c>
      <c r="X157" s="18"/>
    </row>
    <row r="158" customFormat="false" ht="13.8" hidden="false" customHeight="false" outlineLevel="0" collapsed="false">
      <c r="A158" s="18"/>
      <c r="B158" s="19" t="n">
        <v>1315</v>
      </c>
      <c r="C158" s="20" t="n">
        <v>43143</v>
      </c>
      <c r="D158" s="21" t="s">
        <v>22</v>
      </c>
      <c r="E158" s="22" t="s">
        <v>281</v>
      </c>
      <c r="F158" s="23" t="s">
        <v>429</v>
      </c>
      <c r="G158" s="22" t="s">
        <v>430</v>
      </c>
      <c r="H158" s="24" t="s">
        <v>128</v>
      </c>
      <c r="I158" s="24" t="s">
        <v>57</v>
      </c>
      <c r="J158" s="25" t="n">
        <v>252.04</v>
      </c>
      <c r="K158" s="26" t="n">
        <v>3760000</v>
      </c>
      <c r="L158" s="27" t="n">
        <f aca="false">K158/J158</f>
        <v>14918.2669417553</v>
      </c>
      <c r="M158" s="28" t="s">
        <v>431</v>
      </c>
      <c r="N158" s="29" t="n">
        <v>40000</v>
      </c>
      <c r="O158" s="30" t="n">
        <f aca="false">K158+N158</f>
        <v>3800000</v>
      </c>
      <c r="P158" s="30" t="n">
        <f aca="false">ROUND(O158/J158, 2)</f>
        <v>15076.97</v>
      </c>
      <c r="Q158" s="25"/>
      <c r="R158" s="22"/>
      <c r="S158" s="25" t="s">
        <v>432</v>
      </c>
      <c r="T158" s="24" t="s">
        <v>30</v>
      </c>
      <c r="U158" s="31" t="s">
        <v>31</v>
      </c>
      <c r="V158" s="31" t="n">
        <v>43234</v>
      </c>
      <c r="W158" s="18"/>
      <c r="X158" s="18"/>
    </row>
    <row r="159" customFormat="false" ht="13.8" hidden="false" customHeight="false" outlineLevel="0" collapsed="false">
      <c r="A159" s="18"/>
      <c r="B159" s="19" t="n">
        <v>1388</v>
      </c>
      <c r="C159" s="20" t="n">
        <v>43144</v>
      </c>
      <c r="D159" s="21" t="s">
        <v>22</v>
      </c>
      <c r="E159" s="22" t="s">
        <v>42</v>
      </c>
      <c r="F159" s="23" t="s">
        <v>51</v>
      </c>
      <c r="G159" s="22" t="s">
        <v>36</v>
      </c>
      <c r="H159" s="24" t="s">
        <v>52</v>
      </c>
      <c r="I159" s="24" t="s">
        <v>26</v>
      </c>
      <c r="J159" s="25" t="n">
        <v>24.3</v>
      </c>
      <c r="K159" s="26" t="n">
        <v>254350</v>
      </c>
      <c r="L159" s="27" t="n">
        <f aca="false">K159/J159</f>
        <v>10467.0781893004</v>
      </c>
      <c r="M159" s="28" t="s">
        <v>64</v>
      </c>
      <c r="N159" s="29"/>
      <c r="O159" s="30" t="n">
        <f aca="false">K159+N159</f>
        <v>254350</v>
      </c>
      <c r="P159" s="30" t="n">
        <f aca="false">ROUND(O159/J159, 2)</f>
        <v>10467.08</v>
      </c>
      <c r="Q159" s="25" t="s">
        <v>41</v>
      </c>
      <c r="R159" s="22" t="s">
        <v>27</v>
      </c>
      <c r="S159" s="25" t="s">
        <v>29</v>
      </c>
      <c r="T159" s="24" t="s">
        <v>30</v>
      </c>
      <c r="U159" s="31" t="s">
        <v>31</v>
      </c>
      <c r="V159" s="31" t="n">
        <v>43234</v>
      </c>
      <c r="W159" s="34"/>
      <c r="X159" s="34"/>
    </row>
    <row r="160" customFormat="false" ht="13.8" hidden="false" customHeight="false" outlineLevel="0" collapsed="false">
      <c r="A160" s="18"/>
      <c r="B160" s="19" t="n">
        <v>270</v>
      </c>
      <c r="C160" s="20" t="n">
        <v>43145</v>
      </c>
      <c r="D160" s="21" t="s">
        <v>22</v>
      </c>
      <c r="E160" s="22" t="s">
        <v>433</v>
      </c>
      <c r="F160" s="23" t="s">
        <v>434</v>
      </c>
      <c r="G160" s="22" t="s">
        <v>82</v>
      </c>
      <c r="H160" s="24" t="s">
        <v>435</v>
      </c>
      <c r="I160" s="24" t="s">
        <v>26</v>
      </c>
      <c r="J160" s="25" t="n">
        <v>48.74</v>
      </c>
      <c r="K160" s="26" t="n">
        <v>547000</v>
      </c>
      <c r="L160" s="27" t="n">
        <f aca="false">K160/J160</f>
        <v>11222.8149363972</v>
      </c>
      <c r="M160" s="28" t="s">
        <v>436</v>
      </c>
      <c r="N160" s="29"/>
      <c r="O160" s="30" t="n">
        <f aca="false">K160+N160</f>
        <v>547000</v>
      </c>
      <c r="P160" s="30" t="n">
        <f aca="false">ROUND(O160/J160, 2)</f>
        <v>11222.81</v>
      </c>
      <c r="Q160" s="25" t="s">
        <v>161</v>
      </c>
      <c r="R160" s="22" t="s">
        <v>36</v>
      </c>
      <c r="S160" s="25" t="s">
        <v>29</v>
      </c>
      <c r="T160" s="24" t="s">
        <v>30</v>
      </c>
      <c r="U160" s="31" t="s">
        <v>31</v>
      </c>
      <c r="V160" s="31" t="n">
        <v>43234</v>
      </c>
      <c r="W160" s="34" t="s">
        <v>437</v>
      </c>
      <c r="X160" s="18"/>
    </row>
    <row r="161" customFormat="false" ht="13.8" hidden="false" customHeight="false" outlineLevel="0" collapsed="false">
      <c r="A161" s="18"/>
      <c r="B161" s="19" t="n">
        <v>4863</v>
      </c>
      <c r="C161" s="20" t="n">
        <v>43145</v>
      </c>
      <c r="D161" s="21" t="s">
        <v>22</v>
      </c>
      <c r="E161" s="22" t="s">
        <v>118</v>
      </c>
      <c r="F161" s="23" t="s">
        <v>119</v>
      </c>
      <c r="G161" s="22" t="s">
        <v>111</v>
      </c>
      <c r="H161" s="24" t="s">
        <v>112</v>
      </c>
      <c r="I161" s="24" t="s">
        <v>36</v>
      </c>
      <c r="J161" s="25" t="n">
        <f aca="false">55.5-1.6</f>
        <v>53.9</v>
      </c>
      <c r="K161" s="26" t="n">
        <v>380000</v>
      </c>
      <c r="L161" s="27" t="n">
        <f aca="false">K161/J161</f>
        <v>7050.09276437848</v>
      </c>
      <c r="M161" s="28" t="s">
        <v>438</v>
      </c>
      <c r="N161" s="29"/>
      <c r="O161" s="30" t="n">
        <f aca="false">K161+N161</f>
        <v>380000</v>
      </c>
      <c r="P161" s="30" t="n">
        <f aca="false">ROUND(O161/J161, 2)</f>
        <v>7050.09</v>
      </c>
      <c r="Q161" s="25" t="s">
        <v>85</v>
      </c>
      <c r="R161" s="22" t="s">
        <v>26</v>
      </c>
      <c r="S161" s="25" t="s">
        <v>29</v>
      </c>
      <c r="T161" s="24" t="s">
        <v>30</v>
      </c>
      <c r="U161" s="31" t="s">
        <v>31</v>
      </c>
      <c r="V161" s="31" t="n">
        <v>43234</v>
      </c>
      <c r="W161" s="18"/>
      <c r="X161" s="18"/>
    </row>
    <row r="162" customFormat="false" ht="13.8" hidden="false" customHeight="false" outlineLevel="0" collapsed="false">
      <c r="A162" s="18"/>
      <c r="B162" s="19" t="n">
        <v>729</v>
      </c>
      <c r="C162" s="20" t="n">
        <v>43145</v>
      </c>
      <c r="D162" s="21" t="s">
        <v>22</v>
      </c>
      <c r="E162" s="22" t="s">
        <v>118</v>
      </c>
      <c r="F162" s="23" t="s">
        <v>119</v>
      </c>
      <c r="G162" s="22" t="s">
        <v>120</v>
      </c>
      <c r="H162" s="24" t="s">
        <v>112</v>
      </c>
      <c r="I162" s="24" t="s">
        <v>36</v>
      </c>
      <c r="J162" s="25" t="n">
        <f aca="false">46.1-3.8</f>
        <v>42.3</v>
      </c>
      <c r="K162" s="26" t="n">
        <v>320000</v>
      </c>
      <c r="L162" s="27" t="n">
        <f aca="false">K162/J162</f>
        <v>7565.01182033097</v>
      </c>
      <c r="M162" s="28" t="s">
        <v>439</v>
      </c>
      <c r="N162" s="29"/>
      <c r="O162" s="30" t="n">
        <f aca="false">K162+N162</f>
        <v>320000</v>
      </c>
      <c r="P162" s="30" t="n">
        <f aca="false">ROUND(O162/J162, 2)</f>
        <v>7565.01</v>
      </c>
      <c r="Q162" s="25" t="s">
        <v>50</v>
      </c>
      <c r="R162" s="22" t="s">
        <v>36</v>
      </c>
      <c r="S162" s="25" t="s">
        <v>29</v>
      </c>
      <c r="T162" s="24" t="s">
        <v>30</v>
      </c>
      <c r="U162" s="31" t="s">
        <v>31</v>
      </c>
      <c r="V162" s="31" t="n">
        <v>43234</v>
      </c>
      <c r="W162" s="34"/>
      <c r="X162" s="34"/>
    </row>
    <row r="163" customFormat="false" ht="13.8" hidden="false" customHeight="false" outlineLevel="0" collapsed="false">
      <c r="A163" s="18"/>
      <c r="B163" s="19" t="n">
        <v>496</v>
      </c>
      <c r="C163" s="20" t="n">
        <v>43145</v>
      </c>
      <c r="D163" s="21" t="s">
        <v>22</v>
      </c>
      <c r="E163" s="22" t="s">
        <v>45</v>
      </c>
      <c r="F163" s="23" t="s">
        <v>46</v>
      </c>
      <c r="G163" s="22" t="s">
        <v>135</v>
      </c>
      <c r="H163" s="24" t="s">
        <v>120</v>
      </c>
      <c r="I163" s="24" t="s">
        <v>57</v>
      </c>
      <c r="J163" s="25" t="n">
        <v>69.1</v>
      </c>
      <c r="K163" s="26" t="n">
        <v>718000</v>
      </c>
      <c r="L163" s="27" t="n">
        <f aca="false">K163/J163</f>
        <v>10390.7380607815</v>
      </c>
      <c r="M163" s="28"/>
      <c r="N163" s="29"/>
      <c r="O163" s="30" t="n">
        <f aca="false">K163+N163</f>
        <v>718000</v>
      </c>
      <c r="P163" s="30" t="n">
        <f aca="false">ROUND(O163/J163, 2)</f>
        <v>10390.74</v>
      </c>
      <c r="Q163" s="25" t="s">
        <v>85</v>
      </c>
      <c r="R163" s="22" t="s">
        <v>26</v>
      </c>
      <c r="S163" s="25" t="s">
        <v>29</v>
      </c>
      <c r="T163" s="24" t="s">
        <v>30</v>
      </c>
      <c r="U163" s="31" t="s">
        <v>31</v>
      </c>
      <c r="V163" s="31" t="n">
        <v>43234</v>
      </c>
      <c r="W163" s="34"/>
      <c r="X163" s="34"/>
    </row>
    <row r="164" customFormat="false" ht="13.8" hidden="false" customHeight="false" outlineLevel="0" collapsed="false">
      <c r="A164" s="18"/>
      <c r="B164" s="19" t="n">
        <v>807</v>
      </c>
      <c r="C164" s="20" t="n">
        <v>43145</v>
      </c>
      <c r="D164" s="21" t="s">
        <v>22</v>
      </c>
      <c r="E164" s="22" t="s">
        <v>299</v>
      </c>
      <c r="F164" s="23" t="s">
        <v>271</v>
      </c>
      <c r="G164" s="22" t="s">
        <v>128</v>
      </c>
      <c r="H164" s="24" t="s">
        <v>67</v>
      </c>
      <c r="I164" s="24" t="s">
        <v>26</v>
      </c>
      <c r="J164" s="25" t="n">
        <v>47.44</v>
      </c>
      <c r="K164" s="26" t="n">
        <v>420000</v>
      </c>
      <c r="L164" s="27" t="n">
        <f aca="false">K164/J164</f>
        <v>8853.28836424958</v>
      </c>
      <c r="M164" s="28"/>
      <c r="N164" s="29"/>
      <c r="O164" s="30" t="n">
        <f aca="false">K164+N164</f>
        <v>420000</v>
      </c>
      <c r="P164" s="30" t="n">
        <f aca="false">ROUND(O164/J164, 2)</f>
        <v>8853.29</v>
      </c>
      <c r="Q164" s="25" t="s">
        <v>50</v>
      </c>
      <c r="R164" s="22" t="s">
        <v>36</v>
      </c>
      <c r="S164" s="25" t="s">
        <v>29</v>
      </c>
      <c r="T164" s="24" t="s">
        <v>30</v>
      </c>
      <c r="U164" s="31" t="s">
        <v>31</v>
      </c>
      <c r="V164" s="31" t="n">
        <v>43234</v>
      </c>
      <c r="W164" s="34"/>
      <c r="X164" s="34"/>
    </row>
    <row r="165" customFormat="false" ht="13.8" hidden="false" customHeight="false" outlineLevel="0" collapsed="false">
      <c r="A165" s="18"/>
      <c r="B165" s="19" t="n">
        <v>355</v>
      </c>
      <c r="C165" s="20" t="n">
        <v>43146</v>
      </c>
      <c r="D165" s="21" t="s">
        <v>22</v>
      </c>
      <c r="E165" s="22" t="s">
        <v>440</v>
      </c>
      <c r="F165" s="23" t="s">
        <v>441</v>
      </c>
      <c r="G165" s="22" t="s">
        <v>74</v>
      </c>
      <c r="H165" s="24" t="s">
        <v>442</v>
      </c>
      <c r="I165" s="24" t="s">
        <v>112</v>
      </c>
      <c r="J165" s="25" t="n">
        <v>37.9</v>
      </c>
      <c r="K165" s="26" t="n">
        <v>390000</v>
      </c>
      <c r="L165" s="27" t="n">
        <f aca="false">K165/J165</f>
        <v>10290.2374670185</v>
      </c>
      <c r="M165" s="28" t="s">
        <v>64</v>
      </c>
      <c r="N165" s="29"/>
      <c r="O165" s="30" t="n">
        <f aca="false">K165+N165</f>
        <v>390000</v>
      </c>
      <c r="P165" s="30" t="n">
        <f aca="false">ROUND(O165/J165, 2)</f>
        <v>10290.24</v>
      </c>
      <c r="Q165" s="25" t="s">
        <v>50</v>
      </c>
      <c r="R165" s="22" t="s">
        <v>36</v>
      </c>
      <c r="S165" s="25" t="s">
        <v>432</v>
      </c>
      <c r="T165" s="24" t="s">
        <v>30</v>
      </c>
      <c r="U165" s="31" t="s">
        <v>31</v>
      </c>
      <c r="V165" s="31" t="n">
        <v>43234</v>
      </c>
      <c r="W165" s="18"/>
      <c r="X165" s="18"/>
    </row>
    <row r="166" customFormat="false" ht="13.8" hidden="false" customHeight="false" outlineLevel="0" collapsed="false">
      <c r="A166" s="18"/>
      <c r="B166" s="19" t="n">
        <v>442</v>
      </c>
      <c r="C166" s="20" t="n">
        <v>43146</v>
      </c>
      <c r="D166" s="21" t="s">
        <v>22</v>
      </c>
      <c r="E166" s="22" t="s">
        <v>203</v>
      </c>
      <c r="F166" s="23" t="s">
        <v>138</v>
      </c>
      <c r="G166" s="22" t="s">
        <v>111</v>
      </c>
      <c r="H166" s="24" t="s">
        <v>112</v>
      </c>
      <c r="I166" s="24" t="s">
        <v>49</v>
      </c>
      <c r="J166" s="25" t="n">
        <v>71.11</v>
      </c>
      <c r="K166" s="26" t="n">
        <v>590000</v>
      </c>
      <c r="L166" s="27" t="n">
        <f aca="false">K166/J166</f>
        <v>8297.00464069751</v>
      </c>
      <c r="M166" s="28" t="s">
        <v>205</v>
      </c>
      <c r="N166" s="29" t="n">
        <v>20000</v>
      </c>
      <c r="O166" s="30" t="n">
        <f aca="false">K166+N166</f>
        <v>610000</v>
      </c>
      <c r="P166" s="30" t="n">
        <f aca="false">ROUND(O166/J166, 2)</f>
        <v>8578.26</v>
      </c>
      <c r="Q166" s="25" t="s">
        <v>85</v>
      </c>
      <c r="R166" s="22" t="s">
        <v>26</v>
      </c>
      <c r="S166" s="25" t="s">
        <v>29</v>
      </c>
      <c r="T166" s="24" t="s">
        <v>30</v>
      </c>
      <c r="U166" s="31" t="s">
        <v>31</v>
      </c>
      <c r="V166" s="31" t="n">
        <v>43234</v>
      </c>
      <c r="W166" s="18"/>
      <c r="X166" s="18"/>
    </row>
    <row r="167" customFormat="false" ht="13.8" hidden="false" customHeight="false" outlineLevel="0" collapsed="false">
      <c r="A167" s="18"/>
      <c r="B167" s="19" t="n">
        <v>1233</v>
      </c>
      <c r="C167" s="20" t="n">
        <v>43146</v>
      </c>
      <c r="D167" s="21" t="s">
        <v>22</v>
      </c>
      <c r="E167" s="22" t="s">
        <v>322</v>
      </c>
      <c r="F167" s="23" t="s">
        <v>323</v>
      </c>
      <c r="G167" s="22" t="s">
        <v>49</v>
      </c>
      <c r="H167" s="24" t="s">
        <v>443</v>
      </c>
      <c r="I167" s="24" t="s">
        <v>57</v>
      </c>
      <c r="J167" s="25" t="n">
        <v>36.29</v>
      </c>
      <c r="K167" s="26" t="n">
        <v>377000</v>
      </c>
      <c r="L167" s="27" t="n">
        <f aca="false">K167/J167</f>
        <v>10388.5367869937</v>
      </c>
      <c r="M167" s="28" t="s">
        <v>234</v>
      </c>
      <c r="N167" s="29"/>
      <c r="O167" s="30" t="n">
        <f aca="false">K167+N167</f>
        <v>377000</v>
      </c>
      <c r="P167" s="30" t="n">
        <f aca="false">ROUND(O167/J167, 2)</f>
        <v>10388.54</v>
      </c>
      <c r="Q167" s="25" t="s">
        <v>444</v>
      </c>
      <c r="R167" s="22" t="s">
        <v>36</v>
      </c>
      <c r="S167" s="25" t="s">
        <v>29</v>
      </c>
      <c r="T167" s="24" t="s">
        <v>30</v>
      </c>
      <c r="U167" s="31" t="s">
        <v>31</v>
      </c>
      <c r="V167" s="31" t="n">
        <v>43234</v>
      </c>
      <c r="W167" s="18"/>
      <c r="X167" s="18"/>
    </row>
    <row r="168" customFormat="false" ht="13.8" hidden="false" customHeight="false" outlineLevel="0" collapsed="false">
      <c r="A168" s="18"/>
      <c r="B168" s="19" t="n">
        <v>1118</v>
      </c>
      <c r="C168" s="20" t="n">
        <v>43146</v>
      </c>
      <c r="D168" s="21" t="s">
        <v>22</v>
      </c>
      <c r="E168" s="22" t="s">
        <v>144</v>
      </c>
      <c r="F168" s="23" t="s">
        <v>145</v>
      </c>
      <c r="G168" s="22" t="s">
        <v>445</v>
      </c>
      <c r="H168" s="24" t="s">
        <v>294</v>
      </c>
      <c r="I168" s="24" t="s">
        <v>26</v>
      </c>
      <c r="J168" s="25" t="n">
        <v>34.52</v>
      </c>
      <c r="K168" s="26" t="n">
        <v>275000</v>
      </c>
      <c r="L168" s="27" t="n">
        <f aca="false">K168/J168</f>
        <v>7966.39629200463</v>
      </c>
      <c r="M168" s="28"/>
      <c r="N168" s="29"/>
      <c r="O168" s="30" t="n">
        <f aca="false">K168+N168</f>
        <v>275000</v>
      </c>
      <c r="P168" s="30" t="n">
        <f aca="false">ROUND(O168/J168, 2)</f>
        <v>7966.4</v>
      </c>
      <c r="Q168" s="25" t="s">
        <v>293</v>
      </c>
      <c r="R168" s="22" t="s">
        <v>27</v>
      </c>
      <c r="S168" s="25" t="s">
        <v>29</v>
      </c>
      <c r="T168" s="24" t="s">
        <v>30</v>
      </c>
      <c r="U168" s="31" t="s">
        <v>31</v>
      </c>
      <c r="V168" s="31" t="n">
        <v>43234</v>
      </c>
      <c r="W168" s="18"/>
      <c r="X168" s="18"/>
      <c r="Z168" s="33"/>
    </row>
    <row r="169" customFormat="false" ht="13.8" hidden="false" customHeight="false" outlineLevel="0" collapsed="false">
      <c r="A169" s="18"/>
      <c r="B169" s="19" t="n">
        <v>873</v>
      </c>
      <c r="C169" s="20" t="n">
        <v>43146</v>
      </c>
      <c r="D169" s="21" t="s">
        <v>22</v>
      </c>
      <c r="E169" s="22" t="s">
        <v>308</v>
      </c>
      <c r="F169" s="23" t="s">
        <v>446</v>
      </c>
      <c r="G169" s="22" t="s">
        <v>26</v>
      </c>
      <c r="H169" s="24" t="s">
        <v>36</v>
      </c>
      <c r="I169" s="24" t="s">
        <v>447</v>
      </c>
      <c r="J169" s="25" t="n">
        <v>40.4</v>
      </c>
      <c r="K169" s="26" t="n">
        <v>300000</v>
      </c>
      <c r="L169" s="27" t="n">
        <f aca="false">K169/J169</f>
        <v>7425.74257425743</v>
      </c>
      <c r="M169" s="28"/>
      <c r="N169" s="29"/>
      <c r="O169" s="30" t="n">
        <f aca="false">K169+N169</f>
        <v>300000</v>
      </c>
      <c r="P169" s="30" t="n">
        <f aca="false">ROUND(O169/J169, 2)</f>
        <v>7425.74</v>
      </c>
      <c r="Q169" s="25" t="s">
        <v>448</v>
      </c>
      <c r="R169" s="22" t="s">
        <v>27</v>
      </c>
      <c r="S169" s="25" t="s">
        <v>29</v>
      </c>
      <c r="T169" s="24" t="s">
        <v>30</v>
      </c>
      <c r="U169" s="31" t="s">
        <v>31</v>
      </c>
      <c r="V169" s="31" t="n">
        <v>43234</v>
      </c>
      <c r="W169" s="34" t="s">
        <v>449</v>
      </c>
      <c r="X169" s="18"/>
    </row>
    <row r="170" customFormat="false" ht="13.8" hidden="false" customHeight="false" outlineLevel="0" collapsed="false">
      <c r="A170" s="18"/>
      <c r="B170" s="19" t="n">
        <v>545</v>
      </c>
      <c r="C170" s="20" t="n">
        <v>43146</v>
      </c>
      <c r="D170" s="21" t="s">
        <v>22</v>
      </c>
      <c r="E170" s="22" t="s">
        <v>175</v>
      </c>
      <c r="F170" s="23" t="s">
        <v>450</v>
      </c>
      <c r="G170" s="22" t="s">
        <v>396</v>
      </c>
      <c r="H170" s="24" t="s">
        <v>111</v>
      </c>
      <c r="I170" s="24" t="s">
        <v>49</v>
      </c>
      <c r="J170" s="25" t="n">
        <v>42.51</v>
      </c>
      <c r="K170" s="26" t="n">
        <v>350000</v>
      </c>
      <c r="L170" s="27" t="n">
        <f aca="false">K170/J170</f>
        <v>8233.35685721007</v>
      </c>
      <c r="M170" s="28"/>
      <c r="N170" s="29"/>
      <c r="O170" s="30" t="n">
        <f aca="false">K170+N170</f>
        <v>350000</v>
      </c>
      <c r="P170" s="30" t="n">
        <f aca="false">ROUND(O170/J170, 2)</f>
        <v>8233.36</v>
      </c>
      <c r="Q170" s="25" t="s">
        <v>41</v>
      </c>
      <c r="R170" s="22" t="s">
        <v>27</v>
      </c>
      <c r="S170" s="25" t="s">
        <v>29</v>
      </c>
      <c r="T170" s="24" t="s">
        <v>30</v>
      </c>
      <c r="U170" s="31" t="s">
        <v>31</v>
      </c>
      <c r="V170" s="31" t="n">
        <v>43234</v>
      </c>
      <c r="W170" s="18"/>
      <c r="X170" s="18"/>
    </row>
    <row r="171" customFormat="false" ht="13.8" hidden="false" customHeight="false" outlineLevel="0" collapsed="false">
      <c r="A171" s="18"/>
      <c r="B171" s="19" t="n">
        <v>2036</v>
      </c>
      <c r="C171" s="20" t="n">
        <v>43147</v>
      </c>
      <c r="D171" s="21" t="s">
        <v>22</v>
      </c>
      <c r="E171" s="22" t="s">
        <v>156</v>
      </c>
      <c r="F171" s="23" t="s">
        <v>157</v>
      </c>
      <c r="G171" s="22" t="s">
        <v>445</v>
      </c>
      <c r="H171" s="24" t="s">
        <v>115</v>
      </c>
      <c r="I171" s="24" t="s">
        <v>26</v>
      </c>
      <c r="J171" s="25" t="n">
        <v>51.06</v>
      </c>
      <c r="K171" s="26" t="n">
        <v>405926.94</v>
      </c>
      <c r="L171" s="27" t="n">
        <f aca="false">K171/J171</f>
        <v>7949.99882491187</v>
      </c>
      <c r="M171" s="28" t="s">
        <v>205</v>
      </c>
      <c r="N171" s="29" t="n">
        <v>14073.06</v>
      </c>
      <c r="O171" s="30" t="n">
        <f aca="false">K171+N171</f>
        <v>420000</v>
      </c>
      <c r="P171" s="30" t="n">
        <f aca="false">ROUND(O171/J171, 2)</f>
        <v>8225.62</v>
      </c>
      <c r="Q171" s="25" t="s">
        <v>451</v>
      </c>
      <c r="R171" s="22" t="s">
        <v>36</v>
      </c>
      <c r="S171" s="25" t="s">
        <v>29</v>
      </c>
      <c r="T171" s="24" t="s">
        <v>30</v>
      </c>
      <c r="U171" s="31" t="s">
        <v>31</v>
      </c>
      <c r="V171" s="31" t="n">
        <v>43234</v>
      </c>
      <c r="W171" s="18"/>
      <c r="X171" s="18"/>
    </row>
    <row r="172" customFormat="false" ht="13.8" hidden="false" customHeight="false" outlineLevel="0" collapsed="false">
      <c r="A172" s="18"/>
      <c r="B172" s="19" t="n">
        <v>411</v>
      </c>
      <c r="C172" s="20" t="n">
        <v>43147</v>
      </c>
      <c r="D172" s="21" t="s">
        <v>22</v>
      </c>
      <c r="E172" s="22" t="s">
        <v>452</v>
      </c>
      <c r="F172" s="23" t="s">
        <v>199</v>
      </c>
      <c r="G172" s="22" t="s">
        <v>68</v>
      </c>
      <c r="H172" s="24" t="s">
        <v>453</v>
      </c>
      <c r="I172" s="24" t="s">
        <v>200</v>
      </c>
      <c r="J172" s="25" t="n">
        <v>34.5</v>
      </c>
      <c r="K172" s="26" t="n">
        <v>250000</v>
      </c>
      <c r="L172" s="27" t="n">
        <f aca="false">K172/J172</f>
        <v>7246.3768115942</v>
      </c>
      <c r="M172" s="28" t="s">
        <v>64</v>
      </c>
      <c r="N172" s="29"/>
      <c r="O172" s="30" t="n">
        <f aca="false">K172+N172</f>
        <v>250000</v>
      </c>
      <c r="P172" s="30" t="n">
        <f aca="false">ROUND(O172/J172, 2)</f>
        <v>7246.38</v>
      </c>
      <c r="Q172" s="25" t="s">
        <v>454</v>
      </c>
      <c r="R172" s="22" t="s">
        <v>36</v>
      </c>
      <c r="S172" s="25" t="s">
        <v>29</v>
      </c>
      <c r="T172" s="24" t="s">
        <v>30</v>
      </c>
      <c r="U172" s="31" t="s">
        <v>31</v>
      </c>
      <c r="V172" s="31" t="n">
        <v>43234</v>
      </c>
      <c r="W172" s="18"/>
      <c r="X172" s="18"/>
    </row>
    <row r="173" customFormat="false" ht="13.8" hidden="false" customHeight="false" outlineLevel="0" collapsed="false">
      <c r="A173" s="18"/>
      <c r="B173" s="19" t="n">
        <v>1085</v>
      </c>
      <c r="C173" s="20" t="n">
        <v>43147</v>
      </c>
      <c r="D173" s="21" t="s">
        <v>22</v>
      </c>
      <c r="E173" s="22" t="s">
        <v>299</v>
      </c>
      <c r="F173" s="23" t="s">
        <v>271</v>
      </c>
      <c r="G173" s="22" t="s">
        <v>455</v>
      </c>
      <c r="H173" s="24" t="s">
        <v>48</v>
      </c>
      <c r="I173" s="24" t="s">
        <v>49</v>
      </c>
      <c r="J173" s="25" t="n">
        <v>48.66</v>
      </c>
      <c r="K173" s="26" t="n">
        <v>377000</v>
      </c>
      <c r="L173" s="27" t="n">
        <f aca="false">K173/J173</f>
        <v>7747.63666255652</v>
      </c>
      <c r="M173" s="28" t="s">
        <v>64</v>
      </c>
      <c r="N173" s="29"/>
      <c r="O173" s="30" t="n">
        <f aca="false">K173+N173</f>
        <v>377000</v>
      </c>
      <c r="P173" s="30" t="n">
        <f aca="false">ROUND(O173/J173, 2)</f>
        <v>7747.64</v>
      </c>
      <c r="Q173" s="25" t="s">
        <v>50</v>
      </c>
      <c r="R173" s="22" t="s">
        <v>36</v>
      </c>
      <c r="S173" s="25" t="s">
        <v>29</v>
      </c>
      <c r="T173" s="24" t="s">
        <v>30</v>
      </c>
      <c r="U173" s="31" t="s">
        <v>31</v>
      </c>
      <c r="V173" s="31" t="n">
        <v>43234</v>
      </c>
      <c r="W173" s="18"/>
      <c r="X173" s="18"/>
    </row>
    <row r="174" customFormat="false" ht="13.8" hidden="false" customHeight="false" outlineLevel="0" collapsed="false">
      <c r="A174" s="18"/>
      <c r="B174" s="19" t="n">
        <v>656</v>
      </c>
      <c r="C174" s="20" t="n">
        <v>43147</v>
      </c>
      <c r="D174" s="21" t="s">
        <v>22</v>
      </c>
      <c r="E174" s="22" t="s">
        <v>235</v>
      </c>
      <c r="F174" s="23" t="s">
        <v>456</v>
      </c>
      <c r="G174" s="22" t="s">
        <v>57</v>
      </c>
      <c r="H174" s="24" t="s">
        <v>36</v>
      </c>
      <c r="I174" s="24" t="s">
        <v>36</v>
      </c>
      <c r="J174" s="25" t="n">
        <v>28.02</v>
      </c>
      <c r="K174" s="26" t="n">
        <v>235000</v>
      </c>
      <c r="L174" s="27" t="n">
        <f aca="false">K174/J174</f>
        <v>8386.86652391149</v>
      </c>
      <c r="M174" s="28"/>
      <c r="N174" s="29"/>
      <c r="O174" s="30" t="n">
        <f aca="false">K174+N174</f>
        <v>235000</v>
      </c>
      <c r="P174" s="30" t="n">
        <f aca="false">ROUND(O174/J174, 2)</f>
        <v>8386.87</v>
      </c>
      <c r="Q174" s="25" t="s">
        <v>293</v>
      </c>
      <c r="R174" s="22" t="s">
        <v>27</v>
      </c>
      <c r="S174" s="25" t="s">
        <v>29</v>
      </c>
      <c r="T174" s="24" t="s">
        <v>30</v>
      </c>
      <c r="U174" s="31" t="s">
        <v>31</v>
      </c>
      <c r="V174" s="31" t="n">
        <v>43234</v>
      </c>
      <c r="W174" s="18"/>
      <c r="X174" s="18"/>
    </row>
    <row r="175" customFormat="false" ht="13.8" hidden="false" customHeight="false" outlineLevel="0" collapsed="false">
      <c r="A175" s="18"/>
      <c r="B175" s="19" t="n">
        <v>548</v>
      </c>
      <c r="C175" s="20" t="n">
        <v>43150</v>
      </c>
      <c r="D175" s="21" t="s">
        <v>22</v>
      </c>
      <c r="E175" s="22" t="s">
        <v>125</v>
      </c>
      <c r="F175" s="23" t="s">
        <v>94</v>
      </c>
      <c r="G175" s="22" t="s">
        <v>213</v>
      </c>
      <c r="H175" s="24" t="s">
        <v>457</v>
      </c>
      <c r="I175" s="24" t="s">
        <v>26</v>
      </c>
      <c r="J175" s="25" t="n">
        <v>60.77</v>
      </c>
      <c r="K175" s="26" t="n">
        <v>537000</v>
      </c>
      <c r="L175" s="27" t="n">
        <f aca="false">K175/J175</f>
        <v>8836.5970051012</v>
      </c>
      <c r="M175" s="28" t="s">
        <v>64</v>
      </c>
      <c r="N175" s="29"/>
      <c r="O175" s="30" t="n">
        <f aca="false">K175+N175</f>
        <v>537000</v>
      </c>
      <c r="P175" s="30" t="n">
        <f aca="false">ROUND(O175/J175, 2)</f>
        <v>8836.6</v>
      </c>
      <c r="Q175" s="25" t="s">
        <v>50</v>
      </c>
      <c r="R175" s="22" t="s">
        <v>36</v>
      </c>
      <c r="S175" s="25" t="s">
        <v>29</v>
      </c>
      <c r="T175" s="24" t="s">
        <v>30</v>
      </c>
      <c r="U175" s="31" t="s">
        <v>31</v>
      </c>
      <c r="V175" s="31" t="n">
        <v>43234</v>
      </c>
      <c r="W175" s="18"/>
      <c r="X175" s="18"/>
    </row>
    <row r="176" customFormat="false" ht="13.8" hidden="false" customHeight="false" outlineLevel="0" collapsed="false">
      <c r="A176" s="18"/>
      <c r="B176" s="19" t="n">
        <v>6179</v>
      </c>
      <c r="C176" s="20" t="n">
        <v>43150</v>
      </c>
      <c r="D176" s="21" t="s">
        <v>22</v>
      </c>
      <c r="E176" s="22" t="s">
        <v>235</v>
      </c>
      <c r="F176" s="23" t="s">
        <v>386</v>
      </c>
      <c r="G176" s="22" t="s">
        <v>128</v>
      </c>
      <c r="H176" s="24" t="s">
        <v>115</v>
      </c>
      <c r="I176" s="24" t="s">
        <v>57</v>
      </c>
      <c r="J176" s="25" t="n">
        <v>55.22</v>
      </c>
      <c r="K176" s="26" t="n">
        <v>390000</v>
      </c>
      <c r="L176" s="27" t="n">
        <f aca="false">K176/J176</f>
        <v>7062.65845708077</v>
      </c>
      <c r="M176" s="28" t="s">
        <v>64</v>
      </c>
      <c r="N176" s="29"/>
      <c r="O176" s="30" t="n">
        <f aca="false">K176+N176</f>
        <v>390000</v>
      </c>
      <c r="P176" s="30" t="n">
        <f aca="false">ROUND(O176/J176, 2)</f>
        <v>7062.66</v>
      </c>
      <c r="Q176" s="25" t="s">
        <v>85</v>
      </c>
      <c r="R176" s="22" t="s">
        <v>26</v>
      </c>
      <c r="S176" s="25" t="s">
        <v>29</v>
      </c>
      <c r="T176" s="24" t="s">
        <v>30</v>
      </c>
      <c r="U176" s="31" t="s">
        <v>31</v>
      </c>
      <c r="V176" s="31" t="n">
        <v>43234</v>
      </c>
      <c r="W176" s="18"/>
      <c r="X176" s="18"/>
    </row>
    <row r="177" customFormat="false" ht="13.8" hidden="false" customHeight="false" outlineLevel="0" collapsed="false">
      <c r="A177" s="18"/>
      <c r="B177" s="19" t="n">
        <v>536</v>
      </c>
      <c r="C177" s="20" t="n">
        <v>43150</v>
      </c>
      <c r="D177" s="21" t="s">
        <v>22</v>
      </c>
      <c r="E177" s="22" t="s">
        <v>389</v>
      </c>
      <c r="F177" s="23" t="s">
        <v>46</v>
      </c>
      <c r="G177" s="22" t="s">
        <v>458</v>
      </c>
      <c r="H177" s="24" t="s">
        <v>249</v>
      </c>
      <c r="I177" s="24" t="s">
        <v>36</v>
      </c>
      <c r="J177" s="25" t="n">
        <v>53.44</v>
      </c>
      <c r="K177" s="26" t="n">
        <v>410000</v>
      </c>
      <c r="L177" s="27" t="n">
        <f aca="false">K177/J177</f>
        <v>7672.15568862275</v>
      </c>
      <c r="M177" s="28" t="s">
        <v>64</v>
      </c>
      <c r="N177" s="29"/>
      <c r="O177" s="30" t="n">
        <f aca="false">K177+N177</f>
        <v>410000</v>
      </c>
      <c r="P177" s="30" t="n">
        <f aca="false">ROUND(O177/J177, 2)</f>
        <v>7672.16</v>
      </c>
      <c r="Q177" s="25" t="s">
        <v>50</v>
      </c>
      <c r="R177" s="22" t="s">
        <v>36</v>
      </c>
      <c r="S177" s="25" t="s">
        <v>29</v>
      </c>
      <c r="T177" s="24" t="s">
        <v>30</v>
      </c>
      <c r="U177" s="31" t="s">
        <v>31</v>
      </c>
      <c r="V177" s="31" t="n">
        <v>43234</v>
      </c>
      <c r="W177" s="18"/>
      <c r="X177" s="18"/>
    </row>
    <row r="178" customFormat="false" ht="13.8" hidden="false" customHeight="false" outlineLevel="0" collapsed="false">
      <c r="A178" s="18"/>
      <c r="B178" s="19" t="n">
        <v>131</v>
      </c>
      <c r="C178" s="20" t="n">
        <v>43150</v>
      </c>
      <c r="D178" s="21" t="s">
        <v>22</v>
      </c>
      <c r="E178" s="22" t="s">
        <v>459</v>
      </c>
      <c r="F178" s="23" t="s">
        <v>240</v>
      </c>
      <c r="G178" s="22" t="s">
        <v>460</v>
      </c>
      <c r="H178" s="24" t="s">
        <v>253</v>
      </c>
      <c r="I178" s="24" t="s">
        <v>57</v>
      </c>
      <c r="J178" s="25" t="n">
        <v>38.4</v>
      </c>
      <c r="K178" s="26" t="n">
        <v>335000</v>
      </c>
      <c r="L178" s="27" t="n">
        <f aca="false">K178/J178</f>
        <v>8723.95833333333</v>
      </c>
      <c r="M178" s="28"/>
      <c r="N178" s="29"/>
      <c r="O178" s="30" t="n">
        <f aca="false">K178+N178</f>
        <v>335000</v>
      </c>
      <c r="P178" s="30" t="n">
        <f aca="false">ROUND(O178/J178, 2)</f>
        <v>8723.96</v>
      </c>
      <c r="Q178" s="25" t="s">
        <v>50</v>
      </c>
      <c r="R178" s="22" t="s">
        <v>36</v>
      </c>
      <c r="S178" s="25" t="s">
        <v>29</v>
      </c>
      <c r="T178" s="24" t="s">
        <v>30</v>
      </c>
      <c r="U178" s="31" t="s">
        <v>31</v>
      </c>
      <c r="V178" s="31" t="n">
        <v>43234</v>
      </c>
      <c r="W178" s="18"/>
      <c r="X178" s="18"/>
    </row>
    <row r="179" customFormat="false" ht="13.8" hidden="false" customHeight="false" outlineLevel="0" collapsed="false">
      <c r="A179" s="18" t="s">
        <v>461</v>
      </c>
      <c r="B179" s="19" t="n">
        <v>1122</v>
      </c>
      <c r="C179" s="20" t="n">
        <v>43150</v>
      </c>
      <c r="D179" s="21" t="s">
        <v>22</v>
      </c>
      <c r="E179" s="22" t="s">
        <v>118</v>
      </c>
      <c r="F179" s="23" t="s">
        <v>462</v>
      </c>
      <c r="G179" s="22" t="s">
        <v>36</v>
      </c>
      <c r="H179" s="24" t="s">
        <v>48</v>
      </c>
      <c r="I179" s="24" t="s">
        <v>26</v>
      </c>
      <c r="J179" s="25" t="n">
        <f aca="false">47.2-1.7</f>
        <v>45.5</v>
      </c>
      <c r="K179" s="26" t="n">
        <v>333000</v>
      </c>
      <c r="L179" s="27" t="n">
        <f aca="false">K179/J179</f>
        <v>7318.68131868132</v>
      </c>
      <c r="M179" s="28" t="s">
        <v>463</v>
      </c>
      <c r="N179" s="29"/>
      <c r="O179" s="30" t="n">
        <f aca="false">K179+N179</f>
        <v>333000</v>
      </c>
      <c r="P179" s="30" t="n">
        <f aca="false">ROUND(O179/J179, 2)</f>
        <v>7318.68</v>
      </c>
      <c r="Q179" s="25" t="s">
        <v>50</v>
      </c>
      <c r="R179" s="22" t="s">
        <v>36</v>
      </c>
      <c r="S179" s="25" t="s">
        <v>29</v>
      </c>
      <c r="T179" s="24" t="s">
        <v>30</v>
      </c>
      <c r="U179" s="31" t="s">
        <v>31</v>
      </c>
      <c r="V179" s="31" t="n">
        <v>43234</v>
      </c>
      <c r="W179" s="18"/>
      <c r="X179" s="18"/>
    </row>
    <row r="180" customFormat="false" ht="13.8" hidden="false" customHeight="false" outlineLevel="0" collapsed="false">
      <c r="A180" s="18"/>
      <c r="B180" s="19" t="n">
        <v>419</v>
      </c>
      <c r="C180" s="20" t="n">
        <v>43150</v>
      </c>
      <c r="D180" s="21" t="s">
        <v>22</v>
      </c>
      <c r="E180" s="22" t="s">
        <v>109</v>
      </c>
      <c r="F180" s="23" t="s">
        <v>127</v>
      </c>
      <c r="G180" s="22" t="s">
        <v>464</v>
      </c>
      <c r="H180" s="24" t="s">
        <v>49</v>
      </c>
      <c r="I180" s="24" t="s">
        <v>36</v>
      </c>
      <c r="J180" s="25" t="n">
        <v>49.6</v>
      </c>
      <c r="K180" s="26" t="n">
        <v>500000</v>
      </c>
      <c r="L180" s="27" t="n">
        <f aca="false">K180/J180</f>
        <v>10080.6451612903</v>
      </c>
      <c r="M180" s="28"/>
      <c r="N180" s="29"/>
      <c r="O180" s="30" t="n">
        <f aca="false">K180+N180</f>
        <v>500000</v>
      </c>
      <c r="P180" s="30" t="n">
        <f aca="false">ROUND(O180/J180, 2)</f>
        <v>10080.65</v>
      </c>
      <c r="Q180" s="25" t="s">
        <v>465</v>
      </c>
      <c r="R180" s="22" t="s">
        <v>36</v>
      </c>
      <c r="S180" s="25" t="s">
        <v>29</v>
      </c>
      <c r="T180" s="24" t="s">
        <v>30</v>
      </c>
      <c r="U180" s="31" t="s">
        <v>31</v>
      </c>
      <c r="V180" s="31" t="n">
        <v>43234</v>
      </c>
      <c r="W180" s="18"/>
      <c r="X180" s="18"/>
      <c r="AMJ180" s="32"/>
    </row>
    <row r="181" s="32" customFormat="true" ht="13.8" hidden="false" customHeight="false" outlineLevel="0" collapsed="false">
      <c r="A181" s="18"/>
      <c r="B181" s="19" t="n">
        <v>3048</v>
      </c>
      <c r="C181" s="20" t="n">
        <v>43151</v>
      </c>
      <c r="D181" s="21" t="s">
        <v>22</v>
      </c>
      <c r="E181" s="22" t="s">
        <v>23</v>
      </c>
      <c r="F181" s="23" t="s">
        <v>94</v>
      </c>
      <c r="G181" s="22" t="s">
        <v>453</v>
      </c>
      <c r="H181" s="24" t="s">
        <v>126</v>
      </c>
      <c r="I181" s="24" t="s">
        <v>36</v>
      </c>
      <c r="J181" s="25" t="n">
        <f aca="false">39.78-1.98</f>
        <v>37.8</v>
      </c>
      <c r="K181" s="26" t="n">
        <v>327000</v>
      </c>
      <c r="L181" s="27" t="n">
        <f aca="false">K181/J181</f>
        <v>8650.79365079365</v>
      </c>
      <c r="M181" s="28" t="s">
        <v>466</v>
      </c>
      <c r="N181" s="29"/>
      <c r="O181" s="30" t="n">
        <f aca="false">K181+N181</f>
        <v>327000</v>
      </c>
      <c r="P181" s="30" t="n">
        <f aca="false">ROUND(O181/J181, 2)</f>
        <v>8650.79</v>
      </c>
      <c r="Q181" s="25" t="s">
        <v>50</v>
      </c>
      <c r="R181" s="22" t="s">
        <v>36</v>
      </c>
      <c r="S181" s="25" t="s">
        <v>29</v>
      </c>
      <c r="T181" s="24" t="s">
        <v>30</v>
      </c>
      <c r="U181" s="31" t="s">
        <v>31</v>
      </c>
      <c r="V181" s="31" t="n">
        <v>43234</v>
      </c>
      <c r="W181" s="18"/>
      <c r="X181" s="18"/>
    </row>
    <row r="182" s="32" customFormat="true" ht="13.8" hidden="false" customHeight="false" outlineLevel="0" collapsed="false">
      <c r="A182" s="18"/>
      <c r="B182" s="19" t="n">
        <v>1036</v>
      </c>
      <c r="C182" s="20" t="n">
        <v>43151</v>
      </c>
      <c r="D182" s="21" t="s">
        <v>22</v>
      </c>
      <c r="E182" s="22" t="s">
        <v>140</v>
      </c>
      <c r="F182" s="23" t="s">
        <v>138</v>
      </c>
      <c r="G182" s="22" t="s">
        <v>417</v>
      </c>
      <c r="H182" s="24" t="s">
        <v>426</v>
      </c>
      <c r="I182" s="24" t="s">
        <v>294</v>
      </c>
      <c r="J182" s="25" t="n">
        <f aca="false">77.2-12.2</f>
        <v>65</v>
      </c>
      <c r="K182" s="26" t="n">
        <v>595000</v>
      </c>
      <c r="L182" s="27" t="n">
        <f aca="false">K182/J182</f>
        <v>9153.84615384616</v>
      </c>
      <c r="M182" s="28" t="s">
        <v>467</v>
      </c>
      <c r="N182" s="29"/>
      <c r="O182" s="30" t="n">
        <f aca="false">K182+N182</f>
        <v>595000</v>
      </c>
      <c r="P182" s="30" t="n">
        <f aca="false">ROUND(O182/J182, 2)</f>
        <v>9153.85</v>
      </c>
      <c r="Q182" s="25" t="s">
        <v>50</v>
      </c>
      <c r="R182" s="22" t="s">
        <v>36</v>
      </c>
      <c r="S182" s="25" t="s">
        <v>29</v>
      </c>
      <c r="T182" s="24" t="s">
        <v>30</v>
      </c>
      <c r="U182" s="31" t="s">
        <v>31</v>
      </c>
      <c r="V182" s="31" t="n">
        <v>43234</v>
      </c>
      <c r="W182" s="34" t="s">
        <v>468</v>
      </c>
      <c r="X182" s="18"/>
    </row>
    <row r="183" s="32" customFormat="true" ht="13.8" hidden="false" customHeight="false" outlineLevel="0" collapsed="false">
      <c r="A183" s="18"/>
      <c r="B183" s="19" t="n">
        <v>1058</v>
      </c>
      <c r="C183" s="20" t="n">
        <v>43151</v>
      </c>
      <c r="D183" s="21" t="s">
        <v>22</v>
      </c>
      <c r="E183" s="22" t="s">
        <v>203</v>
      </c>
      <c r="F183" s="23" t="s">
        <v>138</v>
      </c>
      <c r="G183" s="22" t="s">
        <v>111</v>
      </c>
      <c r="H183" s="24" t="s">
        <v>469</v>
      </c>
      <c r="I183" s="24" t="s">
        <v>57</v>
      </c>
      <c r="J183" s="25" t="n">
        <f aca="false">70.56-15.12</f>
        <v>55.44</v>
      </c>
      <c r="K183" s="26" t="n">
        <v>580000</v>
      </c>
      <c r="L183" s="27" t="n">
        <f aca="false">K183/J183</f>
        <v>10461.7604617605</v>
      </c>
      <c r="M183" s="28" t="s">
        <v>470</v>
      </c>
      <c r="N183" s="29"/>
      <c r="O183" s="30" t="n">
        <f aca="false">K183+N183</f>
        <v>580000</v>
      </c>
      <c r="P183" s="30" t="n">
        <f aca="false">ROUND(O183/J183, 2)</f>
        <v>10461.76</v>
      </c>
      <c r="Q183" s="25" t="s">
        <v>232</v>
      </c>
      <c r="R183" s="22" t="s">
        <v>26</v>
      </c>
      <c r="S183" s="25" t="s">
        <v>29</v>
      </c>
      <c r="T183" s="24" t="s">
        <v>30</v>
      </c>
      <c r="U183" s="31" t="s">
        <v>31</v>
      </c>
      <c r="V183" s="31" t="n">
        <v>43234</v>
      </c>
      <c r="W183" s="18"/>
      <c r="X183" s="18"/>
    </row>
    <row r="184" s="32" customFormat="true" ht="13.8" hidden="false" customHeight="false" outlineLevel="0" collapsed="false">
      <c r="A184" s="18"/>
      <c r="B184" s="19" t="n">
        <v>246</v>
      </c>
      <c r="C184" s="20" t="n">
        <v>43151</v>
      </c>
      <c r="D184" s="21" t="s">
        <v>22</v>
      </c>
      <c r="E184" s="22" t="s">
        <v>42</v>
      </c>
      <c r="F184" s="42" t="s">
        <v>301</v>
      </c>
      <c r="G184" s="22" t="s">
        <v>395</v>
      </c>
      <c r="H184" s="24" t="s">
        <v>193</v>
      </c>
      <c r="I184" s="24" t="s">
        <v>112</v>
      </c>
      <c r="J184" s="25" t="n">
        <f aca="false">38.65-2.65</f>
        <v>36</v>
      </c>
      <c r="K184" s="26" t="n">
        <v>336000</v>
      </c>
      <c r="L184" s="27" t="n">
        <f aca="false">K184/J184</f>
        <v>9333.33333333333</v>
      </c>
      <c r="M184" s="28" t="s">
        <v>397</v>
      </c>
      <c r="N184" s="29"/>
      <c r="O184" s="30" t="n">
        <f aca="false">K184+N184</f>
        <v>336000</v>
      </c>
      <c r="P184" s="30" t="n">
        <f aca="false">ROUND(O184/J184, 2)</f>
        <v>9333.33</v>
      </c>
      <c r="Q184" s="25" t="s">
        <v>50</v>
      </c>
      <c r="R184" s="22" t="s">
        <v>36</v>
      </c>
      <c r="S184" s="25" t="s">
        <v>29</v>
      </c>
      <c r="T184" s="24" t="s">
        <v>30</v>
      </c>
      <c r="U184" s="31" t="s">
        <v>31</v>
      </c>
      <c r="V184" s="31" t="n">
        <v>43234</v>
      </c>
      <c r="W184" s="18"/>
      <c r="X184" s="18"/>
    </row>
    <row r="185" s="32" customFormat="true" ht="13.8" hidden="false" customHeight="false" outlineLevel="0" collapsed="false">
      <c r="A185" s="18"/>
      <c r="B185" s="19" t="n">
        <v>773</v>
      </c>
      <c r="C185" s="20" t="n">
        <v>43151</v>
      </c>
      <c r="D185" s="21" t="s">
        <v>22</v>
      </c>
      <c r="E185" s="22" t="s">
        <v>268</v>
      </c>
      <c r="F185" s="23" t="s">
        <v>471</v>
      </c>
      <c r="G185" s="22" t="s">
        <v>82</v>
      </c>
      <c r="H185" s="24" t="s">
        <v>464</v>
      </c>
      <c r="I185" s="24" t="s">
        <v>36</v>
      </c>
      <c r="J185" s="25" t="n">
        <v>47.73</v>
      </c>
      <c r="K185" s="26" t="n">
        <v>369000</v>
      </c>
      <c r="L185" s="27" t="n">
        <f aca="false">K185/J185</f>
        <v>7730.98680075424</v>
      </c>
      <c r="M185" s="28"/>
      <c r="N185" s="29"/>
      <c r="O185" s="30" t="n">
        <f aca="false">K185+N185</f>
        <v>369000</v>
      </c>
      <c r="P185" s="30" t="n">
        <f aca="false">ROUND(O185/J185, 2)</f>
        <v>7730.99</v>
      </c>
      <c r="Q185" s="25" t="s">
        <v>50</v>
      </c>
      <c r="R185" s="22" t="s">
        <v>36</v>
      </c>
      <c r="S185" s="25" t="s">
        <v>29</v>
      </c>
      <c r="T185" s="24" t="s">
        <v>30</v>
      </c>
      <c r="U185" s="31" t="s">
        <v>31</v>
      </c>
      <c r="V185" s="31" t="n">
        <v>43234</v>
      </c>
      <c r="W185" s="18"/>
      <c r="X185" s="18"/>
    </row>
    <row r="186" s="32" customFormat="true" ht="13.8" hidden="false" customHeight="false" outlineLevel="0" collapsed="false">
      <c r="A186" s="18"/>
      <c r="B186" s="19" t="n">
        <v>247</v>
      </c>
      <c r="C186" s="20" t="n">
        <v>43151</v>
      </c>
      <c r="D186" s="21" t="s">
        <v>22</v>
      </c>
      <c r="E186" s="22" t="s">
        <v>183</v>
      </c>
      <c r="F186" s="23" t="s">
        <v>46</v>
      </c>
      <c r="G186" s="22" t="s">
        <v>472</v>
      </c>
      <c r="H186" s="24" t="s">
        <v>473</v>
      </c>
      <c r="I186" s="24" t="s">
        <v>57</v>
      </c>
      <c r="J186" s="25" t="n">
        <v>49.05</v>
      </c>
      <c r="K186" s="26" t="n">
        <v>385000</v>
      </c>
      <c r="L186" s="27" t="n">
        <f aca="false">K186/J186</f>
        <v>7849.13353720693</v>
      </c>
      <c r="M186" s="28" t="s">
        <v>64</v>
      </c>
      <c r="N186" s="29"/>
      <c r="O186" s="30" t="n">
        <f aca="false">K186+N186</f>
        <v>385000</v>
      </c>
      <c r="P186" s="30" t="n">
        <f aca="false">ROUND(O186/J186, 2)</f>
        <v>7849.13</v>
      </c>
      <c r="Q186" s="25" t="s">
        <v>50</v>
      </c>
      <c r="R186" s="22" t="s">
        <v>36</v>
      </c>
      <c r="S186" s="25" t="s">
        <v>29</v>
      </c>
      <c r="T186" s="24" t="s">
        <v>30</v>
      </c>
      <c r="U186" s="31" t="s">
        <v>31</v>
      </c>
      <c r="V186" s="31" t="n">
        <v>43234</v>
      </c>
      <c r="W186" s="18"/>
      <c r="X186" s="18"/>
    </row>
    <row r="187" s="32" customFormat="true" ht="13.8" hidden="false" customHeight="false" outlineLevel="0" collapsed="false">
      <c r="A187" s="18"/>
      <c r="B187" s="19" t="n">
        <v>936</v>
      </c>
      <c r="C187" s="20" t="n">
        <v>43152</v>
      </c>
      <c r="D187" s="21" t="s">
        <v>22</v>
      </c>
      <c r="E187" s="22" t="s">
        <v>281</v>
      </c>
      <c r="F187" s="23" t="s">
        <v>94</v>
      </c>
      <c r="G187" s="22" t="s">
        <v>474</v>
      </c>
      <c r="H187" s="24" t="s">
        <v>275</v>
      </c>
      <c r="I187" s="24" t="s">
        <v>57</v>
      </c>
      <c r="J187" s="25" t="n">
        <f aca="false">55.14</f>
        <v>55.14</v>
      </c>
      <c r="K187" s="26" t="n">
        <v>479000</v>
      </c>
      <c r="L187" s="27" t="n">
        <f aca="false">K187/J187</f>
        <v>8686.97859992746</v>
      </c>
      <c r="M187" s="28" t="s">
        <v>64</v>
      </c>
      <c r="N187" s="29"/>
      <c r="O187" s="30" t="n">
        <f aca="false">K187+N187</f>
        <v>479000</v>
      </c>
      <c r="P187" s="30" t="n">
        <f aca="false">ROUND(O187/J187, 2)</f>
        <v>8686.98</v>
      </c>
      <c r="Q187" s="25" t="s">
        <v>85</v>
      </c>
      <c r="R187" s="22" t="s">
        <v>26</v>
      </c>
      <c r="S187" s="25" t="s">
        <v>29</v>
      </c>
      <c r="T187" s="24" t="s">
        <v>30</v>
      </c>
      <c r="U187" s="31" t="s">
        <v>31</v>
      </c>
      <c r="V187" s="31" t="n">
        <v>43234</v>
      </c>
      <c r="W187" s="18"/>
      <c r="X187" s="18"/>
    </row>
    <row r="188" s="32" customFormat="true" ht="13.8" hidden="false" customHeight="false" outlineLevel="0" collapsed="false">
      <c r="A188" s="18"/>
      <c r="B188" s="19" t="n">
        <v>520</v>
      </c>
      <c r="C188" s="20" t="n">
        <v>43152</v>
      </c>
      <c r="D188" s="21" t="s">
        <v>22</v>
      </c>
      <c r="E188" s="22" t="s">
        <v>235</v>
      </c>
      <c r="F188" s="23" t="s">
        <v>236</v>
      </c>
      <c r="G188" s="22" t="s">
        <v>475</v>
      </c>
      <c r="H188" s="24" t="s">
        <v>246</v>
      </c>
      <c r="I188" s="24" t="s">
        <v>36</v>
      </c>
      <c r="J188" s="25" t="n">
        <v>36.64</v>
      </c>
      <c r="K188" s="26" t="n">
        <v>220000</v>
      </c>
      <c r="L188" s="27" t="n">
        <f aca="false">K188/J188</f>
        <v>6004.36681222707</v>
      </c>
      <c r="M188" s="28"/>
      <c r="N188" s="29"/>
      <c r="O188" s="30" t="n">
        <f aca="false">K188+N188</f>
        <v>220000</v>
      </c>
      <c r="P188" s="30" t="n">
        <f aca="false">ROUND(O188/J188, 2)</f>
        <v>6004.37</v>
      </c>
      <c r="Q188" s="25" t="s">
        <v>41</v>
      </c>
      <c r="R188" s="22" t="s">
        <v>27</v>
      </c>
      <c r="S188" s="25" t="s">
        <v>29</v>
      </c>
      <c r="T188" s="24" t="s">
        <v>30</v>
      </c>
      <c r="U188" s="31" t="s">
        <v>31</v>
      </c>
      <c r="V188" s="31" t="n">
        <v>43234</v>
      </c>
      <c r="W188" s="18"/>
      <c r="X188" s="18"/>
    </row>
    <row r="189" s="32" customFormat="true" ht="13.8" hidden="false" customHeight="false" outlineLevel="0" collapsed="false">
      <c r="A189" s="18"/>
      <c r="B189" s="19" t="n">
        <v>7843</v>
      </c>
      <c r="C189" s="20" t="n">
        <v>43152</v>
      </c>
      <c r="D189" s="21" t="s">
        <v>22</v>
      </c>
      <c r="E189" s="22" t="s">
        <v>42</v>
      </c>
      <c r="F189" s="23" t="s">
        <v>43</v>
      </c>
      <c r="G189" s="22" t="s">
        <v>111</v>
      </c>
      <c r="H189" s="24" t="s">
        <v>147</v>
      </c>
      <c r="I189" s="24" t="s">
        <v>57</v>
      </c>
      <c r="J189" s="25" t="n">
        <v>48.7</v>
      </c>
      <c r="K189" s="26" t="n">
        <v>518000</v>
      </c>
      <c r="L189" s="27" t="n">
        <f aca="false">K189/J189</f>
        <v>10636.5503080082</v>
      </c>
      <c r="M189" s="28"/>
      <c r="N189" s="29"/>
      <c r="O189" s="30" t="n">
        <f aca="false">K189+N189</f>
        <v>518000</v>
      </c>
      <c r="P189" s="30" t="n">
        <f aca="false">ROUND(O189/J189, 2)</f>
        <v>10636.55</v>
      </c>
      <c r="Q189" s="25" t="s">
        <v>50</v>
      </c>
      <c r="R189" s="22" t="s">
        <v>36</v>
      </c>
      <c r="S189" s="25" t="s">
        <v>29</v>
      </c>
      <c r="T189" s="24" t="s">
        <v>30</v>
      </c>
      <c r="U189" s="31" t="s">
        <v>31</v>
      </c>
      <c r="V189" s="31" t="n">
        <v>43234</v>
      </c>
      <c r="W189" s="18"/>
      <c r="X189" s="18"/>
    </row>
    <row r="190" s="32" customFormat="true" ht="13.8" hidden="false" customHeight="false" outlineLevel="0" collapsed="false">
      <c r="A190" s="18"/>
      <c r="B190" s="19" t="n">
        <v>557</v>
      </c>
      <c r="C190" s="20" t="n">
        <v>43152</v>
      </c>
      <c r="D190" s="21" t="s">
        <v>22</v>
      </c>
      <c r="E190" s="22" t="s">
        <v>350</v>
      </c>
      <c r="F190" s="23" t="s">
        <v>351</v>
      </c>
      <c r="G190" s="22" t="s">
        <v>476</v>
      </c>
      <c r="H190" s="24" t="s">
        <v>74</v>
      </c>
      <c r="I190" s="24" t="s">
        <v>57</v>
      </c>
      <c r="J190" s="25" t="n">
        <v>59.72</v>
      </c>
      <c r="K190" s="26" t="n">
        <v>614000</v>
      </c>
      <c r="L190" s="27" t="n">
        <f aca="false">K190/J190</f>
        <v>10281.3127930342</v>
      </c>
      <c r="M190" s="28" t="s">
        <v>205</v>
      </c>
      <c r="N190" s="29" t="n">
        <v>30000</v>
      </c>
      <c r="O190" s="30" t="n">
        <f aca="false">K190+N190</f>
        <v>644000</v>
      </c>
      <c r="P190" s="30" t="n">
        <f aca="false">ROUND(O190/J190, 2)</f>
        <v>10783.66</v>
      </c>
      <c r="Q190" s="25" t="s">
        <v>50</v>
      </c>
      <c r="R190" s="22" t="s">
        <v>36</v>
      </c>
      <c r="S190" s="25" t="s">
        <v>29</v>
      </c>
      <c r="T190" s="24" t="s">
        <v>30</v>
      </c>
      <c r="U190" s="31" t="s">
        <v>31</v>
      </c>
      <c r="V190" s="31" t="n">
        <v>43234</v>
      </c>
      <c r="W190" s="18"/>
      <c r="X190" s="18"/>
    </row>
    <row r="191" s="32" customFormat="true" ht="13.8" hidden="false" customHeight="false" outlineLevel="0" collapsed="false">
      <c r="A191" s="18"/>
      <c r="B191" s="19" t="n">
        <v>544</v>
      </c>
      <c r="C191" s="20" t="n">
        <v>43152</v>
      </c>
      <c r="D191" s="21" t="s">
        <v>22</v>
      </c>
      <c r="E191" s="22" t="s">
        <v>477</v>
      </c>
      <c r="F191" s="23" t="s">
        <v>478</v>
      </c>
      <c r="G191" s="22" t="s">
        <v>217</v>
      </c>
      <c r="H191" s="24" t="s">
        <v>48</v>
      </c>
      <c r="I191" s="24" t="s">
        <v>112</v>
      </c>
      <c r="J191" s="25" t="n">
        <v>33.57</v>
      </c>
      <c r="K191" s="26" t="n">
        <v>379000</v>
      </c>
      <c r="L191" s="27" t="n">
        <f aca="false">K191/J191</f>
        <v>11289.8421209413</v>
      </c>
      <c r="M191" s="28"/>
      <c r="N191" s="29"/>
      <c r="O191" s="30" t="n">
        <f aca="false">K191+N191</f>
        <v>379000</v>
      </c>
      <c r="P191" s="30" t="n">
        <f aca="false">ROUND(O191/J191, 2)</f>
        <v>11289.84</v>
      </c>
      <c r="Q191" s="25" t="s">
        <v>383</v>
      </c>
      <c r="R191" s="22" t="s">
        <v>27</v>
      </c>
      <c r="S191" s="25" t="s">
        <v>29</v>
      </c>
      <c r="T191" s="24" t="s">
        <v>30</v>
      </c>
      <c r="U191" s="31" t="s">
        <v>31</v>
      </c>
      <c r="V191" s="31" t="n">
        <v>43234</v>
      </c>
      <c r="W191" s="18"/>
      <c r="X191" s="18"/>
    </row>
    <row r="192" s="32" customFormat="true" ht="13.8" hidden="false" customHeight="false" outlineLevel="0" collapsed="false">
      <c r="A192" s="18"/>
      <c r="B192" s="19" t="n">
        <v>562</v>
      </c>
      <c r="C192" s="20" t="n">
        <v>43153</v>
      </c>
      <c r="D192" s="21" t="s">
        <v>22</v>
      </c>
      <c r="E192" s="22" t="s">
        <v>23</v>
      </c>
      <c r="F192" s="23" t="s">
        <v>195</v>
      </c>
      <c r="G192" s="22" t="s">
        <v>193</v>
      </c>
      <c r="H192" s="24" t="s">
        <v>135</v>
      </c>
      <c r="I192" s="24" t="s">
        <v>26</v>
      </c>
      <c r="J192" s="25" t="n">
        <v>26.73</v>
      </c>
      <c r="K192" s="26" t="n">
        <v>215000</v>
      </c>
      <c r="L192" s="27" t="n">
        <f aca="false">K192/J192</f>
        <v>8043.39693228582</v>
      </c>
      <c r="M192" s="28"/>
      <c r="N192" s="29"/>
      <c r="O192" s="30" t="n">
        <f aca="false">K192+N192</f>
        <v>215000</v>
      </c>
      <c r="P192" s="30" t="n">
        <f aca="false">ROUND(O192/J192, 2)</f>
        <v>8043.4</v>
      </c>
      <c r="Q192" s="25" t="s">
        <v>479</v>
      </c>
      <c r="R192" s="22" t="s">
        <v>27</v>
      </c>
      <c r="S192" s="25" t="s">
        <v>29</v>
      </c>
      <c r="T192" s="24" t="s">
        <v>30</v>
      </c>
      <c r="U192" s="31" t="s">
        <v>31</v>
      </c>
      <c r="V192" s="31" t="n">
        <v>43234</v>
      </c>
      <c r="W192" s="18"/>
      <c r="X192" s="18"/>
    </row>
    <row r="193" s="32" customFormat="true" ht="13.8" hidden="false" customHeight="false" outlineLevel="0" collapsed="false">
      <c r="A193" s="18"/>
      <c r="B193" s="19" t="n">
        <v>1350</v>
      </c>
      <c r="C193" s="20" t="n">
        <v>43153</v>
      </c>
      <c r="D193" s="21" t="s">
        <v>22</v>
      </c>
      <c r="E193" s="22" t="s">
        <v>480</v>
      </c>
      <c r="F193" s="23" t="s">
        <v>481</v>
      </c>
      <c r="G193" s="22" t="s">
        <v>135</v>
      </c>
      <c r="H193" s="24" t="s">
        <v>57</v>
      </c>
      <c r="I193" s="24" t="s">
        <v>26</v>
      </c>
      <c r="J193" s="25" t="n">
        <v>32.7</v>
      </c>
      <c r="K193" s="26" t="n">
        <f aca="false">3*81667</f>
        <v>245001</v>
      </c>
      <c r="L193" s="27" t="n">
        <f aca="false">K193/J193</f>
        <v>7492.38532110092</v>
      </c>
      <c r="M193" s="28"/>
      <c r="N193" s="29"/>
      <c r="O193" s="30" t="n">
        <f aca="false">K193+N193</f>
        <v>245001</v>
      </c>
      <c r="P193" s="30" t="n">
        <f aca="false">ROUND(O193/J193, 2)</f>
        <v>7492.39</v>
      </c>
      <c r="Q193" s="25" t="s">
        <v>41</v>
      </c>
      <c r="R193" s="22" t="s">
        <v>27</v>
      </c>
      <c r="S193" s="25" t="s">
        <v>29</v>
      </c>
      <c r="T193" s="24" t="s">
        <v>30</v>
      </c>
      <c r="U193" s="31" t="s">
        <v>31</v>
      </c>
      <c r="V193" s="31" t="n">
        <v>43234</v>
      </c>
      <c r="W193" s="18"/>
      <c r="X193" s="18"/>
      <c r="Y193" s="35"/>
      <c r="Z193" s="43"/>
    </row>
    <row r="194" s="32" customFormat="true" ht="13.8" hidden="false" customHeight="false" outlineLevel="0" collapsed="false">
      <c r="A194" s="18"/>
      <c r="B194" s="19" t="n">
        <v>338</v>
      </c>
      <c r="C194" s="20" t="n">
        <v>43153</v>
      </c>
      <c r="D194" s="21" t="s">
        <v>22</v>
      </c>
      <c r="E194" s="22" t="s">
        <v>86</v>
      </c>
      <c r="F194" s="23" t="s">
        <v>471</v>
      </c>
      <c r="G194" s="22" t="s">
        <v>210</v>
      </c>
      <c r="H194" s="24" t="s">
        <v>147</v>
      </c>
      <c r="I194" s="24" t="s">
        <v>25</v>
      </c>
      <c r="J194" s="25" t="n">
        <f aca="false">54.64-4.15</f>
        <v>50.49</v>
      </c>
      <c r="K194" s="26" t="n">
        <v>515000</v>
      </c>
      <c r="L194" s="27" t="n">
        <f aca="false">K194/J194</f>
        <v>10200.0396118043</v>
      </c>
      <c r="M194" s="28" t="s">
        <v>482</v>
      </c>
      <c r="N194" s="29"/>
      <c r="O194" s="30" t="n">
        <f aca="false">K194+N194</f>
        <v>515000</v>
      </c>
      <c r="P194" s="30" t="n">
        <f aca="false">ROUND(O194/J194, 2)</f>
        <v>10200.04</v>
      </c>
      <c r="Q194" s="25" t="s">
        <v>161</v>
      </c>
      <c r="R194" s="22" t="s">
        <v>36</v>
      </c>
      <c r="S194" s="25" t="s">
        <v>29</v>
      </c>
      <c r="T194" s="24" t="s">
        <v>30</v>
      </c>
      <c r="U194" s="31" t="s">
        <v>31</v>
      </c>
      <c r="V194" s="31" t="n">
        <v>43234</v>
      </c>
      <c r="W194" s="18"/>
      <c r="X194" s="18"/>
      <c r="Y194" s="1"/>
      <c r="Z194" s="1"/>
    </row>
    <row r="195" customFormat="false" ht="13.8" hidden="false" customHeight="false" outlineLevel="0" collapsed="false">
      <c r="A195" s="18"/>
      <c r="B195" s="19" t="n">
        <v>717</v>
      </c>
      <c r="C195" s="20" t="n">
        <v>43153</v>
      </c>
      <c r="D195" s="21" t="s">
        <v>22</v>
      </c>
      <c r="E195" s="22" t="s">
        <v>289</v>
      </c>
      <c r="F195" s="23" t="s">
        <v>290</v>
      </c>
      <c r="G195" s="22" t="s">
        <v>291</v>
      </c>
      <c r="H195" s="24" t="s">
        <v>259</v>
      </c>
      <c r="I195" s="24" t="s">
        <v>26</v>
      </c>
      <c r="J195" s="25" t="n">
        <f aca="false">33.08-3.91</f>
        <v>29.17</v>
      </c>
      <c r="K195" s="26" t="n">
        <v>315000</v>
      </c>
      <c r="L195" s="27" t="n">
        <f aca="false">K195/J195</f>
        <v>10798.7658553308</v>
      </c>
      <c r="M195" s="28" t="s">
        <v>292</v>
      </c>
      <c r="N195" s="29"/>
      <c r="O195" s="30" t="n">
        <f aca="false">K195+N195</f>
        <v>315000</v>
      </c>
      <c r="P195" s="30" t="n">
        <f aca="false">ROUND(O195/J195, 2)</f>
        <v>10798.77</v>
      </c>
      <c r="Q195" s="25" t="s">
        <v>41</v>
      </c>
      <c r="R195" s="22" t="s">
        <v>27</v>
      </c>
      <c r="S195" s="25" t="s">
        <v>29</v>
      </c>
      <c r="T195" s="24" t="s">
        <v>30</v>
      </c>
      <c r="U195" s="31" t="s">
        <v>31</v>
      </c>
      <c r="V195" s="31" t="n">
        <v>43234</v>
      </c>
      <c r="W195" s="34"/>
      <c r="X195" s="34"/>
    </row>
    <row r="196" customFormat="false" ht="13.8" hidden="false" customHeight="false" outlineLevel="0" collapsed="false">
      <c r="A196" s="18"/>
      <c r="B196" s="19" t="n">
        <v>34</v>
      </c>
      <c r="C196" s="20" t="n">
        <v>43153</v>
      </c>
      <c r="D196" s="21" t="s">
        <v>22</v>
      </c>
      <c r="E196" s="22" t="s">
        <v>399</v>
      </c>
      <c r="F196" s="23" t="s">
        <v>483</v>
      </c>
      <c r="G196" s="22" t="s">
        <v>112</v>
      </c>
      <c r="H196" s="24" t="s">
        <v>55</v>
      </c>
      <c r="I196" s="24" t="s">
        <v>26</v>
      </c>
      <c r="J196" s="25" t="n">
        <f aca="false">106.37-4.63</f>
        <v>101.74</v>
      </c>
      <c r="K196" s="26" t="n">
        <v>1040000</v>
      </c>
      <c r="L196" s="27" t="n">
        <f aca="false">K196/J196</f>
        <v>10222.1348535483</v>
      </c>
      <c r="M196" s="28" t="s">
        <v>484</v>
      </c>
      <c r="N196" s="29" t="n">
        <v>30000</v>
      </c>
      <c r="O196" s="30" t="n">
        <f aca="false">K196+N196</f>
        <v>1070000</v>
      </c>
      <c r="P196" s="30" t="n">
        <f aca="false">ROUND(O196/J196, 2)</f>
        <v>10517</v>
      </c>
      <c r="Q196" s="25" t="s">
        <v>85</v>
      </c>
      <c r="R196" s="22" t="s">
        <v>26</v>
      </c>
      <c r="S196" s="25" t="s">
        <v>29</v>
      </c>
      <c r="T196" s="24" t="s">
        <v>30</v>
      </c>
      <c r="U196" s="31" t="s">
        <v>31</v>
      </c>
      <c r="V196" s="31" t="n">
        <v>43234</v>
      </c>
      <c r="W196" s="34"/>
      <c r="X196" s="34"/>
    </row>
    <row r="197" customFormat="false" ht="13.8" hidden="false" customHeight="false" outlineLevel="0" collapsed="false">
      <c r="A197" s="18"/>
      <c r="B197" s="19" t="n">
        <v>2184</v>
      </c>
      <c r="C197" s="20" t="n">
        <v>43153</v>
      </c>
      <c r="D197" s="21" t="s">
        <v>22</v>
      </c>
      <c r="E197" s="22" t="s">
        <v>175</v>
      </c>
      <c r="F197" s="23" t="s">
        <v>485</v>
      </c>
      <c r="G197" s="22" t="s">
        <v>269</v>
      </c>
      <c r="H197" s="24" t="s">
        <v>112</v>
      </c>
      <c r="I197" s="24" t="s">
        <v>26</v>
      </c>
      <c r="J197" s="25" t="n">
        <v>95.1</v>
      </c>
      <c r="K197" s="26" t="n">
        <v>865000</v>
      </c>
      <c r="L197" s="27" t="n">
        <f aca="false">K197/J197</f>
        <v>9095.68874868559</v>
      </c>
      <c r="M197" s="28" t="s">
        <v>64</v>
      </c>
      <c r="N197" s="29"/>
      <c r="O197" s="30" t="n">
        <f aca="false">K197+N197</f>
        <v>865000</v>
      </c>
      <c r="P197" s="30" t="n">
        <f aca="false">ROUND(O197/J197, 2)</f>
        <v>9095.69</v>
      </c>
      <c r="Q197" s="25" t="s">
        <v>85</v>
      </c>
      <c r="R197" s="22" t="s">
        <v>26</v>
      </c>
      <c r="S197" s="25" t="s">
        <v>29</v>
      </c>
      <c r="T197" s="24" t="s">
        <v>30</v>
      </c>
      <c r="U197" s="31" t="s">
        <v>31</v>
      </c>
      <c r="V197" s="31" t="n">
        <v>43234</v>
      </c>
      <c r="W197" s="34"/>
      <c r="X197" s="34"/>
    </row>
    <row r="198" customFormat="false" ht="13.8" hidden="false" customHeight="false" outlineLevel="0" collapsed="false">
      <c r="A198" s="18"/>
      <c r="B198" s="19" t="n">
        <v>389</v>
      </c>
      <c r="C198" s="20" t="n">
        <v>43153</v>
      </c>
      <c r="D198" s="21" t="s">
        <v>22</v>
      </c>
      <c r="E198" s="22" t="s">
        <v>72</v>
      </c>
      <c r="F198" s="23" t="s">
        <v>387</v>
      </c>
      <c r="G198" s="22" t="s">
        <v>275</v>
      </c>
      <c r="H198" s="24" t="s">
        <v>300</v>
      </c>
      <c r="I198" s="24" t="s">
        <v>49</v>
      </c>
      <c r="J198" s="25" t="n">
        <v>45</v>
      </c>
      <c r="K198" s="26" t="n">
        <v>450000</v>
      </c>
      <c r="L198" s="27" t="n">
        <f aca="false">K198/J198</f>
        <v>10000</v>
      </c>
      <c r="M198" s="28" t="s">
        <v>64</v>
      </c>
      <c r="N198" s="29"/>
      <c r="O198" s="30" t="n">
        <f aca="false">K198+N198</f>
        <v>450000</v>
      </c>
      <c r="P198" s="30" t="n">
        <f aca="false">ROUND(O198/J198, 2)</f>
        <v>10000</v>
      </c>
      <c r="Q198" s="25" t="s">
        <v>41</v>
      </c>
      <c r="R198" s="22" t="s">
        <v>27</v>
      </c>
      <c r="S198" s="25" t="s">
        <v>29</v>
      </c>
      <c r="T198" s="24" t="s">
        <v>30</v>
      </c>
      <c r="U198" s="31" t="s">
        <v>31</v>
      </c>
      <c r="V198" s="31" t="n">
        <v>43234</v>
      </c>
      <c r="W198" s="34"/>
      <c r="X198" s="34"/>
    </row>
    <row r="199" customFormat="false" ht="13.8" hidden="false" customHeight="false" outlineLevel="0" collapsed="false">
      <c r="A199" s="18"/>
      <c r="B199" s="19" t="n">
        <v>537</v>
      </c>
      <c r="C199" s="20" t="n">
        <v>43153</v>
      </c>
      <c r="D199" s="21" t="s">
        <v>22</v>
      </c>
      <c r="E199" s="22" t="s">
        <v>183</v>
      </c>
      <c r="F199" s="23" t="s">
        <v>486</v>
      </c>
      <c r="G199" s="22" t="s">
        <v>295</v>
      </c>
      <c r="H199" s="24" t="s">
        <v>25</v>
      </c>
      <c r="I199" s="24" t="s">
        <v>27</v>
      </c>
      <c r="J199" s="25" t="n">
        <f aca="false">38.89-2.59</f>
        <v>36.3</v>
      </c>
      <c r="K199" s="26" t="n">
        <v>225000</v>
      </c>
      <c r="L199" s="27" t="n">
        <f aca="false">K199/J199</f>
        <v>6198.34710743802</v>
      </c>
      <c r="M199" s="28" t="s">
        <v>487</v>
      </c>
      <c r="N199" s="29"/>
      <c r="O199" s="30" t="n">
        <f aca="false">K199+N199</f>
        <v>225000</v>
      </c>
      <c r="P199" s="30" t="n">
        <f aca="false">ROUND(O199/J199, 2)</f>
        <v>6198.35</v>
      </c>
      <c r="Q199" s="25" t="s">
        <v>488</v>
      </c>
      <c r="R199" s="22" t="s">
        <v>36</v>
      </c>
      <c r="S199" s="25" t="s">
        <v>29</v>
      </c>
      <c r="T199" s="24" t="s">
        <v>30</v>
      </c>
      <c r="U199" s="31" t="s">
        <v>31</v>
      </c>
      <c r="V199" s="31" t="n">
        <v>43234</v>
      </c>
      <c r="W199" s="34"/>
      <c r="X199" s="34"/>
    </row>
    <row r="200" customFormat="false" ht="13.8" hidden="false" customHeight="false" outlineLevel="0" collapsed="false">
      <c r="A200" s="18"/>
      <c r="B200" s="19" t="n">
        <v>753</v>
      </c>
      <c r="C200" s="20" t="n">
        <v>43154</v>
      </c>
      <c r="D200" s="21" t="s">
        <v>22</v>
      </c>
      <c r="E200" s="22" t="s">
        <v>75</v>
      </c>
      <c r="F200" s="23" t="s">
        <v>76</v>
      </c>
      <c r="G200" s="22" t="s">
        <v>489</v>
      </c>
      <c r="H200" s="24" t="s">
        <v>408</v>
      </c>
      <c r="I200" s="24" t="s">
        <v>49</v>
      </c>
      <c r="J200" s="25" t="n">
        <v>44.2</v>
      </c>
      <c r="K200" s="26" t="n">
        <v>367500</v>
      </c>
      <c r="L200" s="27" t="n">
        <f aca="false">K200/J200</f>
        <v>8314.47963800905</v>
      </c>
      <c r="M200" s="28" t="s">
        <v>205</v>
      </c>
      <c r="N200" s="29" t="n">
        <v>25000</v>
      </c>
      <c r="O200" s="30" t="n">
        <f aca="false">K200+N200</f>
        <v>392500</v>
      </c>
      <c r="P200" s="30" t="n">
        <f aca="false">ROUND(O200/J200, 2)</f>
        <v>8880.09</v>
      </c>
      <c r="Q200" s="25" t="s">
        <v>50</v>
      </c>
      <c r="R200" s="22" t="s">
        <v>36</v>
      </c>
      <c r="S200" s="25" t="s">
        <v>29</v>
      </c>
      <c r="T200" s="24" t="s">
        <v>30</v>
      </c>
      <c r="U200" s="31" t="s">
        <v>31</v>
      </c>
      <c r="V200" s="31" t="n">
        <v>43234</v>
      </c>
      <c r="W200" s="34"/>
      <c r="X200" s="34"/>
      <c r="AMJ200" s="32"/>
    </row>
    <row r="201" s="32" customFormat="true" ht="13.8" hidden="false" customHeight="false" outlineLevel="0" collapsed="false">
      <c r="A201" s="18"/>
      <c r="B201" s="19" t="n">
        <v>2258</v>
      </c>
      <c r="C201" s="20" t="n">
        <v>43154</v>
      </c>
      <c r="D201" s="21" t="s">
        <v>22</v>
      </c>
      <c r="E201" s="22" t="s">
        <v>75</v>
      </c>
      <c r="F201" s="23" t="s">
        <v>76</v>
      </c>
      <c r="G201" s="22" t="s">
        <v>266</v>
      </c>
      <c r="H201" s="24" t="s">
        <v>49</v>
      </c>
      <c r="I201" s="24" t="s">
        <v>27</v>
      </c>
      <c r="J201" s="25" t="n">
        <f aca="false">97.8-4.4</f>
        <v>93.4</v>
      </c>
      <c r="K201" s="26" t="n">
        <v>932500</v>
      </c>
      <c r="L201" s="27" t="n">
        <f aca="false">K201/J201</f>
        <v>9983.94004282655</v>
      </c>
      <c r="M201" s="28" t="s">
        <v>490</v>
      </c>
      <c r="N201" s="29"/>
      <c r="O201" s="30" t="n">
        <f aca="false">K201+N201</f>
        <v>932500</v>
      </c>
      <c r="P201" s="30" t="n">
        <f aca="false">ROUND(O201/J201, 2)</f>
        <v>9983.94</v>
      </c>
      <c r="Q201" s="25" t="s">
        <v>491</v>
      </c>
      <c r="R201" s="22" t="s">
        <v>49</v>
      </c>
      <c r="S201" s="25" t="s">
        <v>29</v>
      </c>
      <c r="T201" s="24" t="s">
        <v>30</v>
      </c>
      <c r="U201" s="31" t="s">
        <v>31</v>
      </c>
      <c r="V201" s="31" t="n">
        <v>43234</v>
      </c>
      <c r="W201" s="34"/>
      <c r="X201" s="34"/>
    </row>
    <row r="202" customFormat="false" ht="13.8" hidden="false" customHeight="false" outlineLevel="0" collapsed="false">
      <c r="A202" s="18"/>
      <c r="B202" s="19" t="n">
        <v>5997</v>
      </c>
      <c r="C202" s="20" t="n">
        <v>43154</v>
      </c>
      <c r="D202" s="21" t="s">
        <v>22</v>
      </c>
      <c r="E202" s="22" t="s">
        <v>251</v>
      </c>
      <c r="F202" s="23" t="s">
        <v>252</v>
      </c>
      <c r="G202" s="22" t="s">
        <v>26</v>
      </c>
      <c r="H202" s="24" t="s">
        <v>492</v>
      </c>
      <c r="I202" s="24" t="s">
        <v>57</v>
      </c>
      <c r="J202" s="25" t="n">
        <f aca="false">44.23-2</f>
        <v>42.23</v>
      </c>
      <c r="K202" s="26" t="n">
        <v>350000</v>
      </c>
      <c r="L202" s="27" t="n">
        <f aca="false">K202/J202</f>
        <v>8287.94695713948</v>
      </c>
      <c r="M202" s="28" t="s">
        <v>349</v>
      </c>
      <c r="N202" s="29"/>
      <c r="O202" s="30" t="n">
        <f aca="false">K202+N202</f>
        <v>350000</v>
      </c>
      <c r="P202" s="30" t="n">
        <f aca="false">ROUND(O202/J202, 2)</f>
        <v>8287.95</v>
      </c>
      <c r="Q202" s="25" t="s">
        <v>50</v>
      </c>
      <c r="R202" s="22" t="s">
        <v>36</v>
      </c>
      <c r="S202" s="25" t="s">
        <v>29</v>
      </c>
      <c r="T202" s="24" t="s">
        <v>30</v>
      </c>
      <c r="U202" s="31" t="s">
        <v>31</v>
      </c>
      <c r="V202" s="31" t="n">
        <v>43234</v>
      </c>
      <c r="W202" s="34"/>
      <c r="X202" s="34"/>
      <c r="AMJ202" s="32"/>
    </row>
    <row r="203" s="32" customFormat="true" ht="13.8" hidden="false" customHeight="false" outlineLevel="0" collapsed="false">
      <c r="A203" s="18"/>
      <c r="B203" s="19" t="n">
        <v>724</v>
      </c>
      <c r="C203" s="20" t="n">
        <v>43154</v>
      </c>
      <c r="D203" s="21" t="s">
        <v>22</v>
      </c>
      <c r="E203" s="22" t="s">
        <v>331</v>
      </c>
      <c r="F203" s="23" t="s">
        <v>332</v>
      </c>
      <c r="G203" s="22" t="s">
        <v>493</v>
      </c>
      <c r="H203" s="24" t="s">
        <v>101</v>
      </c>
      <c r="I203" s="24" t="s">
        <v>26</v>
      </c>
      <c r="J203" s="25" t="n">
        <v>50.54</v>
      </c>
      <c r="K203" s="26" t="n">
        <v>435000</v>
      </c>
      <c r="L203" s="27" t="n">
        <f aca="false">K203/J203</f>
        <v>8607.04392560348</v>
      </c>
      <c r="M203" s="28" t="s">
        <v>205</v>
      </c>
      <c r="N203" s="29" t="n">
        <v>30000</v>
      </c>
      <c r="O203" s="30" t="n">
        <f aca="false">K203+N203</f>
        <v>465000</v>
      </c>
      <c r="P203" s="30" t="n">
        <f aca="false">ROUND(O203/J203, 2)</f>
        <v>9200.63</v>
      </c>
      <c r="Q203" s="25" t="s">
        <v>50</v>
      </c>
      <c r="R203" s="22" t="s">
        <v>36</v>
      </c>
      <c r="S203" s="25" t="s">
        <v>29</v>
      </c>
      <c r="T203" s="24" t="s">
        <v>30</v>
      </c>
      <c r="U203" s="31" t="s">
        <v>31</v>
      </c>
      <c r="V203" s="31" t="n">
        <v>43234</v>
      </c>
      <c r="W203" s="34"/>
      <c r="X203" s="34"/>
    </row>
    <row r="204" s="32" customFormat="true" ht="13.8" hidden="false" customHeight="false" outlineLevel="0" collapsed="false">
      <c r="A204" s="18"/>
      <c r="B204" s="19" t="n">
        <v>24</v>
      </c>
      <c r="C204" s="20" t="n">
        <v>43154</v>
      </c>
      <c r="D204" s="21" t="s">
        <v>22</v>
      </c>
      <c r="E204" s="22" t="s">
        <v>265</v>
      </c>
      <c r="F204" s="23" t="s">
        <v>108</v>
      </c>
      <c r="G204" s="22" t="s">
        <v>396</v>
      </c>
      <c r="H204" s="24" t="s">
        <v>494</v>
      </c>
      <c r="I204" s="24" t="s">
        <v>26</v>
      </c>
      <c r="J204" s="25" t="n">
        <v>35.43</v>
      </c>
      <c r="K204" s="26" t="n">
        <v>320000</v>
      </c>
      <c r="L204" s="27" t="n">
        <f aca="false">K204/J204</f>
        <v>9031.89387524697</v>
      </c>
      <c r="M204" s="28" t="s">
        <v>64</v>
      </c>
      <c r="N204" s="29"/>
      <c r="O204" s="30" t="n">
        <f aca="false">K204+N204</f>
        <v>320000</v>
      </c>
      <c r="P204" s="30" t="n">
        <f aca="false">ROUND(O204/J204, 2)</f>
        <v>9031.89</v>
      </c>
      <c r="Q204" s="25" t="s">
        <v>41</v>
      </c>
      <c r="R204" s="22" t="s">
        <v>27</v>
      </c>
      <c r="S204" s="25" t="s">
        <v>29</v>
      </c>
      <c r="T204" s="24" t="s">
        <v>30</v>
      </c>
      <c r="U204" s="31" t="s">
        <v>31</v>
      </c>
      <c r="V204" s="31" t="n">
        <v>43234</v>
      </c>
      <c r="W204" s="34"/>
      <c r="X204" s="34"/>
    </row>
    <row r="205" s="32" customFormat="true" ht="13.8" hidden="false" customHeight="false" outlineLevel="0" collapsed="false">
      <c r="A205" s="18"/>
      <c r="B205" s="19" t="n">
        <v>1538</v>
      </c>
      <c r="C205" s="20" t="n">
        <v>43154</v>
      </c>
      <c r="D205" s="21" t="s">
        <v>22</v>
      </c>
      <c r="E205" s="22" t="s">
        <v>350</v>
      </c>
      <c r="F205" s="23" t="s">
        <v>351</v>
      </c>
      <c r="G205" s="22" t="s">
        <v>274</v>
      </c>
      <c r="H205" s="24" t="s">
        <v>495</v>
      </c>
      <c r="I205" s="24" t="s">
        <v>101</v>
      </c>
      <c r="J205" s="25" t="n">
        <f aca="false">78.4-4.71</f>
        <v>73.69</v>
      </c>
      <c r="K205" s="26" t="n">
        <v>700000</v>
      </c>
      <c r="L205" s="27" t="n">
        <f aca="false">K205/J205</f>
        <v>9499.25363007192</v>
      </c>
      <c r="M205" s="28" t="s">
        <v>496</v>
      </c>
      <c r="N205" s="29" t="n">
        <v>35000</v>
      </c>
      <c r="O205" s="30" t="n">
        <f aca="false">K205+N205</f>
        <v>735000</v>
      </c>
      <c r="P205" s="30" t="n">
        <f aca="false">ROUND(O205/J205, 2)</f>
        <v>9974.22</v>
      </c>
      <c r="Q205" s="25" t="s">
        <v>497</v>
      </c>
      <c r="R205" s="22" t="s">
        <v>26</v>
      </c>
      <c r="S205" s="25" t="s">
        <v>29</v>
      </c>
      <c r="T205" s="24" t="s">
        <v>30</v>
      </c>
      <c r="U205" s="31" t="s">
        <v>31</v>
      </c>
      <c r="V205" s="31" t="n">
        <v>43234</v>
      </c>
      <c r="W205" s="34"/>
      <c r="X205" s="34"/>
    </row>
    <row r="206" s="32" customFormat="true" ht="13.8" hidden="false" customHeight="false" outlineLevel="0" collapsed="false">
      <c r="A206" s="18"/>
      <c r="B206" s="19" t="n">
        <v>1132</v>
      </c>
      <c r="C206" s="20" t="n">
        <v>43154</v>
      </c>
      <c r="D206" s="21" t="s">
        <v>22</v>
      </c>
      <c r="E206" s="22" t="s">
        <v>350</v>
      </c>
      <c r="F206" s="23" t="s">
        <v>351</v>
      </c>
      <c r="G206" s="22" t="s">
        <v>498</v>
      </c>
      <c r="H206" s="24" t="s">
        <v>499</v>
      </c>
      <c r="I206" s="24" t="s">
        <v>27</v>
      </c>
      <c r="J206" s="25" t="n">
        <f aca="false">60.03-4.7</f>
        <v>55.33</v>
      </c>
      <c r="K206" s="26" t="n">
        <f aca="false">2*285000</f>
        <v>570000</v>
      </c>
      <c r="L206" s="27" t="n">
        <f aca="false">K206/J206</f>
        <v>10301.8254111693</v>
      </c>
      <c r="M206" s="28" t="s">
        <v>500</v>
      </c>
      <c r="N206" s="29" t="n">
        <f aca="false">2*17500</f>
        <v>35000</v>
      </c>
      <c r="O206" s="30" t="n">
        <f aca="false">K206+N206</f>
        <v>605000</v>
      </c>
      <c r="P206" s="30" t="n">
        <f aca="false">ROUND(O206/J206, 2)</f>
        <v>10934.39</v>
      </c>
      <c r="Q206" s="25" t="s">
        <v>501</v>
      </c>
      <c r="R206" s="22" t="s">
        <v>26</v>
      </c>
      <c r="S206" s="25" t="s">
        <v>29</v>
      </c>
      <c r="T206" s="24" t="s">
        <v>30</v>
      </c>
      <c r="U206" s="31" t="s">
        <v>31</v>
      </c>
      <c r="V206" s="31" t="n">
        <v>43234</v>
      </c>
      <c r="W206" s="34"/>
      <c r="X206" s="34"/>
    </row>
    <row r="207" s="32" customFormat="true" ht="13.8" hidden="false" customHeight="false" outlineLevel="0" collapsed="false">
      <c r="A207" s="18"/>
      <c r="B207" s="19" t="n">
        <v>1252</v>
      </c>
      <c r="C207" s="20" t="n">
        <v>43154</v>
      </c>
      <c r="D207" s="21" t="s">
        <v>22</v>
      </c>
      <c r="E207" s="22" t="s">
        <v>308</v>
      </c>
      <c r="F207" s="23" t="s">
        <v>46</v>
      </c>
      <c r="G207" s="22" t="s">
        <v>502</v>
      </c>
      <c r="H207" s="24" t="s">
        <v>68</v>
      </c>
      <c r="I207" s="24" t="s">
        <v>101</v>
      </c>
      <c r="J207" s="25" t="n">
        <v>45.111</v>
      </c>
      <c r="K207" s="26" t="n">
        <v>532000</v>
      </c>
      <c r="L207" s="27" t="n">
        <f aca="false">K207/J207</f>
        <v>11793.1324954002</v>
      </c>
      <c r="M207" s="28" t="s">
        <v>64</v>
      </c>
      <c r="N207" s="29"/>
      <c r="O207" s="30" t="n">
        <f aca="false">K207+N207</f>
        <v>532000</v>
      </c>
      <c r="P207" s="30" t="n">
        <f aca="false">ROUND(O207/J207, 2)</f>
        <v>11793.13</v>
      </c>
      <c r="Q207" s="25" t="s">
        <v>50</v>
      </c>
      <c r="R207" s="22" t="s">
        <v>36</v>
      </c>
      <c r="S207" s="25" t="s">
        <v>29</v>
      </c>
      <c r="T207" s="24" t="s">
        <v>30</v>
      </c>
      <c r="U207" s="31" t="s">
        <v>31</v>
      </c>
      <c r="V207" s="31" t="n">
        <v>43234</v>
      </c>
      <c r="W207" s="34"/>
      <c r="X207" s="34"/>
    </row>
    <row r="208" s="32" customFormat="true" ht="13.8" hidden="false" customHeight="false" outlineLevel="0" collapsed="false">
      <c r="A208" s="18"/>
      <c r="B208" s="19" t="n">
        <v>331</v>
      </c>
      <c r="C208" s="20" t="n">
        <v>43154</v>
      </c>
      <c r="D208" s="21" t="s">
        <v>22</v>
      </c>
      <c r="E208" s="22" t="s">
        <v>399</v>
      </c>
      <c r="F208" s="23" t="s">
        <v>503</v>
      </c>
      <c r="G208" s="22" t="s">
        <v>25</v>
      </c>
      <c r="H208" s="24" t="s">
        <v>48</v>
      </c>
      <c r="I208" s="24" t="s">
        <v>26</v>
      </c>
      <c r="J208" s="25" t="n">
        <f aca="false">48.11-3</f>
        <v>45.11</v>
      </c>
      <c r="K208" s="26" t="n">
        <v>447200</v>
      </c>
      <c r="L208" s="27" t="n">
        <f aca="false">K208/J208</f>
        <v>9913.5446685879</v>
      </c>
      <c r="M208" s="28" t="s">
        <v>504</v>
      </c>
      <c r="N208" s="29"/>
      <c r="O208" s="30" t="n">
        <f aca="false">K208+N208</f>
        <v>447200</v>
      </c>
      <c r="P208" s="30" t="n">
        <f aca="false">ROUND(O208/J208, 2)</f>
        <v>9913.54</v>
      </c>
      <c r="Q208" s="25" t="s">
        <v>505</v>
      </c>
      <c r="R208" s="22" t="s">
        <v>36</v>
      </c>
      <c r="S208" s="25" t="s">
        <v>29</v>
      </c>
      <c r="T208" s="24" t="s">
        <v>30</v>
      </c>
      <c r="U208" s="31" t="s">
        <v>31</v>
      </c>
      <c r="V208" s="31" t="n">
        <v>43234</v>
      </c>
      <c r="W208" s="34"/>
      <c r="X208" s="34"/>
    </row>
    <row r="209" s="32" customFormat="true" ht="13.8" hidden="false" customHeight="false" outlineLevel="0" collapsed="false">
      <c r="A209" s="18"/>
      <c r="B209" s="19" t="n">
        <v>960</v>
      </c>
      <c r="C209" s="20" t="n">
        <v>43155</v>
      </c>
      <c r="D209" s="21" t="s">
        <v>22</v>
      </c>
      <c r="E209" s="22" t="s">
        <v>350</v>
      </c>
      <c r="F209" s="23" t="s">
        <v>351</v>
      </c>
      <c r="G209" s="22" t="s">
        <v>445</v>
      </c>
      <c r="H209" s="24" t="s">
        <v>82</v>
      </c>
      <c r="I209" s="24" t="s">
        <v>36</v>
      </c>
      <c r="J209" s="25" t="n">
        <v>59.91</v>
      </c>
      <c r="K209" s="26" t="n">
        <v>630000</v>
      </c>
      <c r="L209" s="27" t="n">
        <f aca="false">K209/J209</f>
        <v>10515.7736604907</v>
      </c>
      <c r="M209" s="28" t="s">
        <v>506</v>
      </c>
      <c r="N209" s="29" t="n">
        <v>5000</v>
      </c>
      <c r="O209" s="30" t="n">
        <f aca="false">K209+N209</f>
        <v>635000</v>
      </c>
      <c r="P209" s="30" t="n">
        <f aca="false">ROUND(O209/J209, 2)</f>
        <v>10599.23</v>
      </c>
      <c r="Q209" s="25" t="s">
        <v>50</v>
      </c>
      <c r="R209" s="22" t="s">
        <v>36</v>
      </c>
      <c r="S209" s="25" t="s">
        <v>29</v>
      </c>
      <c r="T209" s="24" t="s">
        <v>30</v>
      </c>
      <c r="U209" s="31" t="s">
        <v>31</v>
      </c>
      <c r="V209" s="31" t="n">
        <v>43234</v>
      </c>
      <c r="W209" s="18"/>
      <c r="X209" s="18"/>
    </row>
    <row r="210" customFormat="false" ht="13.8" hidden="false" customHeight="false" outlineLevel="0" collapsed="false">
      <c r="A210" s="18"/>
      <c r="B210" s="19" t="n">
        <v>406</v>
      </c>
      <c r="C210" s="20" t="n">
        <v>43157</v>
      </c>
      <c r="D210" s="21" t="s">
        <v>22</v>
      </c>
      <c r="E210" s="22" t="s">
        <v>140</v>
      </c>
      <c r="F210" s="23" t="s">
        <v>273</v>
      </c>
      <c r="G210" s="22" t="s">
        <v>57</v>
      </c>
      <c r="H210" s="24" t="s">
        <v>78</v>
      </c>
      <c r="I210" s="24" t="s">
        <v>112</v>
      </c>
      <c r="J210" s="25" t="n">
        <v>58.15</v>
      </c>
      <c r="K210" s="26" t="n">
        <f aca="false">2*220000</f>
        <v>440000</v>
      </c>
      <c r="L210" s="27" t="n">
        <f aca="false">K210/J210</f>
        <v>7566.63800515907</v>
      </c>
      <c r="M210" s="28"/>
      <c r="N210" s="29"/>
      <c r="O210" s="30" t="n">
        <f aca="false">K210+N210</f>
        <v>440000</v>
      </c>
      <c r="P210" s="30" t="n">
        <f aca="false">ROUND(O210/J210, 2)</f>
        <v>7566.64</v>
      </c>
      <c r="Q210" s="25" t="s">
        <v>85</v>
      </c>
      <c r="R210" s="22" t="s">
        <v>26</v>
      </c>
      <c r="S210" s="25" t="s">
        <v>29</v>
      </c>
      <c r="T210" s="24" t="s">
        <v>30</v>
      </c>
      <c r="U210" s="31" t="s">
        <v>31</v>
      </c>
      <c r="V210" s="31" t="n">
        <v>43234</v>
      </c>
      <c r="W210" s="18"/>
      <c r="X210" s="18"/>
      <c r="Y210" s="35"/>
      <c r="Z210" s="36"/>
    </row>
    <row r="211" customFormat="false" ht="13.8" hidden="false" customHeight="false" outlineLevel="0" collapsed="false">
      <c r="A211" s="18"/>
      <c r="B211" s="19" t="n">
        <v>960</v>
      </c>
      <c r="C211" s="20" t="n">
        <v>43157</v>
      </c>
      <c r="D211" s="21" t="s">
        <v>22</v>
      </c>
      <c r="E211" s="22" t="s">
        <v>65</v>
      </c>
      <c r="F211" s="23" t="s">
        <v>507</v>
      </c>
      <c r="G211" s="22" t="s">
        <v>27</v>
      </c>
      <c r="H211" s="24" t="s">
        <v>101</v>
      </c>
      <c r="I211" s="24" t="s">
        <v>36</v>
      </c>
      <c r="J211" s="25" t="n">
        <v>59.56</v>
      </c>
      <c r="K211" s="26" t="n">
        <v>408000</v>
      </c>
      <c r="L211" s="27" t="n">
        <f aca="false">K211/J211</f>
        <v>6850.23505708529</v>
      </c>
      <c r="M211" s="28"/>
      <c r="N211" s="29"/>
      <c r="O211" s="30" t="n">
        <f aca="false">K211+N211</f>
        <v>408000</v>
      </c>
      <c r="P211" s="30" t="n">
        <f aca="false">ROUND(O211/J211, 2)</f>
        <v>6850.24</v>
      </c>
      <c r="Q211" s="25" t="s">
        <v>85</v>
      </c>
      <c r="R211" s="22" t="s">
        <v>26</v>
      </c>
      <c r="S211" s="25" t="s">
        <v>29</v>
      </c>
      <c r="T211" s="24" t="s">
        <v>30</v>
      </c>
      <c r="U211" s="31" t="s">
        <v>31</v>
      </c>
      <c r="V211" s="31" t="n">
        <v>43234</v>
      </c>
      <c r="W211" s="18"/>
      <c r="X211" s="18"/>
    </row>
    <row r="212" customFormat="false" ht="13.8" hidden="false" customHeight="false" outlineLevel="0" collapsed="false">
      <c r="A212" s="18"/>
      <c r="B212" s="19" t="n">
        <v>2055</v>
      </c>
      <c r="C212" s="20" t="n">
        <v>43157</v>
      </c>
      <c r="D212" s="21" t="s">
        <v>22</v>
      </c>
      <c r="E212" s="22" t="s">
        <v>42</v>
      </c>
      <c r="F212" s="23" t="s">
        <v>263</v>
      </c>
      <c r="G212" s="22" t="s">
        <v>25</v>
      </c>
      <c r="H212" s="24" t="s">
        <v>249</v>
      </c>
      <c r="I212" s="24" t="s">
        <v>26</v>
      </c>
      <c r="J212" s="25" t="n">
        <v>37.7</v>
      </c>
      <c r="K212" s="26" t="n">
        <v>345000</v>
      </c>
      <c r="L212" s="27" t="n">
        <f aca="false">K212/J212</f>
        <v>9151.19363395226</v>
      </c>
      <c r="M212" s="28"/>
      <c r="N212" s="29"/>
      <c r="O212" s="30" t="n">
        <f aca="false">K212+N212</f>
        <v>345000</v>
      </c>
      <c r="P212" s="30" t="n">
        <f aca="false">ROUND(O212/J212, 2)</f>
        <v>9151.19</v>
      </c>
      <c r="Q212" s="25" t="s">
        <v>50</v>
      </c>
      <c r="R212" s="22" t="s">
        <v>36</v>
      </c>
      <c r="S212" s="25" t="s">
        <v>29</v>
      </c>
      <c r="T212" s="24" t="s">
        <v>30</v>
      </c>
      <c r="U212" s="31" t="s">
        <v>31</v>
      </c>
      <c r="V212" s="31" t="n">
        <v>43234</v>
      </c>
      <c r="W212" s="18"/>
      <c r="X212" s="18"/>
    </row>
    <row r="213" customFormat="false" ht="13.8" hidden="false" customHeight="false" outlineLevel="0" collapsed="false">
      <c r="A213" s="18"/>
      <c r="B213" s="19" t="n">
        <v>613</v>
      </c>
      <c r="C213" s="20" t="n">
        <v>43157</v>
      </c>
      <c r="D213" s="21" t="s">
        <v>22</v>
      </c>
      <c r="E213" s="22" t="s">
        <v>399</v>
      </c>
      <c r="F213" s="23" t="s">
        <v>508</v>
      </c>
      <c r="G213" s="22" t="s">
        <v>26</v>
      </c>
      <c r="H213" s="24" t="s">
        <v>111</v>
      </c>
      <c r="I213" s="24" t="s">
        <v>26</v>
      </c>
      <c r="J213" s="25" t="n">
        <f aca="false">81.79-2.87</f>
        <v>78.92</v>
      </c>
      <c r="K213" s="26" t="n">
        <v>625000</v>
      </c>
      <c r="L213" s="27" t="n">
        <f aca="false">K213/J213</f>
        <v>7919.41206284845</v>
      </c>
      <c r="M213" s="28" t="s">
        <v>509</v>
      </c>
      <c r="N213" s="29" t="n">
        <v>25000</v>
      </c>
      <c r="O213" s="30" t="n">
        <f aca="false">K213+N213</f>
        <v>650000</v>
      </c>
      <c r="P213" s="30" t="n">
        <f aca="false">ROUND(O213/J213, 2)</f>
        <v>8236.19</v>
      </c>
      <c r="Q213" s="25" t="s">
        <v>85</v>
      </c>
      <c r="R213" s="22" t="s">
        <v>26</v>
      </c>
      <c r="S213" s="25" t="s">
        <v>29</v>
      </c>
      <c r="T213" s="24" t="s">
        <v>30</v>
      </c>
      <c r="U213" s="31" t="s">
        <v>31</v>
      </c>
      <c r="V213" s="31" t="n">
        <v>43234</v>
      </c>
      <c r="W213" s="18"/>
      <c r="X213" s="18"/>
    </row>
    <row r="214" customFormat="false" ht="13.8" hidden="false" customHeight="false" outlineLevel="0" collapsed="false">
      <c r="A214" s="18"/>
      <c r="B214" s="19" t="n">
        <v>997</v>
      </c>
      <c r="C214" s="20" t="n">
        <v>43158</v>
      </c>
      <c r="D214" s="21" t="s">
        <v>22</v>
      </c>
      <c r="E214" s="22" t="s">
        <v>109</v>
      </c>
      <c r="F214" s="23" t="s">
        <v>94</v>
      </c>
      <c r="G214" s="22" t="s">
        <v>510</v>
      </c>
      <c r="H214" s="24" t="s">
        <v>511</v>
      </c>
      <c r="I214" s="24" t="s">
        <v>26</v>
      </c>
      <c r="J214" s="25" t="n">
        <v>56.35</v>
      </c>
      <c r="K214" s="26" t="n">
        <v>520000</v>
      </c>
      <c r="L214" s="27" t="n">
        <f aca="false">K214/J214</f>
        <v>9228.03904170364</v>
      </c>
      <c r="M214" s="28" t="s">
        <v>512</v>
      </c>
      <c r="N214" s="29"/>
      <c r="O214" s="30" t="n">
        <f aca="false">K214+N214</f>
        <v>520000</v>
      </c>
      <c r="P214" s="30" t="n">
        <f aca="false">ROUND(O214/J214, 2)</f>
        <v>9228.04</v>
      </c>
      <c r="Q214" s="25" t="s">
        <v>85</v>
      </c>
      <c r="R214" s="22" t="s">
        <v>26</v>
      </c>
      <c r="S214" s="25" t="s">
        <v>29</v>
      </c>
      <c r="T214" s="24" t="s">
        <v>30</v>
      </c>
      <c r="U214" s="31" t="s">
        <v>31</v>
      </c>
      <c r="V214" s="31" t="n">
        <v>43234</v>
      </c>
      <c r="W214" s="18"/>
      <c r="X214" s="18"/>
    </row>
    <row r="215" customFormat="false" ht="13.8" hidden="false" customHeight="false" outlineLevel="0" collapsed="false">
      <c r="A215" s="18"/>
      <c r="B215" s="19" t="n">
        <v>1273</v>
      </c>
      <c r="C215" s="20" t="n">
        <v>43158</v>
      </c>
      <c r="D215" s="21" t="s">
        <v>22</v>
      </c>
      <c r="E215" s="22" t="s">
        <v>178</v>
      </c>
      <c r="F215" s="23" t="s">
        <v>513</v>
      </c>
      <c r="G215" s="22" t="s">
        <v>36</v>
      </c>
      <c r="H215" s="24" t="s">
        <v>112</v>
      </c>
      <c r="I215" s="24" t="s">
        <v>36</v>
      </c>
      <c r="J215" s="25" t="n">
        <v>76</v>
      </c>
      <c r="K215" s="26" t="n">
        <v>670000</v>
      </c>
      <c r="L215" s="27" t="n">
        <f aca="false">K215/J215</f>
        <v>8815.78947368421</v>
      </c>
      <c r="M215" s="28" t="s">
        <v>64</v>
      </c>
      <c r="N215" s="29"/>
      <c r="O215" s="30" t="n">
        <f aca="false">K215+N215</f>
        <v>670000</v>
      </c>
      <c r="P215" s="30" t="n">
        <f aca="false">ROUND(O215/J215, 2)</f>
        <v>8815.79</v>
      </c>
      <c r="Q215" s="25" t="s">
        <v>232</v>
      </c>
      <c r="R215" s="22" t="s">
        <v>26</v>
      </c>
      <c r="S215" s="25" t="s">
        <v>29</v>
      </c>
      <c r="T215" s="24" t="s">
        <v>30</v>
      </c>
      <c r="U215" s="31" t="s">
        <v>31</v>
      </c>
      <c r="V215" s="31" t="n">
        <v>43234</v>
      </c>
      <c r="W215" s="34"/>
      <c r="X215" s="34"/>
    </row>
    <row r="216" customFormat="false" ht="13.8" hidden="false" customHeight="false" outlineLevel="0" collapsed="false">
      <c r="A216" s="18"/>
      <c r="B216" s="19" t="n">
        <v>500</v>
      </c>
      <c r="C216" s="20" t="n">
        <v>43158</v>
      </c>
      <c r="D216" s="21" t="s">
        <v>22</v>
      </c>
      <c r="E216" s="22" t="s">
        <v>80</v>
      </c>
      <c r="F216" s="23" t="s">
        <v>81</v>
      </c>
      <c r="G216" s="22" t="s">
        <v>25</v>
      </c>
      <c r="H216" s="24" t="s">
        <v>231</v>
      </c>
      <c r="I216" s="24" t="s">
        <v>26</v>
      </c>
      <c r="J216" s="25" t="n">
        <v>40</v>
      </c>
      <c r="K216" s="26" t="n">
        <v>460000</v>
      </c>
      <c r="L216" s="27" t="n">
        <f aca="false">K216/J216</f>
        <v>11500</v>
      </c>
      <c r="M216" s="28"/>
      <c r="N216" s="29"/>
      <c r="O216" s="30" t="n">
        <f aca="false">K216+N216</f>
        <v>460000</v>
      </c>
      <c r="P216" s="30" t="n">
        <f aca="false">ROUND(O216/J216, 2)</f>
        <v>11500</v>
      </c>
      <c r="Q216" s="25" t="s">
        <v>41</v>
      </c>
      <c r="R216" s="22" t="s">
        <v>27</v>
      </c>
      <c r="S216" s="25" t="s">
        <v>29</v>
      </c>
      <c r="T216" s="24" t="s">
        <v>30</v>
      </c>
      <c r="U216" s="31" t="s">
        <v>31</v>
      </c>
      <c r="V216" s="31" t="n">
        <v>43234</v>
      </c>
      <c r="W216" s="18"/>
      <c r="X216" s="18"/>
    </row>
    <row r="217" customFormat="false" ht="13.8" hidden="false" customHeight="false" outlineLevel="0" collapsed="false">
      <c r="A217" s="18"/>
      <c r="B217" s="19" t="n">
        <v>2111</v>
      </c>
      <c r="C217" s="20" t="n">
        <v>43158</v>
      </c>
      <c r="D217" s="21" t="s">
        <v>22</v>
      </c>
      <c r="E217" s="22" t="s">
        <v>278</v>
      </c>
      <c r="F217" s="23" t="s">
        <v>288</v>
      </c>
      <c r="G217" s="22" t="s">
        <v>143</v>
      </c>
      <c r="H217" s="24" t="s">
        <v>336</v>
      </c>
      <c r="I217" s="24" t="s">
        <v>82</v>
      </c>
      <c r="J217" s="25" t="n">
        <v>81.68</v>
      </c>
      <c r="K217" s="26" t="n">
        <v>847000</v>
      </c>
      <c r="L217" s="27" t="n">
        <f aca="false">K217/J217</f>
        <v>10369.735553379</v>
      </c>
      <c r="M217" s="28" t="s">
        <v>205</v>
      </c>
      <c r="N217" s="29" t="n">
        <v>28000</v>
      </c>
      <c r="O217" s="30" t="n">
        <f aca="false">K217+N217</f>
        <v>875000</v>
      </c>
      <c r="P217" s="30" t="n">
        <f aca="false">ROUND(O217/J217, 2)</f>
        <v>10712.54</v>
      </c>
      <c r="Q217" s="25" t="s">
        <v>85</v>
      </c>
      <c r="R217" s="22" t="s">
        <v>26</v>
      </c>
      <c r="S217" s="25" t="s">
        <v>29</v>
      </c>
      <c r="T217" s="24" t="s">
        <v>30</v>
      </c>
      <c r="U217" s="31" t="s">
        <v>31</v>
      </c>
      <c r="V217" s="31" t="n">
        <v>43234</v>
      </c>
      <c r="W217" s="34"/>
      <c r="X217" s="34"/>
    </row>
    <row r="218" customFormat="false" ht="13.8" hidden="false" customHeight="false" outlineLevel="0" collapsed="false">
      <c r="A218" s="18"/>
      <c r="B218" s="19" t="n">
        <v>855</v>
      </c>
      <c r="C218" s="20" t="n">
        <v>43158</v>
      </c>
      <c r="D218" s="21" t="s">
        <v>22</v>
      </c>
      <c r="E218" s="22" t="s">
        <v>251</v>
      </c>
      <c r="F218" s="23" t="s">
        <v>514</v>
      </c>
      <c r="G218" s="22" t="s">
        <v>286</v>
      </c>
      <c r="H218" s="24" t="s">
        <v>515</v>
      </c>
      <c r="I218" s="24" t="s">
        <v>49</v>
      </c>
      <c r="J218" s="25" t="n">
        <v>69.86</v>
      </c>
      <c r="K218" s="26" t="n">
        <v>515000</v>
      </c>
      <c r="L218" s="27" t="n">
        <f aca="false">K218/J218</f>
        <v>7371.88663040366</v>
      </c>
      <c r="M218" s="28" t="s">
        <v>234</v>
      </c>
      <c r="N218" s="29"/>
      <c r="O218" s="30" t="n">
        <f aca="false">K218+N218</f>
        <v>515000</v>
      </c>
      <c r="P218" s="30" t="n">
        <f aca="false">ROUND(O218/J218, 2)</f>
        <v>7371.89</v>
      </c>
      <c r="Q218" s="25" t="s">
        <v>516</v>
      </c>
      <c r="R218" s="22" t="s">
        <v>49</v>
      </c>
      <c r="S218" s="25" t="s">
        <v>29</v>
      </c>
      <c r="T218" s="24" t="s">
        <v>30</v>
      </c>
      <c r="U218" s="31" t="s">
        <v>31</v>
      </c>
      <c r="V218" s="31" t="n">
        <v>43234</v>
      </c>
      <c r="W218" s="34"/>
      <c r="X218" s="34"/>
      <c r="Y218" s="35"/>
      <c r="Z218" s="36"/>
    </row>
    <row r="219" customFormat="false" ht="13.8" hidden="false" customHeight="false" outlineLevel="0" collapsed="false">
      <c r="A219" s="18"/>
      <c r="B219" s="19" t="n">
        <v>1599</v>
      </c>
      <c r="C219" s="20" t="n">
        <v>43158</v>
      </c>
      <c r="D219" s="21" t="s">
        <v>22</v>
      </c>
      <c r="E219" s="22" t="s">
        <v>517</v>
      </c>
      <c r="F219" s="23" t="s">
        <v>518</v>
      </c>
      <c r="G219" s="22" t="s">
        <v>146</v>
      </c>
      <c r="H219" s="24" t="s">
        <v>453</v>
      </c>
      <c r="I219" s="24" t="s">
        <v>25</v>
      </c>
      <c r="J219" s="25" t="n">
        <v>33.3</v>
      </c>
      <c r="K219" s="26" t="n">
        <v>435000</v>
      </c>
      <c r="L219" s="27" t="n">
        <f aca="false">K219/J219</f>
        <v>13063.0630630631</v>
      </c>
      <c r="M219" s="28" t="s">
        <v>519</v>
      </c>
      <c r="N219" s="29" t="n">
        <f aca="false">74000+1000</f>
        <v>75000</v>
      </c>
      <c r="O219" s="30" t="n">
        <f aca="false">K219+N219</f>
        <v>510000</v>
      </c>
      <c r="P219" s="30" t="n">
        <f aca="false">ROUND(O219/J219, 2)</f>
        <v>15315.32</v>
      </c>
      <c r="Q219" s="25" t="s">
        <v>520</v>
      </c>
      <c r="R219" s="22" t="s">
        <v>27</v>
      </c>
      <c r="S219" s="25" t="s">
        <v>29</v>
      </c>
      <c r="T219" s="24" t="s">
        <v>30</v>
      </c>
      <c r="U219" s="31" t="s">
        <v>31</v>
      </c>
      <c r="V219" s="31" t="n">
        <v>43234</v>
      </c>
      <c r="W219" s="34"/>
      <c r="X219" s="34"/>
    </row>
    <row r="220" customFormat="false" ht="13.8" hidden="false" customHeight="false" outlineLevel="0" collapsed="false">
      <c r="A220" s="18"/>
      <c r="B220" s="19" t="n">
        <v>662</v>
      </c>
      <c r="C220" s="20" t="n">
        <v>43158</v>
      </c>
      <c r="D220" s="21" t="s">
        <v>22</v>
      </c>
      <c r="E220" s="22" t="s">
        <v>281</v>
      </c>
      <c r="F220" s="23" t="s">
        <v>404</v>
      </c>
      <c r="G220" s="22" t="s">
        <v>521</v>
      </c>
      <c r="H220" s="24" t="s">
        <v>464</v>
      </c>
      <c r="I220" s="24" t="s">
        <v>27</v>
      </c>
      <c r="J220" s="25" t="n">
        <v>41.45</v>
      </c>
      <c r="K220" s="26" t="n">
        <v>355000</v>
      </c>
      <c r="L220" s="27" t="n">
        <f aca="false">K220/J220</f>
        <v>8564.53558504222</v>
      </c>
      <c r="M220" s="28"/>
      <c r="N220" s="29"/>
      <c r="O220" s="30" t="n">
        <f aca="false">K220+N220</f>
        <v>355000</v>
      </c>
      <c r="P220" s="30" t="n">
        <f aca="false">ROUND(O220/J220, 2)</f>
        <v>8564.54</v>
      </c>
      <c r="Q220" s="25" t="s">
        <v>50</v>
      </c>
      <c r="R220" s="22" t="s">
        <v>36</v>
      </c>
      <c r="S220" s="25" t="s">
        <v>29</v>
      </c>
      <c r="T220" s="24" t="s">
        <v>30</v>
      </c>
      <c r="U220" s="31" t="s">
        <v>31</v>
      </c>
      <c r="V220" s="31" t="n">
        <v>43234</v>
      </c>
      <c r="W220" s="34"/>
      <c r="X220" s="34"/>
    </row>
    <row r="221" customFormat="false" ht="13.8" hidden="false" customHeight="false" outlineLevel="0" collapsed="false">
      <c r="A221" s="18"/>
      <c r="B221" s="19" t="n">
        <v>634</v>
      </c>
      <c r="C221" s="20" t="n">
        <v>43158</v>
      </c>
      <c r="D221" s="21" t="s">
        <v>22</v>
      </c>
      <c r="E221" s="22" t="s">
        <v>522</v>
      </c>
      <c r="F221" s="23" t="s">
        <v>523</v>
      </c>
      <c r="G221" s="22" t="s">
        <v>143</v>
      </c>
      <c r="H221" s="24" t="s">
        <v>408</v>
      </c>
      <c r="I221" s="24" t="s">
        <v>49</v>
      </c>
      <c r="J221" s="25" t="n">
        <v>83.06</v>
      </c>
      <c r="K221" s="26" t="n">
        <v>768300</v>
      </c>
      <c r="L221" s="27" t="n">
        <f aca="false">K221/J221</f>
        <v>9249.93980255237</v>
      </c>
      <c r="M221" s="28" t="s">
        <v>524</v>
      </c>
      <c r="N221" s="29" t="n">
        <v>71700</v>
      </c>
      <c r="O221" s="30" t="n">
        <f aca="false">K221+N221</f>
        <v>840000</v>
      </c>
      <c r="P221" s="30" t="n">
        <f aca="false">ROUND(O221/J221, 2)</f>
        <v>10113.17</v>
      </c>
      <c r="Q221" s="25" t="s">
        <v>232</v>
      </c>
      <c r="R221" s="22" t="s">
        <v>26</v>
      </c>
      <c r="S221" s="25" t="s">
        <v>29</v>
      </c>
      <c r="T221" s="24" t="s">
        <v>30</v>
      </c>
      <c r="U221" s="31" t="s">
        <v>31</v>
      </c>
      <c r="V221" s="31" t="n">
        <v>43234</v>
      </c>
      <c r="W221" s="34"/>
      <c r="X221" s="34"/>
    </row>
    <row r="222" customFormat="false" ht="13.8" hidden="false" customHeight="false" outlineLevel="0" collapsed="false">
      <c r="A222" s="18"/>
      <c r="B222" s="19" t="n">
        <v>1130</v>
      </c>
      <c r="C222" s="20" t="n">
        <v>43158</v>
      </c>
      <c r="D222" s="21" t="s">
        <v>22</v>
      </c>
      <c r="E222" s="22" t="s">
        <v>322</v>
      </c>
      <c r="F222" s="23" t="s">
        <v>351</v>
      </c>
      <c r="G222" s="22" t="s">
        <v>525</v>
      </c>
      <c r="H222" s="24" t="s">
        <v>27</v>
      </c>
      <c r="I222" s="24" t="s">
        <v>36</v>
      </c>
      <c r="J222" s="25" t="n">
        <v>77.82</v>
      </c>
      <c r="K222" s="26" t="n">
        <v>600000</v>
      </c>
      <c r="L222" s="27" t="n">
        <f aca="false">K222/J222</f>
        <v>7710.10023130301</v>
      </c>
      <c r="M222" s="28" t="s">
        <v>526</v>
      </c>
      <c r="N222" s="29" t="n">
        <v>20000</v>
      </c>
      <c r="O222" s="30" t="n">
        <f aca="false">K222+N222</f>
        <v>620000</v>
      </c>
      <c r="P222" s="30" t="n">
        <f aca="false">ROUND(O222/J222, 2)</f>
        <v>7967.1</v>
      </c>
      <c r="Q222" s="25" t="s">
        <v>232</v>
      </c>
      <c r="R222" s="22" t="s">
        <v>26</v>
      </c>
      <c r="S222" s="25" t="s">
        <v>29</v>
      </c>
      <c r="T222" s="24" t="s">
        <v>30</v>
      </c>
      <c r="U222" s="31" t="s">
        <v>31</v>
      </c>
      <c r="V222" s="31" t="n">
        <v>43234</v>
      </c>
      <c r="W222" s="34"/>
      <c r="X222" s="34"/>
    </row>
    <row r="223" customFormat="false" ht="13.8" hidden="false" customHeight="false" outlineLevel="0" collapsed="false">
      <c r="A223" s="18"/>
      <c r="B223" s="19" t="n">
        <v>957</v>
      </c>
      <c r="C223" s="20" t="n">
        <v>43158</v>
      </c>
      <c r="D223" s="21" t="s">
        <v>22</v>
      </c>
      <c r="E223" s="22" t="s">
        <v>527</v>
      </c>
      <c r="F223" s="23" t="s">
        <v>240</v>
      </c>
      <c r="G223" s="22" t="s">
        <v>469</v>
      </c>
      <c r="H223" s="24" t="s">
        <v>163</v>
      </c>
      <c r="I223" s="24" t="s">
        <v>112</v>
      </c>
      <c r="J223" s="25" t="n">
        <v>58</v>
      </c>
      <c r="K223" s="26" t="n">
        <v>395000</v>
      </c>
      <c r="L223" s="27" t="n">
        <f aca="false">K223/J223</f>
        <v>6810.34482758621</v>
      </c>
      <c r="M223" s="28"/>
      <c r="N223" s="29"/>
      <c r="O223" s="30" t="n">
        <f aca="false">K223+N223</f>
        <v>395000</v>
      </c>
      <c r="P223" s="30" t="n">
        <f aca="false">ROUND(O223/J223, 2)</f>
        <v>6810.34</v>
      </c>
      <c r="Q223" s="25" t="s">
        <v>85</v>
      </c>
      <c r="R223" s="22" t="s">
        <v>26</v>
      </c>
      <c r="S223" s="25" t="s">
        <v>29</v>
      </c>
      <c r="T223" s="24" t="s">
        <v>30</v>
      </c>
      <c r="U223" s="31" t="s">
        <v>31</v>
      </c>
      <c r="V223" s="31" t="n">
        <v>43234</v>
      </c>
      <c r="W223" s="34"/>
      <c r="X223" s="34"/>
    </row>
    <row r="224" customFormat="false" ht="13.8" hidden="false" customHeight="false" outlineLevel="0" collapsed="false">
      <c r="A224" s="18"/>
      <c r="B224" s="19" t="n">
        <v>1429</v>
      </c>
      <c r="C224" s="20" t="n">
        <v>43159</v>
      </c>
      <c r="D224" s="21" t="s">
        <v>22</v>
      </c>
      <c r="E224" s="22" t="s">
        <v>75</v>
      </c>
      <c r="F224" s="23" t="s">
        <v>528</v>
      </c>
      <c r="G224" s="22" t="s">
        <v>202</v>
      </c>
      <c r="H224" s="24" t="s">
        <v>336</v>
      </c>
      <c r="I224" s="24" t="s">
        <v>49</v>
      </c>
      <c r="J224" s="25" t="n">
        <f aca="false">80.27-2.31</f>
        <v>77.96</v>
      </c>
      <c r="K224" s="26" t="n">
        <v>900000</v>
      </c>
      <c r="L224" s="27" t="n">
        <f aca="false">K224/J224</f>
        <v>11544.3817342227</v>
      </c>
      <c r="M224" s="28" t="s">
        <v>529</v>
      </c>
      <c r="N224" s="29" t="n">
        <v>30000</v>
      </c>
      <c r="O224" s="30" t="n">
        <f aca="false">K224+N224</f>
        <v>930000</v>
      </c>
      <c r="P224" s="30" t="n">
        <f aca="false">ROUND(O224/J224, 2)</f>
        <v>11929.19</v>
      </c>
      <c r="Q224" s="25" t="s">
        <v>232</v>
      </c>
      <c r="R224" s="22" t="s">
        <v>26</v>
      </c>
      <c r="S224" s="25" t="s">
        <v>29</v>
      </c>
      <c r="T224" s="24" t="s">
        <v>30</v>
      </c>
      <c r="U224" s="31" t="s">
        <v>31</v>
      </c>
      <c r="V224" s="31" t="n">
        <v>43234</v>
      </c>
      <c r="W224" s="34"/>
      <c r="X224" s="34"/>
    </row>
    <row r="225" customFormat="false" ht="13.8" hidden="false" customHeight="false" outlineLevel="0" collapsed="false">
      <c r="A225" s="18"/>
      <c r="B225" s="19" t="n">
        <v>9116</v>
      </c>
      <c r="C225" s="20" t="n">
        <v>43159</v>
      </c>
      <c r="D225" s="21" t="s">
        <v>22</v>
      </c>
      <c r="E225" s="22" t="s">
        <v>452</v>
      </c>
      <c r="F225" s="23" t="s">
        <v>199</v>
      </c>
      <c r="G225" s="22" t="s">
        <v>115</v>
      </c>
      <c r="H225" s="24" t="s">
        <v>135</v>
      </c>
      <c r="I225" s="24" t="s">
        <v>26</v>
      </c>
      <c r="J225" s="25" t="n">
        <v>34.5</v>
      </c>
      <c r="K225" s="26" t="n">
        <v>235000</v>
      </c>
      <c r="L225" s="27" t="n">
        <f aca="false">K225/J225</f>
        <v>6811.59420289855</v>
      </c>
      <c r="M225" s="28" t="s">
        <v>64</v>
      </c>
      <c r="N225" s="29"/>
      <c r="O225" s="30" t="n">
        <f aca="false">K225+N225</f>
        <v>235000</v>
      </c>
      <c r="P225" s="30" t="n">
        <f aca="false">ROUND(O225/J225, 2)</f>
        <v>6811.59</v>
      </c>
      <c r="Q225" s="25" t="s">
        <v>50</v>
      </c>
      <c r="R225" s="22" t="s">
        <v>36</v>
      </c>
      <c r="S225" s="25" t="s">
        <v>29</v>
      </c>
      <c r="T225" s="24" t="s">
        <v>30</v>
      </c>
      <c r="U225" s="31" t="s">
        <v>31</v>
      </c>
      <c r="V225" s="31" t="n">
        <v>43234</v>
      </c>
      <c r="W225" s="34"/>
      <c r="X225" s="34"/>
      <c r="AMJ225" s="32"/>
    </row>
    <row r="226" s="32" customFormat="true" ht="13.8" hidden="false" customHeight="false" outlineLevel="0" collapsed="false">
      <c r="A226" s="18"/>
      <c r="B226" s="19" t="n">
        <v>626</v>
      </c>
      <c r="C226" s="20" t="n">
        <v>43159</v>
      </c>
      <c r="D226" s="21" t="s">
        <v>22</v>
      </c>
      <c r="E226" s="22" t="s">
        <v>203</v>
      </c>
      <c r="F226" s="23" t="s">
        <v>138</v>
      </c>
      <c r="G226" s="22" t="s">
        <v>111</v>
      </c>
      <c r="H226" s="24" t="s">
        <v>57</v>
      </c>
      <c r="I226" s="24" t="s">
        <v>26</v>
      </c>
      <c r="J226" s="25" t="n">
        <v>70.64</v>
      </c>
      <c r="K226" s="26" t="n">
        <v>630000</v>
      </c>
      <c r="L226" s="27" t="n">
        <f aca="false">K226/J226</f>
        <v>8918.45979614949</v>
      </c>
      <c r="M226" s="28" t="s">
        <v>530</v>
      </c>
      <c r="N226" s="29" t="n">
        <v>35000</v>
      </c>
      <c r="O226" s="30" t="n">
        <f aca="false">K226+N226</f>
        <v>665000</v>
      </c>
      <c r="P226" s="30" t="n">
        <f aca="false">ROUND(O226/J226, 2)</f>
        <v>9413.93</v>
      </c>
      <c r="Q226" s="25" t="s">
        <v>85</v>
      </c>
      <c r="R226" s="22" t="s">
        <v>26</v>
      </c>
      <c r="S226" s="25" t="s">
        <v>29</v>
      </c>
      <c r="T226" s="24" t="s">
        <v>30</v>
      </c>
      <c r="U226" s="31" t="s">
        <v>31</v>
      </c>
      <c r="V226" s="31" t="n">
        <v>43234</v>
      </c>
      <c r="W226" s="18"/>
      <c r="X226" s="18"/>
    </row>
    <row r="227" s="32" customFormat="true" ht="13.8" hidden="false" customHeight="false" outlineLevel="0" collapsed="false">
      <c r="A227" s="18"/>
      <c r="B227" s="19" t="n">
        <v>1321</v>
      </c>
      <c r="C227" s="20" t="n">
        <v>43159</v>
      </c>
      <c r="D227" s="21" t="s">
        <v>22</v>
      </c>
      <c r="E227" s="22" t="s">
        <v>190</v>
      </c>
      <c r="F227" s="23" t="s">
        <v>191</v>
      </c>
      <c r="G227" s="22" t="s">
        <v>111</v>
      </c>
      <c r="H227" s="24" t="s">
        <v>336</v>
      </c>
      <c r="I227" s="24" t="s">
        <v>26</v>
      </c>
      <c r="J227" s="25" t="n">
        <v>18.45</v>
      </c>
      <c r="K227" s="26" t="n">
        <v>180000</v>
      </c>
      <c r="L227" s="27" t="n">
        <f aca="false">K227/J227</f>
        <v>9756.09756097561</v>
      </c>
      <c r="M227" s="28"/>
      <c r="N227" s="29"/>
      <c r="O227" s="30" t="n">
        <f aca="false">K227+N227</f>
        <v>180000</v>
      </c>
      <c r="P227" s="30" t="n">
        <f aca="false">ROUND(O227/J227, 2)</f>
        <v>9756.1</v>
      </c>
      <c r="Q227" s="25" t="s">
        <v>531</v>
      </c>
      <c r="R227" s="22" t="s">
        <v>27</v>
      </c>
      <c r="S227" s="25" t="s">
        <v>29</v>
      </c>
      <c r="T227" s="24" t="s">
        <v>30</v>
      </c>
      <c r="U227" s="31" t="s">
        <v>31</v>
      </c>
      <c r="V227" s="31" t="n">
        <v>43234</v>
      </c>
      <c r="W227" s="18"/>
      <c r="X227" s="18"/>
      <c r="Z227" s="33"/>
      <c r="AB227" s="37"/>
    </row>
    <row r="228" s="32" customFormat="true" ht="13.8" hidden="false" customHeight="false" outlineLevel="0" collapsed="false">
      <c r="A228" s="18"/>
      <c r="B228" s="19" t="n">
        <v>718</v>
      </c>
      <c r="C228" s="20" t="n">
        <v>43159</v>
      </c>
      <c r="D228" s="21" t="s">
        <v>22</v>
      </c>
      <c r="E228" s="22" t="s">
        <v>284</v>
      </c>
      <c r="F228" s="23" t="s">
        <v>532</v>
      </c>
      <c r="G228" s="22" t="s">
        <v>111</v>
      </c>
      <c r="H228" s="24" t="s">
        <v>26</v>
      </c>
      <c r="I228" s="24" t="s">
        <v>36</v>
      </c>
      <c r="J228" s="25" t="n">
        <v>112.83</v>
      </c>
      <c r="K228" s="26" t="n">
        <v>1075000</v>
      </c>
      <c r="L228" s="27" t="n">
        <f aca="false">K228/J228</f>
        <v>9527.60790569884</v>
      </c>
      <c r="M228" s="28"/>
      <c r="N228" s="29"/>
      <c r="O228" s="30" t="n">
        <f aca="false">K228+N228</f>
        <v>1075000</v>
      </c>
      <c r="P228" s="30" t="n">
        <f aca="false">ROUND(O228/J228, 2)</f>
        <v>9527.61</v>
      </c>
      <c r="Q228" s="25" t="s">
        <v>91</v>
      </c>
      <c r="R228" s="22" t="s">
        <v>49</v>
      </c>
      <c r="S228" s="25" t="s">
        <v>29</v>
      </c>
      <c r="T228" s="24" t="s">
        <v>30</v>
      </c>
      <c r="U228" s="31" t="s">
        <v>31</v>
      </c>
      <c r="V228" s="31" t="n">
        <v>43234</v>
      </c>
      <c r="W228" s="18"/>
      <c r="X228" s="18"/>
      <c r="Z228" s="1"/>
      <c r="AB228" s="1"/>
    </row>
    <row r="229" s="32" customFormat="true" ht="13.8" hidden="false" customHeight="false" outlineLevel="0" collapsed="false">
      <c r="A229" s="18"/>
      <c r="B229" s="19" t="n">
        <v>770</v>
      </c>
      <c r="C229" s="20" t="n">
        <v>43159</v>
      </c>
      <c r="D229" s="21" t="s">
        <v>22</v>
      </c>
      <c r="E229" s="22" t="s">
        <v>190</v>
      </c>
      <c r="F229" s="23" t="s">
        <v>108</v>
      </c>
      <c r="G229" s="22" t="s">
        <v>47</v>
      </c>
      <c r="H229" s="24" t="s">
        <v>269</v>
      </c>
      <c r="I229" s="24" t="s">
        <v>36</v>
      </c>
      <c r="J229" s="25" t="n">
        <v>50.1</v>
      </c>
      <c r="K229" s="26" t="n">
        <v>430000</v>
      </c>
      <c r="L229" s="27" t="n">
        <f aca="false">K229/J229</f>
        <v>8582.83433133732</v>
      </c>
      <c r="M229" s="28" t="s">
        <v>64</v>
      </c>
      <c r="N229" s="29"/>
      <c r="O229" s="30" t="n">
        <f aca="false">K229+N229</f>
        <v>430000</v>
      </c>
      <c r="P229" s="30" t="n">
        <f aca="false">ROUND(O229/J229, 2)</f>
        <v>8582.83</v>
      </c>
      <c r="Q229" s="25" t="s">
        <v>50</v>
      </c>
      <c r="R229" s="22" t="s">
        <v>36</v>
      </c>
      <c r="S229" s="25" t="s">
        <v>29</v>
      </c>
      <c r="T229" s="24" t="s">
        <v>30</v>
      </c>
      <c r="U229" s="31" t="s">
        <v>31</v>
      </c>
      <c r="V229" s="31" t="n">
        <v>43234</v>
      </c>
      <c r="W229" s="18"/>
      <c r="X229" s="18"/>
      <c r="Z229" s="1"/>
      <c r="AB229" s="1"/>
    </row>
    <row r="230" s="32" customFormat="true" ht="13.8" hidden="false" customHeight="false" outlineLevel="0" collapsed="false">
      <c r="A230" s="18"/>
      <c r="B230" s="19" t="n">
        <v>245</v>
      </c>
      <c r="C230" s="20" t="n">
        <v>43159</v>
      </c>
      <c r="D230" s="21" t="s">
        <v>22</v>
      </c>
      <c r="E230" s="22" t="s">
        <v>178</v>
      </c>
      <c r="F230" s="23" t="s">
        <v>387</v>
      </c>
      <c r="G230" s="22" t="s">
        <v>177</v>
      </c>
      <c r="H230" s="24" t="s">
        <v>533</v>
      </c>
      <c r="I230" s="24" t="s">
        <v>57</v>
      </c>
      <c r="J230" s="25" t="n">
        <v>34.42</v>
      </c>
      <c r="K230" s="26" t="n">
        <v>300000</v>
      </c>
      <c r="L230" s="27" t="n">
        <f aca="false">K230/J230</f>
        <v>8715.86287042417</v>
      </c>
      <c r="M230" s="28" t="s">
        <v>64</v>
      </c>
      <c r="N230" s="29"/>
      <c r="O230" s="30" t="n">
        <f aca="false">K230+N230</f>
        <v>300000</v>
      </c>
      <c r="P230" s="30" t="n">
        <f aca="false">ROUND(O230/J230, 2)</f>
        <v>8715.86</v>
      </c>
      <c r="Q230" s="25" t="s">
        <v>41</v>
      </c>
      <c r="R230" s="22" t="s">
        <v>27</v>
      </c>
      <c r="S230" s="25" t="s">
        <v>29</v>
      </c>
      <c r="T230" s="24" t="s">
        <v>30</v>
      </c>
      <c r="U230" s="31" t="s">
        <v>31</v>
      </c>
      <c r="V230" s="31" t="n">
        <v>43234</v>
      </c>
      <c r="W230" s="18"/>
      <c r="X230" s="18"/>
      <c r="Z230" s="1"/>
      <c r="AB230" s="1"/>
    </row>
    <row r="231" s="32" customFormat="true" ht="13.8" hidden="false" customHeight="false" outlineLevel="0" collapsed="false">
      <c r="A231" s="18"/>
      <c r="B231" s="19" t="n">
        <v>331</v>
      </c>
      <c r="C231" s="20" t="n">
        <v>43159</v>
      </c>
      <c r="D231" s="21" t="s">
        <v>22</v>
      </c>
      <c r="E231" s="22" t="s">
        <v>284</v>
      </c>
      <c r="F231" s="23" t="s">
        <v>534</v>
      </c>
      <c r="G231" s="22" t="s">
        <v>82</v>
      </c>
      <c r="H231" s="24" t="s">
        <v>25</v>
      </c>
      <c r="I231" s="24" t="s">
        <v>26</v>
      </c>
      <c r="J231" s="25" t="n">
        <v>64.4</v>
      </c>
      <c r="K231" s="26" t="n">
        <v>545000</v>
      </c>
      <c r="L231" s="27" t="n">
        <f aca="false">K231/J231</f>
        <v>8462.73291925466</v>
      </c>
      <c r="M231" s="28" t="s">
        <v>64</v>
      </c>
      <c r="N231" s="29"/>
      <c r="O231" s="30" t="n">
        <f aca="false">K231+N231</f>
        <v>545000</v>
      </c>
      <c r="P231" s="30" t="n">
        <f aca="false">ROUND(O231/J231, 2)</f>
        <v>8462.73</v>
      </c>
      <c r="Q231" s="25" t="s">
        <v>465</v>
      </c>
      <c r="R231" s="22" t="s">
        <v>36</v>
      </c>
      <c r="S231" s="25" t="s">
        <v>29</v>
      </c>
      <c r="T231" s="24" t="s">
        <v>30</v>
      </c>
      <c r="U231" s="31" t="s">
        <v>31</v>
      </c>
      <c r="V231" s="31" t="n">
        <v>43234</v>
      </c>
      <c r="W231" s="18"/>
      <c r="X231" s="18"/>
      <c r="Z231" s="1"/>
      <c r="AB231" s="1"/>
    </row>
    <row r="232" s="32" customFormat="true" ht="13.8" hidden="false" customHeight="false" outlineLevel="0" collapsed="false">
      <c r="A232" s="18"/>
      <c r="B232" s="19" t="n">
        <v>1437</v>
      </c>
      <c r="C232" s="20" t="n">
        <v>43159</v>
      </c>
      <c r="D232" s="21" t="s">
        <v>22</v>
      </c>
      <c r="E232" s="22" t="s">
        <v>278</v>
      </c>
      <c r="F232" s="23" t="s">
        <v>338</v>
      </c>
      <c r="G232" s="22" t="s">
        <v>339</v>
      </c>
      <c r="H232" s="24" t="s">
        <v>68</v>
      </c>
      <c r="I232" s="24" t="s">
        <v>36</v>
      </c>
      <c r="J232" s="25" t="n">
        <v>57.38</v>
      </c>
      <c r="K232" s="26" t="n">
        <v>505000</v>
      </c>
      <c r="L232" s="27" t="n">
        <f aca="false">K232/J232</f>
        <v>8800.9759498083</v>
      </c>
      <c r="M232" s="28" t="s">
        <v>64</v>
      </c>
      <c r="N232" s="29"/>
      <c r="O232" s="30" t="n">
        <f aca="false">K232+N232</f>
        <v>505000</v>
      </c>
      <c r="P232" s="30" t="n">
        <f aca="false">ROUND(O232/J232, 2)</f>
        <v>8800.98</v>
      </c>
      <c r="Q232" s="25" t="s">
        <v>85</v>
      </c>
      <c r="R232" s="22" t="s">
        <v>26</v>
      </c>
      <c r="S232" s="25" t="s">
        <v>29</v>
      </c>
      <c r="T232" s="24" t="s">
        <v>30</v>
      </c>
      <c r="U232" s="31" t="s">
        <v>31</v>
      </c>
      <c r="V232" s="31" t="n">
        <v>43234</v>
      </c>
      <c r="W232" s="18"/>
      <c r="X232" s="18"/>
      <c r="Z232" s="1"/>
      <c r="AB232" s="1"/>
    </row>
    <row r="233" s="32" customFormat="true" ht="13.8" hidden="false" customHeight="false" outlineLevel="0" collapsed="false">
      <c r="A233" s="18"/>
      <c r="B233" s="19" t="n">
        <v>9293</v>
      </c>
      <c r="C233" s="20" t="n">
        <v>43159</v>
      </c>
      <c r="D233" s="21" t="s">
        <v>22</v>
      </c>
      <c r="E233" s="22" t="s">
        <v>251</v>
      </c>
      <c r="F233" s="23" t="s">
        <v>535</v>
      </c>
      <c r="G233" s="22" t="s">
        <v>49</v>
      </c>
      <c r="H233" s="24" t="s">
        <v>536</v>
      </c>
      <c r="I233" s="24" t="s">
        <v>143</v>
      </c>
      <c r="J233" s="25" t="n">
        <f aca="false">52.4-1.66</f>
        <v>50.74</v>
      </c>
      <c r="K233" s="26" t="n">
        <v>400000</v>
      </c>
      <c r="L233" s="27" t="n">
        <f aca="false">K233/J233</f>
        <v>7883.32676389436</v>
      </c>
      <c r="M233" s="28" t="s">
        <v>537</v>
      </c>
      <c r="N233" s="29"/>
      <c r="O233" s="30" t="n">
        <f aca="false">K233+N233</f>
        <v>400000</v>
      </c>
      <c r="P233" s="30" t="n">
        <f aca="false">ROUND(O233/J233, 2)</f>
        <v>7883.33</v>
      </c>
      <c r="Q233" s="25" t="s">
        <v>85</v>
      </c>
      <c r="R233" s="22" t="s">
        <v>26</v>
      </c>
      <c r="S233" s="25" t="s">
        <v>29</v>
      </c>
      <c r="T233" s="24" t="s">
        <v>30</v>
      </c>
      <c r="U233" s="31" t="s">
        <v>31</v>
      </c>
      <c r="V233" s="31" t="n">
        <v>43234</v>
      </c>
      <c r="W233" s="18"/>
      <c r="X233" s="18"/>
      <c r="Z233" s="1"/>
      <c r="AB233" s="1"/>
    </row>
    <row r="234" s="32" customFormat="true" ht="13.8" hidden="false" customHeight="false" outlineLevel="0" collapsed="false">
      <c r="A234" s="18"/>
      <c r="B234" s="19" t="n">
        <v>956</v>
      </c>
      <c r="C234" s="20" t="n">
        <v>43159</v>
      </c>
      <c r="D234" s="38" t="s">
        <v>22</v>
      </c>
      <c r="E234" s="22" t="s">
        <v>308</v>
      </c>
      <c r="F234" s="34" t="s">
        <v>538</v>
      </c>
      <c r="G234" s="19" t="n">
        <v>3</v>
      </c>
      <c r="H234" s="19" t="s">
        <v>539</v>
      </c>
      <c r="I234" s="19" t="s">
        <v>540</v>
      </c>
      <c r="J234" s="19" t="n">
        <f aca="false">62.49+109.29+39.19+87.19+17.64</f>
        <v>315.8</v>
      </c>
      <c r="K234" s="39" t="n">
        <f aca="false">746755.5+1306015.5+456370.5+1041920.5+210761</f>
        <v>3761823</v>
      </c>
      <c r="L234" s="39" t="n">
        <f aca="false">ROUND(K234/J234,2)</f>
        <v>11912.04</v>
      </c>
      <c r="M234" s="34"/>
      <c r="N234" s="40"/>
      <c r="O234" s="30" t="n">
        <f aca="false">K234+N234</f>
        <v>3761823</v>
      </c>
      <c r="P234" s="39" t="n">
        <f aca="false">ROUND(O234/J234,2)</f>
        <v>11912.04</v>
      </c>
      <c r="Q234" s="19" t="s">
        <v>541</v>
      </c>
      <c r="R234" s="22" t="s">
        <v>542</v>
      </c>
      <c r="S234" s="19" t="s">
        <v>29</v>
      </c>
      <c r="T234" s="19" t="s">
        <v>30</v>
      </c>
      <c r="U234" s="31" t="s">
        <v>31</v>
      </c>
      <c r="V234" s="41" t="n">
        <v>43432</v>
      </c>
      <c r="W234" s="18"/>
      <c r="X234" s="18"/>
      <c r="Z234" s="1"/>
      <c r="AB234" s="1"/>
    </row>
    <row r="235" s="32" customFormat="true" ht="13.8" hidden="false" customHeight="false" outlineLevel="0" collapsed="false">
      <c r="A235" s="18"/>
      <c r="B235" s="19" t="n">
        <v>871</v>
      </c>
      <c r="C235" s="20" t="n">
        <v>43160</v>
      </c>
      <c r="D235" s="21" t="s">
        <v>22</v>
      </c>
      <c r="E235" s="22" t="s">
        <v>75</v>
      </c>
      <c r="F235" s="23" t="s">
        <v>76</v>
      </c>
      <c r="G235" s="22" t="s">
        <v>197</v>
      </c>
      <c r="H235" s="24" t="s">
        <v>128</v>
      </c>
      <c r="I235" s="24" t="s">
        <v>26</v>
      </c>
      <c r="J235" s="25" t="n">
        <f aca="false">50.35-3.77</f>
        <v>46.58</v>
      </c>
      <c r="K235" s="26" t="n">
        <v>380000</v>
      </c>
      <c r="L235" s="27" t="n">
        <f aca="false">K235/J235</f>
        <v>8158.0077286389</v>
      </c>
      <c r="M235" s="28" t="s">
        <v>79</v>
      </c>
      <c r="N235" s="29"/>
      <c r="O235" s="30" t="n">
        <f aca="false">K235+N235</f>
        <v>380000</v>
      </c>
      <c r="P235" s="30" t="n">
        <f aca="false">ROUND(O235/J235, 2)</f>
        <v>8158.01</v>
      </c>
      <c r="Q235" s="25" t="s">
        <v>50</v>
      </c>
      <c r="R235" s="22" t="s">
        <v>36</v>
      </c>
      <c r="S235" s="25" t="s">
        <v>29</v>
      </c>
      <c r="T235" s="24" t="s">
        <v>30</v>
      </c>
      <c r="U235" s="31" t="s">
        <v>31</v>
      </c>
      <c r="V235" s="31" t="n">
        <v>43234</v>
      </c>
      <c r="W235" s="18"/>
      <c r="X235" s="18"/>
      <c r="Z235" s="1"/>
      <c r="AB235" s="1"/>
    </row>
    <row r="236" s="32" customFormat="true" ht="13.8" hidden="false" customHeight="false" outlineLevel="0" collapsed="false">
      <c r="A236" s="18"/>
      <c r="B236" s="19" t="n">
        <v>1351</v>
      </c>
      <c r="C236" s="20" t="n">
        <v>43160</v>
      </c>
      <c r="D236" s="21" t="s">
        <v>22</v>
      </c>
      <c r="E236" s="22" t="s">
        <v>543</v>
      </c>
      <c r="F236" s="23" t="s">
        <v>172</v>
      </c>
      <c r="G236" s="22" t="s">
        <v>55</v>
      </c>
      <c r="H236" s="24" t="s">
        <v>126</v>
      </c>
      <c r="I236" s="24" t="s">
        <v>36</v>
      </c>
      <c r="J236" s="25" t="n">
        <v>37.18</v>
      </c>
      <c r="K236" s="26" t="n">
        <v>370000</v>
      </c>
      <c r="L236" s="27" t="n">
        <f aca="false">K236/J236</f>
        <v>9951.5868746638</v>
      </c>
      <c r="M236" s="28"/>
      <c r="N236" s="29"/>
      <c r="O236" s="30" t="n">
        <f aca="false">K236+N236</f>
        <v>370000</v>
      </c>
      <c r="P236" s="30" t="n">
        <f aca="false">ROUND(O236/J236, 2)</f>
        <v>9951.59</v>
      </c>
      <c r="Q236" s="25" t="s">
        <v>50</v>
      </c>
      <c r="R236" s="22" t="s">
        <v>36</v>
      </c>
      <c r="S236" s="25" t="s">
        <v>29</v>
      </c>
      <c r="T236" s="24" t="s">
        <v>30</v>
      </c>
      <c r="U236" s="31" t="s">
        <v>31</v>
      </c>
      <c r="V236" s="31" t="n">
        <v>43234</v>
      </c>
      <c r="W236" s="18"/>
      <c r="X236" s="18"/>
      <c r="Z236" s="1"/>
      <c r="AB236" s="1"/>
    </row>
    <row r="237" s="32" customFormat="true" ht="13.8" hidden="false" customHeight="false" outlineLevel="0" collapsed="false">
      <c r="A237" s="18"/>
      <c r="B237" s="19" t="n">
        <v>2215</v>
      </c>
      <c r="C237" s="20" t="n">
        <v>43160</v>
      </c>
      <c r="D237" s="21" t="s">
        <v>22</v>
      </c>
      <c r="E237" s="22" t="s">
        <v>72</v>
      </c>
      <c r="F237" s="23" t="s">
        <v>387</v>
      </c>
      <c r="G237" s="22" t="s">
        <v>180</v>
      </c>
      <c r="H237" s="24" t="s">
        <v>115</v>
      </c>
      <c r="I237" s="24" t="s">
        <v>57</v>
      </c>
      <c r="J237" s="25" t="n">
        <v>116</v>
      </c>
      <c r="K237" s="26" t="n">
        <v>830000</v>
      </c>
      <c r="L237" s="27" t="n">
        <f aca="false">K237/J237</f>
        <v>7155.1724137931</v>
      </c>
      <c r="M237" s="28"/>
      <c r="N237" s="29"/>
      <c r="O237" s="30" t="n">
        <f aca="false">K237+N237</f>
        <v>830000</v>
      </c>
      <c r="P237" s="30" t="n">
        <f aca="false">ROUND(O237/J237, 2)</f>
        <v>7155.17</v>
      </c>
      <c r="Q237" s="25" t="s">
        <v>491</v>
      </c>
      <c r="R237" s="22" t="s">
        <v>49</v>
      </c>
      <c r="S237" s="25" t="s">
        <v>29</v>
      </c>
      <c r="T237" s="24" t="s">
        <v>30</v>
      </c>
      <c r="U237" s="31" t="s">
        <v>31</v>
      </c>
      <c r="V237" s="31" t="n">
        <v>43234</v>
      </c>
      <c r="W237" s="18"/>
      <c r="X237" s="18"/>
      <c r="Y237" s="35"/>
      <c r="Z237" s="36"/>
      <c r="AB237" s="1"/>
    </row>
    <row r="238" s="32" customFormat="true" ht="13.8" hidden="false" customHeight="false" outlineLevel="0" collapsed="false">
      <c r="A238" s="18"/>
      <c r="B238" s="19" t="n">
        <v>5834</v>
      </c>
      <c r="C238" s="20" t="n">
        <v>43160</v>
      </c>
      <c r="D238" s="21" t="s">
        <v>22</v>
      </c>
      <c r="E238" s="22" t="s">
        <v>45</v>
      </c>
      <c r="F238" s="23" t="s">
        <v>544</v>
      </c>
      <c r="G238" s="22" t="s">
        <v>101</v>
      </c>
      <c r="H238" s="24" t="s">
        <v>181</v>
      </c>
      <c r="I238" s="24" t="s">
        <v>36</v>
      </c>
      <c r="J238" s="25" t="n">
        <v>45.74</v>
      </c>
      <c r="K238" s="26" t="n">
        <v>430000</v>
      </c>
      <c r="L238" s="27" t="n">
        <f aca="false">K238/J238</f>
        <v>9400.96195889812</v>
      </c>
      <c r="M238" s="28" t="s">
        <v>64</v>
      </c>
      <c r="N238" s="29"/>
      <c r="O238" s="30" t="n">
        <f aca="false">K238+N238</f>
        <v>430000</v>
      </c>
      <c r="P238" s="30" t="n">
        <f aca="false">ROUND(O238/J238, 2)</f>
        <v>9400.96</v>
      </c>
      <c r="Q238" s="25" t="s">
        <v>41</v>
      </c>
      <c r="R238" s="22" t="s">
        <v>36</v>
      </c>
      <c r="S238" s="25" t="s">
        <v>29</v>
      </c>
      <c r="T238" s="24" t="s">
        <v>30</v>
      </c>
      <c r="U238" s="31" t="s">
        <v>31</v>
      </c>
      <c r="V238" s="31" t="n">
        <v>43234</v>
      </c>
      <c r="W238" s="18"/>
      <c r="X238" s="18"/>
      <c r="Y238" s="1"/>
      <c r="Z238" s="1"/>
      <c r="AB238" s="1"/>
    </row>
    <row r="239" customFormat="false" ht="13.8" hidden="false" customHeight="false" outlineLevel="0" collapsed="false">
      <c r="A239" s="18"/>
      <c r="B239" s="19" t="n">
        <v>2346</v>
      </c>
      <c r="C239" s="20" t="n">
        <v>43161</v>
      </c>
      <c r="D239" s="21" t="s">
        <v>22</v>
      </c>
      <c r="E239" s="22" t="s">
        <v>65</v>
      </c>
      <c r="F239" s="23" t="s">
        <v>100</v>
      </c>
      <c r="G239" s="22" t="s">
        <v>101</v>
      </c>
      <c r="H239" s="24" t="s">
        <v>494</v>
      </c>
      <c r="I239" s="24" t="s">
        <v>27</v>
      </c>
      <c r="J239" s="25" t="n">
        <v>31</v>
      </c>
      <c r="K239" s="26" t="n">
        <v>247000</v>
      </c>
      <c r="L239" s="27" t="n">
        <f aca="false">K239/J239</f>
        <v>7967.74193548387</v>
      </c>
      <c r="M239" s="28" t="s">
        <v>64</v>
      </c>
      <c r="N239" s="29"/>
      <c r="O239" s="30" t="n">
        <f aca="false">K239+N239</f>
        <v>247000</v>
      </c>
      <c r="P239" s="30" t="n">
        <f aca="false">ROUND(O239/J239, 2)</f>
        <v>7967.74</v>
      </c>
      <c r="Q239" s="25" t="s">
        <v>41</v>
      </c>
      <c r="R239" s="22" t="s">
        <v>27</v>
      </c>
      <c r="S239" s="25" t="s">
        <v>29</v>
      </c>
      <c r="T239" s="24" t="s">
        <v>30</v>
      </c>
      <c r="U239" s="31" t="s">
        <v>31</v>
      </c>
      <c r="V239" s="31" t="n">
        <v>43234</v>
      </c>
      <c r="W239" s="18"/>
      <c r="X239" s="18"/>
      <c r="Y239" s="35"/>
      <c r="Z239" s="43"/>
    </row>
    <row r="240" customFormat="false" ht="13.8" hidden="false" customHeight="false" outlineLevel="0" collapsed="false">
      <c r="A240" s="18"/>
      <c r="B240" s="19" t="n">
        <v>318</v>
      </c>
      <c r="C240" s="20" t="n">
        <v>43161</v>
      </c>
      <c r="D240" s="21" t="s">
        <v>22</v>
      </c>
      <c r="E240" s="22" t="s">
        <v>331</v>
      </c>
      <c r="F240" s="23" t="s">
        <v>332</v>
      </c>
      <c r="G240" s="22" t="s">
        <v>545</v>
      </c>
      <c r="H240" s="24" t="s">
        <v>120</v>
      </c>
      <c r="I240" s="24" t="s">
        <v>27</v>
      </c>
      <c r="J240" s="25" t="n">
        <v>60.63</v>
      </c>
      <c r="K240" s="26" t="n">
        <v>450000</v>
      </c>
      <c r="L240" s="27" t="n">
        <f aca="false">K240/J240</f>
        <v>7422.0682830282</v>
      </c>
      <c r="M240" s="28" t="s">
        <v>546</v>
      </c>
      <c r="N240" s="29" t="n">
        <v>25000</v>
      </c>
      <c r="O240" s="30" t="n">
        <f aca="false">K240+N240</f>
        <v>475000</v>
      </c>
      <c r="P240" s="30" t="n">
        <f aca="false">ROUND(O240/J240, 2)</f>
        <v>7834.41</v>
      </c>
      <c r="Q240" s="25" t="s">
        <v>50</v>
      </c>
      <c r="R240" s="22" t="s">
        <v>36</v>
      </c>
      <c r="S240" s="25" t="s">
        <v>29</v>
      </c>
      <c r="T240" s="24" t="s">
        <v>30</v>
      </c>
      <c r="U240" s="31" t="s">
        <v>31</v>
      </c>
      <c r="V240" s="31" t="n">
        <v>43234</v>
      </c>
      <c r="W240" s="18"/>
      <c r="X240" s="18"/>
    </row>
    <row r="241" customFormat="false" ht="13.8" hidden="false" customHeight="false" outlineLevel="0" collapsed="false">
      <c r="A241" s="18"/>
      <c r="B241" s="19" t="n">
        <v>9860</v>
      </c>
      <c r="C241" s="20" t="n">
        <v>43161</v>
      </c>
      <c r="D241" s="21" t="s">
        <v>22</v>
      </c>
      <c r="E241" s="22" t="s">
        <v>547</v>
      </c>
      <c r="F241" s="23" t="s">
        <v>548</v>
      </c>
      <c r="G241" s="22" t="s">
        <v>27</v>
      </c>
      <c r="H241" s="24" t="s">
        <v>300</v>
      </c>
      <c r="I241" s="24" t="s">
        <v>82</v>
      </c>
      <c r="J241" s="25" t="n">
        <f aca="false">84.52</f>
        <v>84.52</v>
      </c>
      <c r="K241" s="26" t="n">
        <v>580000</v>
      </c>
      <c r="L241" s="27" t="n">
        <f aca="false">K241/J241</f>
        <v>6862.28111689541</v>
      </c>
      <c r="M241" s="28"/>
      <c r="N241" s="29"/>
      <c r="O241" s="30" t="n">
        <f aca="false">K241+N241</f>
        <v>580000</v>
      </c>
      <c r="P241" s="30" t="n">
        <f aca="false">ROUND(O241/J241, 2)</f>
        <v>6862.28</v>
      </c>
      <c r="Q241" s="25" t="s">
        <v>91</v>
      </c>
      <c r="R241" s="22" t="s">
        <v>49</v>
      </c>
      <c r="S241" s="25" t="s">
        <v>29</v>
      </c>
      <c r="T241" s="24" t="s">
        <v>30</v>
      </c>
      <c r="U241" s="31" t="s">
        <v>31</v>
      </c>
      <c r="V241" s="31" t="n">
        <v>43234</v>
      </c>
      <c r="W241" s="18"/>
      <c r="X241" s="18"/>
      <c r="AMJ241" s="32"/>
    </row>
    <row r="242" s="32" customFormat="true" ht="13.8" hidden="false" customHeight="false" outlineLevel="0" collapsed="false">
      <c r="A242" s="18"/>
      <c r="B242" s="19" t="n">
        <v>1305</v>
      </c>
      <c r="C242" s="20" t="n">
        <v>43161</v>
      </c>
      <c r="D242" s="21" t="s">
        <v>22</v>
      </c>
      <c r="E242" s="22" t="s">
        <v>399</v>
      </c>
      <c r="F242" s="23" t="s">
        <v>549</v>
      </c>
      <c r="G242" s="22" t="s">
        <v>82</v>
      </c>
      <c r="H242" s="24" t="s">
        <v>180</v>
      </c>
      <c r="I242" s="24" t="s">
        <v>82</v>
      </c>
      <c r="J242" s="25" t="n">
        <v>70.8</v>
      </c>
      <c r="K242" s="26" t="n">
        <v>675000</v>
      </c>
      <c r="L242" s="27" t="n">
        <f aca="false">K242/J242</f>
        <v>9533.89830508475</v>
      </c>
      <c r="M242" s="28"/>
      <c r="N242" s="29"/>
      <c r="O242" s="30" t="n">
        <f aca="false">K242+N242</f>
        <v>675000</v>
      </c>
      <c r="P242" s="30" t="n">
        <f aca="false">ROUND(O242/J242, 2)</f>
        <v>9533.9</v>
      </c>
      <c r="Q242" s="25" t="s">
        <v>85</v>
      </c>
      <c r="R242" s="22" t="s">
        <v>26</v>
      </c>
      <c r="S242" s="25" t="s">
        <v>29</v>
      </c>
      <c r="T242" s="24" t="s">
        <v>30</v>
      </c>
      <c r="U242" s="31" t="s">
        <v>31</v>
      </c>
      <c r="V242" s="31" t="n">
        <v>43234</v>
      </c>
      <c r="W242" s="34"/>
      <c r="X242" s="34"/>
    </row>
    <row r="243" customFormat="false" ht="13.8" hidden="false" customHeight="false" outlineLevel="0" collapsed="false">
      <c r="A243" s="18"/>
      <c r="B243" s="19" t="n">
        <v>9886</v>
      </c>
      <c r="C243" s="20" t="n">
        <v>43164</v>
      </c>
      <c r="D243" s="21" t="s">
        <v>22</v>
      </c>
      <c r="E243" s="22" t="s">
        <v>109</v>
      </c>
      <c r="F243" s="23" t="s">
        <v>94</v>
      </c>
      <c r="G243" s="22" t="s">
        <v>510</v>
      </c>
      <c r="H243" s="24" t="s">
        <v>550</v>
      </c>
      <c r="I243" s="24" t="s">
        <v>26</v>
      </c>
      <c r="J243" s="25" t="n">
        <v>45.85</v>
      </c>
      <c r="K243" s="26" t="n">
        <v>430000</v>
      </c>
      <c r="L243" s="27" t="n">
        <f aca="false">K243/J243</f>
        <v>9378.40785169029</v>
      </c>
      <c r="M243" s="28" t="s">
        <v>64</v>
      </c>
      <c r="N243" s="29"/>
      <c r="O243" s="30" t="n">
        <f aca="false">K243+N243</f>
        <v>430000</v>
      </c>
      <c r="P243" s="30" t="n">
        <f aca="false">ROUND(O243/J243, 2)</f>
        <v>9378.41</v>
      </c>
      <c r="Q243" s="25" t="s">
        <v>50</v>
      </c>
      <c r="R243" s="22" t="s">
        <v>36</v>
      </c>
      <c r="S243" s="25" t="s">
        <v>29</v>
      </c>
      <c r="T243" s="24" t="s">
        <v>30</v>
      </c>
      <c r="U243" s="31" t="s">
        <v>31</v>
      </c>
      <c r="V243" s="31" t="n">
        <v>43234</v>
      </c>
      <c r="W243" s="34"/>
      <c r="X243" s="34"/>
    </row>
    <row r="244" customFormat="false" ht="13.8" hidden="false" customHeight="false" outlineLevel="0" collapsed="false">
      <c r="A244" s="18"/>
      <c r="B244" s="19" t="n">
        <v>337</v>
      </c>
      <c r="C244" s="20" t="n">
        <v>43164</v>
      </c>
      <c r="D244" s="21" t="s">
        <v>22</v>
      </c>
      <c r="E244" s="22" t="s">
        <v>543</v>
      </c>
      <c r="F244" s="23" t="s">
        <v>172</v>
      </c>
      <c r="G244" s="22" t="s">
        <v>115</v>
      </c>
      <c r="H244" s="24" t="s">
        <v>49</v>
      </c>
      <c r="I244" s="24" t="s">
        <v>36</v>
      </c>
      <c r="J244" s="25" t="n">
        <f aca="false">60.74</f>
        <v>60.74</v>
      </c>
      <c r="K244" s="26" t="n">
        <v>380000</v>
      </c>
      <c r="L244" s="27" t="n">
        <f aca="false">K244/J244</f>
        <v>6256.17385577873</v>
      </c>
      <c r="M244" s="28" t="s">
        <v>551</v>
      </c>
      <c r="N244" s="29"/>
      <c r="O244" s="30" t="n">
        <f aca="false">K244+N244</f>
        <v>380000</v>
      </c>
      <c r="P244" s="30" t="n">
        <f aca="false">ROUND(O244/J244, 2)</f>
        <v>6256.17</v>
      </c>
      <c r="Q244" s="25" t="s">
        <v>50</v>
      </c>
      <c r="R244" s="22" t="s">
        <v>36</v>
      </c>
      <c r="S244" s="25" t="s">
        <v>29</v>
      </c>
      <c r="T244" s="24" t="s">
        <v>30</v>
      </c>
      <c r="U244" s="31" t="s">
        <v>31</v>
      </c>
      <c r="V244" s="31" t="n">
        <v>43234</v>
      </c>
      <c r="W244" s="34" t="s">
        <v>552</v>
      </c>
      <c r="X244" s="34"/>
      <c r="Y244" s="35"/>
      <c r="Z244" s="43"/>
    </row>
    <row r="245" customFormat="false" ht="13.8" hidden="false" customHeight="false" outlineLevel="0" collapsed="false">
      <c r="A245" s="18"/>
      <c r="B245" s="19" t="n">
        <v>396</v>
      </c>
      <c r="C245" s="20" t="n">
        <v>43164</v>
      </c>
      <c r="D245" s="21" t="s">
        <v>22</v>
      </c>
      <c r="E245" s="22" t="s">
        <v>118</v>
      </c>
      <c r="F245" s="23" t="s">
        <v>347</v>
      </c>
      <c r="G245" s="22" t="s">
        <v>57</v>
      </c>
      <c r="H245" s="24" t="s">
        <v>27</v>
      </c>
      <c r="I245" s="24" t="s">
        <v>27</v>
      </c>
      <c r="J245" s="25" t="n">
        <f aca="false">40.81-4.51</f>
        <v>36.3</v>
      </c>
      <c r="K245" s="26" t="n">
        <v>275000</v>
      </c>
      <c r="L245" s="27" t="n">
        <f aca="false">K245/J245</f>
        <v>7575.75757575758</v>
      </c>
      <c r="M245" s="28" t="s">
        <v>553</v>
      </c>
      <c r="N245" s="29"/>
      <c r="O245" s="30" t="n">
        <f aca="false">K245+N245</f>
        <v>275000</v>
      </c>
      <c r="P245" s="30" t="n">
        <f aca="false">ROUND(O245/J245, 2)</f>
        <v>7575.76</v>
      </c>
      <c r="Q245" s="25" t="s">
        <v>50</v>
      </c>
      <c r="R245" s="22" t="s">
        <v>36</v>
      </c>
      <c r="S245" s="25" t="s">
        <v>29</v>
      </c>
      <c r="T245" s="24" t="s">
        <v>30</v>
      </c>
      <c r="U245" s="31" t="s">
        <v>31</v>
      </c>
      <c r="V245" s="31" t="n">
        <v>43234</v>
      </c>
      <c r="W245" s="18"/>
      <c r="X245" s="34"/>
    </row>
    <row r="246" customFormat="false" ht="13.8" hidden="false" customHeight="false" outlineLevel="0" collapsed="false">
      <c r="A246" s="18"/>
      <c r="B246" s="19" t="n">
        <v>3427</v>
      </c>
      <c r="C246" s="20" t="n">
        <v>43164</v>
      </c>
      <c r="D246" s="21" t="s">
        <v>22</v>
      </c>
      <c r="E246" s="22" t="s">
        <v>118</v>
      </c>
      <c r="F246" s="23" t="s">
        <v>347</v>
      </c>
      <c r="G246" s="22" t="s">
        <v>126</v>
      </c>
      <c r="H246" s="24" t="s">
        <v>554</v>
      </c>
      <c r="I246" s="24" t="s">
        <v>112</v>
      </c>
      <c r="J246" s="25" t="n">
        <f aca="false">39.2-2</f>
        <v>37.2</v>
      </c>
      <c r="K246" s="26" t="n">
        <v>290000</v>
      </c>
      <c r="L246" s="27" t="n">
        <f aca="false">K246/J246</f>
        <v>7795.69892473118</v>
      </c>
      <c r="M246" s="28" t="s">
        <v>349</v>
      </c>
      <c r="N246" s="29"/>
      <c r="O246" s="30" t="n">
        <f aca="false">K246+N246</f>
        <v>290000</v>
      </c>
      <c r="P246" s="30" t="n">
        <f aca="false">ROUND(O246/J246, 2)</f>
        <v>7795.7</v>
      </c>
      <c r="Q246" s="25" t="s">
        <v>50</v>
      </c>
      <c r="R246" s="22" t="s">
        <v>36</v>
      </c>
      <c r="S246" s="25" t="s">
        <v>29</v>
      </c>
      <c r="T246" s="24" t="s">
        <v>30</v>
      </c>
      <c r="U246" s="31" t="s">
        <v>31</v>
      </c>
      <c r="V246" s="31" t="n">
        <v>43234</v>
      </c>
      <c r="W246" s="18"/>
      <c r="X246" s="34"/>
      <c r="Y246" s="35"/>
      <c r="Z246" s="36"/>
      <c r="AB246" s="44"/>
      <c r="AMJ246" s="32"/>
    </row>
    <row r="247" s="32" customFormat="true" ht="13.8" hidden="false" customHeight="false" outlineLevel="0" collapsed="false">
      <c r="A247" s="18"/>
      <c r="B247" s="19" t="n">
        <v>1043</v>
      </c>
      <c r="C247" s="20" t="n">
        <v>43164</v>
      </c>
      <c r="D247" s="21" t="s">
        <v>22</v>
      </c>
      <c r="E247" s="22" t="s">
        <v>118</v>
      </c>
      <c r="F247" s="23" t="s">
        <v>119</v>
      </c>
      <c r="G247" s="22" t="s">
        <v>27</v>
      </c>
      <c r="H247" s="24" t="s">
        <v>345</v>
      </c>
      <c r="I247" s="24" t="s">
        <v>143</v>
      </c>
      <c r="J247" s="25" t="n">
        <f aca="false">58.29</f>
        <v>58.29</v>
      </c>
      <c r="K247" s="26" t="n">
        <v>372000</v>
      </c>
      <c r="L247" s="27" t="n">
        <f aca="false">K247/J247</f>
        <v>6381.88368502316</v>
      </c>
      <c r="M247" s="28" t="s">
        <v>555</v>
      </c>
      <c r="N247" s="29"/>
      <c r="O247" s="30" t="n">
        <f aca="false">K247+N247</f>
        <v>372000</v>
      </c>
      <c r="P247" s="30" t="n">
        <f aca="false">ROUND(O247/J247, 2)</f>
        <v>6381.88</v>
      </c>
      <c r="Q247" s="25" t="s">
        <v>556</v>
      </c>
      <c r="R247" s="22" t="s">
        <v>26</v>
      </c>
      <c r="S247" s="25" t="s">
        <v>29</v>
      </c>
      <c r="T247" s="24" t="s">
        <v>30</v>
      </c>
      <c r="U247" s="31" t="s">
        <v>31</v>
      </c>
      <c r="V247" s="31" t="n">
        <v>43234</v>
      </c>
      <c r="W247" s="34" t="s">
        <v>557</v>
      </c>
      <c r="X247" s="34"/>
    </row>
    <row r="248" s="32" customFormat="true" ht="13.8" hidden="false" customHeight="false" outlineLevel="0" collapsed="false">
      <c r="A248" s="18" t="s">
        <v>558</v>
      </c>
      <c r="B248" s="19" t="n">
        <v>2386</v>
      </c>
      <c r="C248" s="20" t="n">
        <v>43164</v>
      </c>
      <c r="D248" s="21" t="s">
        <v>22</v>
      </c>
      <c r="E248" s="22" t="s">
        <v>308</v>
      </c>
      <c r="F248" s="23" t="s">
        <v>538</v>
      </c>
      <c r="G248" s="22" t="s">
        <v>25</v>
      </c>
      <c r="H248" s="24" t="s">
        <v>49</v>
      </c>
      <c r="I248" s="24" t="s">
        <v>26</v>
      </c>
      <c r="J248" s="25" t="n">
        <v>81.2</v>
      </c>
      <c r="K248" s="26" t="n">
        <v>870000</v>
      </c>
      <c r="L248" s="27" t="n">
        <f aca="false">K248/J248</f>
        <v>10714.2857142857</v>
      </c>
      <c r="M248" s="28"/>
      <c r="N248" s="29"/>
      <c r="O248" s="30" t="n">
        <f aca="false">K248+N248</f>
        <v>870000</v>
      </c>
      <c r="P248" s="30" t="n">
        <f aca="false">ROUND(O248/J248, 2)</f>
        <v>10714.29</v>
      </c>
      <c r="Q248" s="25" t="s">
        <v>85</v>
      </c>
      <c r="R248" s="22" t="s">
        <v>26</v>
      </c>
      <c r="S248" s="25" t="s">
        <v>29</v>
      </c>
      <c r="T248" s="24" t="s">
        <v>30</v>
      </c>
      <c r="U248" s="31" t="s">
        <v>31</v>
      </c>
      <c r="V248" s="31" t="n">
        <v>43234</v>
      </c>
      <c r="W248" s="18"/>
      <c r="X248" s="34"/>
    </row>
    <row r="249" s="32" customFormat="true" ht="13.8" hidden="false" customHeight="false" outlineLevel="0" collapsed="false">
      <c r="A249" s="18"/>
      <c r="B249" s="19" t="n">
        <v>1313</v>
      </c>
      <c r="C249" s="20" t="n">
        <v>43164</v>
      </c>
      <c r="D249" s="21" t="s">
        <v>22</v>
      </c>
      <c r="E249" s="22" t="s">
        <v>235</v>
      </c>
      <c r="F249" s="23" t="s">
        <v>456</v>
      </c>
      <c r="G249" s="22" t="s">
        <v>57</v>
      </c>
      <c r="H249" s="24" t="s">
        <v>55</v>
      </c>
      <c r="I249" s="24" t="s">
        <v>36</v>
      </c>
      <c r="J249" s="25" t="n">
        <v>29.8</v>
      </c>
      <c r="K249" s="26" t="n">
        <v>360000</v>
      </c>
      <c r="L249" s="27" t="n">
        <f aca="false">K249/J249</f>
        <v>12080.5369127517</v>
      </c>
      <c r="M249" s="28" t="s">
        <v>64</v>
      </c>
      <c r="N249" s="29"/>
      <c r="O249" s="30" t="n">
        <f aca="false">K249+N249</f>
        <v>360000</v>
      </c>
      <c r="P249" s="30" t="n">
        <f aca="false">ROUND(O249/J249, 2)</f>
        <v>12080.54</v>
      </c>
      <c r="Q249" s="25" t="s">
        <v>41</v>
      </c>
      <c r="R249" s="22" t="s">
        <v>27</v>
      </c>
      <c r="S249" s="25" t="s">
        <v>29</v>
      </c>
      <c r="T249" s="24" t="s">
        <v>30</v>
      </c>
      <c r="U249" s="31" t="s">
        <v>31</v>
      </c>
      <c r="V249" s="31" t="n">
        <v>43234</v>
      </c>
      <c r="W249" s="18"/>
      <c r="X249" s="34"/>
    </row>
    <row r="250" s="32" customFormat="true" ht="13.8" hidden="false" customHeight="false" outlineLevel="0" collapsed="false">
      <c r="A250" s="18"/>
      <c r="B250" s="19" t="n">
        <v>503</v>
      </c>
      <c r="C250" s="20" t="n">
        <v>43165</v>
      </c>
      <c r="D250" s="21" t="s">
        <v>22</v>
      </c>
      <c r="E250" s="22" t="s">
        <v>265</v>
      </c>
      <c r="F250" s="23" t="s">
        <v>108</v>
      </c>
      <c r="G250" s="22" t="s">
        <v>559</v>
      </c>
      <c r="H250" s="24" t="s">
        <v>294</v>
      </c>
      <c r="I250" s="24" t="s">
        <v>27</v>
      </c>
      <c r="J250" s="25" t="n">
        <v>38.99</v>
      </c>
      <c r="K250" s="26" t="n">
        <v>415000</v>
      </c>
      <c r="L250" s="27" t="n">
        <f aca="false">K250/J250</f>
        <v>10643.7548089254</v>
      </c>
      <c r="M250" s="28" t="s">
        <v>64</v>
      </c>
      <c r="N250" s="29"/>
      <c r="O250" s="30" t="n">
        <f aca="false">K250+N250</f>
        <v>415000</v>
      </c>
      <c r="P250" s="30" t="n">
        <f aca="false">ROUND(O250/J250, 2)</f>
        <v>10643.75</v>
      </c>
      <c r="Q250" s="25" t="s">
        <v>41</v>
      </c>
      <c r="R250" s="22" t="s">
        <v>27</v>
      </c>
      <c r="S250" s="25" t="s">
        <v>29</v>
      </c>
      <c r="T250" s="24" t="s">
        <v>30</v>
      </c>
      <c r="U250" s="31" t="s">
        <v>31</v>
      </c>
      <c r="V250" s="31" t="n">
        <v>43343</v>
      </c>
      <c r="W250" s="18"/>
      <c r="X250" s="34"/>
    </row>
    <row r="251" s="32" customFormat="true" ht="13.8" hidden="false" customHeight="false" outlineLevel="0" collapsed="false">
      <c r="A251" s="18"/>
      <c r="B251" s="19" t="n">
        <v>656</v>
      </c>
      <c r="C251" s="20" t="n">
        <v>43165</v>
      </c>
      <c r="D251" s="21" t="s">
        <v>22</v>
      </c>
      <c r="E251" s="22" t="s">
        <v>375</v>
      </c>
      <c r="F251" s="23" t="s">
        <v>560</v>
      </c>
      <c r="G251" s="22" t="s">
        <v>57</v>
      </c>
      <c r="H251" s="24" t="s">
        <v>27</v>
      </c>
      <c r="I251" s="24" t="s">
        <v>27</v>
      </c>
      <c r="J251" s="25" t="n">
        <v>33.7</v>
      </c>
      <c r="K251" s="26" t="n">
        <v>350000</v>
      </c>
      <c r="L251" s="27" t="n">
        <f aca="false">K251/J251</f>
        <v>10385.7566765579</v>
      </c>
      <c r="M251" s="28" t="s">
        <v>64</v>
      </c>
      <c r="N251" s="29"/>
      <c r="O251" s="30" t="n">
        <f aca="false">K251+N251</f>
        <v>350000</v>
      </c>
      <c r="P251" s="30" t="n">
        <f aca="false">ROUND(O251/J251, 2)</f>
        <v>10385.76</v>
      </c>
      <c r="Q251" s="25" t="s">
        <v>41</v>
      </c>
      <c r="R251" s="22" t="s">
        <v>27</v>
      </c>
      <c r="S251" s="25" t="s">
        <v>29</v>
      </c>
      <c r="T251" s="24" t="s">
        <v>30</v>
      </c>
      <c r="U251" s="31" t="s">
        <v>31</v>
      </c>
      <c r="V251" s="31" t="n">
        <v>43234</v>
      </c>
      <c r="W251" s="18"/>
      <c r="X251" s="34"/>
    </row>
    <row r="252" s="32" customFormat="true" ht="13.8" hidden="false" customHeight="false" outlineLevel="0" collapsed="false">
      <c r="A252" s="18"/>
      <c r="B252" s="19" t="n">
        <v>1270</v>
      </c>
      <c r="C252" s="20" t="n">
        <v>43165</v>
      </c>
      <c r="D252" s="21" t="s">
        <v>22</v>
      </c>
      <c r="E252" s="22" t="s">
        <v>45</v>
      </c>
      <c r="F252" s="23" t="s">
        <v>303</v>
      </c>
      <c r="G252" s="22" t="s">
        <v>49</v>
      </c>
      <c r="H252" s="24" t="s">
        <v>82</v>
      </c>
      <c r="I252" s="24" t="s">
        <v>49</v>
      </c>
      <c r="J252" s="25" t="n">
        <v>76.82</v>
      </c>
      <c r="K252" s="26" t="n">
        <v>755000</v>
      </c>
      <c r="L252" s="27" t="n">
        <f aca="false">K252/J252</f>
        <v>9828.1697474616</v>
      </c>
      <c r="M252" s="28" t="s">
        <v>64</v>
      </c>
      <c r="N252" s="29"/>
      <c r="O252" s="30" t="n">
        <f aca="false">K252+N252</f>
        <v>755000</v>
      </c>
      <c r="P252" s="30" t="n">
        <f aca="false">ROUND(O252/J252, 2)</f>
        <v>9828.17</v>
      </c>
      <c r="Q252" s="25" t="s">
        <v>85</v>
      </c>
      <c r="R252" s="22" t="s">
        <v>26</v>
      </c>
      <c r="S252" s="25" t="s">
        <v>29</v>
      </c>
      <c r="T252" s="24" t="s">
        <v>30</v>
      </c>
      <c r="U252" s="31" t="s">
        <v>31</v>
      </c>
      <c r="V252" s="31" t="n">
        <v>43234</v>
      </c>
      <c r="W252" s="18"/>
      <c r="X252" s="34"/>
    </row>
    <row r="253" s="32" customFormat="true" ht="13.8" hidden="false" customHeight="false" outlineLevel="0" collapsed="false">
      <c r="A253" s="18"/>
      <c r="B253" s="19" t="n">
        <v>3142</v>
      </c>
      <c r="C253" s="20" t="n">
        <v>43165</v>
      </c>
      <c r="D253" s="21" t="s">
        <v>22</v>
      </c>
      <c r="E253" s="22" t="s">
        <v>302</v>
      </c>
      <c r="F253" s="23" t="s">
        <v>303</v>
      </c>
      <c r="G253" s="22" t="s">
        <v>126</v>
      </c>
      <c r="H253" s="24" t="s">
        <v>111</v>
      </c>
      <c r="I253" s="24" t="s">
        <v>49</v>
      </c>
      <c r="J253" s="25" t="n">
        <v>63.25</v>
      </c>
      <c r="K253" s="26" t="n">
        <v>749000</v>
      </c>
      <c r="L253" s="27" t="n">
        <f aca="false">K253/J253</f>
        <v>11841.8972332016</v>
      </c>
      <c r="M253" s="28" t="s">
        <v>64</v>
      </c>
      <c r="N253" s="29"/>
      <c r="O253" s="30" t="n">
        <f aca="false">K253+N253</f>
        <v>749000</v>
      </c>
      <c r="P253" s="30" t="n">
        <f aca="false">ROUND(O253/J253, 2)</f>
        <v>11841.9</v>
      </c>
      <c r="Q253" s="25" t="s">
        <v>50</v>
      </c>
      <c r="R253" s="22" t="s">
        <v>36</v>
      </c>
      <c r="S253" s="25" t="s">
        <v>29</v>
      </c>
      <c r="T253" s="24" t="s">
        <v>30</v>
      </c>
      <c r="U253" s="31" t="s">
        <v>31</v>
      </c>
      <c r="V253" s="31" t="n">
        <v>43234</v>
      </c>
      <c r="W253" s="18"/>
      <c r="X253" s="34"/>
    </row>
    <row r="254" s="32" customFormat="true" ht="13.8" hidden="false" customHeight="false" outlineLevel="0" collapsed="false">
      <c r="A254" s="18"/>
      <c r="B254" s="19" t="n">
        <v>1289</v>
      </c>
      <c r="C254" s="20" t="n">
        <v>43165</v>
      </c>
      <c r="D254" s="21" t="s">
        <v>22</v>
      </c>
      <c r="E254" s="22" t="s">
        <v>235</v>
      </c>
      <c r="F254" s="23" t="s">
        <v>561</v>
      </c>
      <c r="G254" s="22" t="s">
        <v>36</v>
      </c>
      <c r="H254" s="24" t="s">
        <v>515</v>
      </c>
      <c r="I254" s="24" t="s">
        <v>27</v>
      </c>
      <c r="J254" s="25" t="n">
        <v>48.31</v>
      </c>
      <c r="K254" s="26" t="n">
        <v>390000</v>
      </c>
      <c r="L254" s="27" t="n">
        <f aca="false">K254/J254</f>
        <v>8072.86276133306</v>
      </c>
      <c r="M254" s="28"/>
      <c r="N254" s="29"/>
      <c r="O254" s="30" t="n">
        <f aca="false">K254+N254</f>
        <v>390000</v>
      </c>
      <c r="P254" s="30" t="n">
        <f aca="false">ROUND(O254/J254, 2)</f>
        <v>8072.86</v>
      </c>
      <c r="Q254" s="25" t="s">
        <v>50</v>
      </c>
      <c r="R254" s="22" t="s">
        <v>36</v>
      </c>
      <c r="S254" s="25" t="s">
        <v>29</v>
      </c>
      <c r="T254" s="24" t="s">
        <v>30</v>
      </c>
      <c r="U254" s="31" t="s">
        <v>31</v>
      </c>
      <c r="V254" s="31" t="n">
        <v>43234</v>
      </c>
      <c r="W254" s="18"/>
      <c r="X254" s="34"/>
    </row>
    <row r="255" s="32" customFormat="true" ht="13.8" hidden="false" customHeight="false" outlineLevel="0" collapsed="false">
      <c r="A255" s="18"/>
      <c r="B255" s="19" t="n">
        <v>481</v>
      </c>
      <c r="C255" s="20" t="n">
        <v>43165</v>
      </c>
      <c r="D255" s="21" t="s">
        <v>22</v>
      </c>
      <c r="E255" s="22" t="s">
        <v>372</v>
      </c>
      <c r="F255" s="23" t="s">
        <v>272</v>
      </c>
      <c r="G255" s="22" t="s">
        <v>217</v>
      </c>
      <c r="H255" s="24" t="s">
        <v>169</v>
      </c>
      <c r="I255" s="24" t="s">
        <v>36</v>
      </c>
      <c r="J255" s="25" t="n">
        <f aca="false">106.89-3.94</f>
        <v>102.95</v>
      </c>
      <c r="K255" s="26" t="n">
        <v>1170000</v>
      </c>
      <c r="L255" s="27" t="n">
        <f aca="false">K255/J255</f>
        <v>11364.7401651287</v>
      </c>
      <c r="M255" s="28" t="s">
        <v>562</v>
      </c>
      <c r="N255" s="29" t="n">
        <v>70000</v>
      </c>
      <c r="O255" s="30" t="n">
        <f aca="false">K255+N255</f>
        <v>1240000</v>
      </c>
      <c r="P255" s="30" t="n">
        <f aca="false">ROUND(O255/J255, 2)</f>
        <v>12044.68</v>
      </c>
      <c r="Q255" s="25" t="s">
        <v>516</v>
      </c>
      <c r="R255" s="22" t="s">
        <v>49</v>
      </c>
      <c r="S255" s="25" t="s">
        <v>29</v>
      </c>
      <c r="T255" s="24" t="s">
        <v>30</v>
      </c>
      <c r="U255" s="31" t="s">
        <v>31</v>
      </c>
      <c r="V255" s="31" t="n">
        <v>43234</v>
      </c>
      <c r="W255" s="18"/>
      <c r="X255" s="18"/>
      <c r="Y255" s="35"/>
      <c r="Z255" s="36"/>
    </row>
    <row r="256" s="32" customFormat="true" ht="13.8" hidden="false" customHeight="false" outlineLevel="0" collapsed="false">
      <c r="A256" s="18"/>
      <c r="B256" s="19" t="n">
        <v>1154</v>
      </c>
      <c r="C256" s="20" t="n">
        <v>43166</v>
      </c>
      <c r="D256" s="21" t="s">
        <v>22</v>
      </c>
      <c r="E256" s="22" t="s">
        <v>235</v>
      </c>
      <c r="F256" s="23" t="s">
        <v>386</v>
      </c>
      <c r="G256" s="22" t="s">
        <v>336</v>
      </c>
      <c r="H256" s="24" t="s">
        <v>78</v>
      </c>
      <c r="I256" s="24" t="s">
        <v>36</v>
      </c>
      <c r="J256" s="25" t="n">
        <v>20.72</v>
      </c>
      <c r="K256" s="26" t="n">
        <v>230000</v>
      </c>
      <c r="L256" s="27" t="n">
        <f aca="false">K256/J256</f>
        <v>11100.3861003861</v>
      </c>
      <c r="M256" s="28"/>
      <c r="N256" s="29"/>
      <c r="O256" s="30" t="n">
        <f aca="false">K256+N256</f>
        <v>230000</v>
      </c>
      <c r="P256" s="39" t="n">
        <f aca="false">ROUND(O256/J256,2)</f>
        <v>11100.39</v>
      </c>
      <c r="Q256" s="25" t="s">
        <v>479</v>
      </c>
      <c r="R256" s="22" t="s">
        <v>27</v>
      </c>
      <c r="S256" s="25" t="s">
        <v>29</v>
      </c>
      <c r="T256" s="24" t="s">
        <v>30</v>
      </c>
      <c r="U256" s="31" t="s">
        <v>31</v>
      </c>
      <c r="V256" s="31" t="n">
        <v>43234</v>
      </c>
      <c r="W256" s="18"/>
      <c r="X256" s="18"/>
      <c r="Y256" s="1"/>
      <c r="Z256" s="1"/>
    </row>
    <row r="257" customFormat="false" ht="13.8" hidden="false" customHeight="false" outlineLevel="0" collapsed="false">
      <c r="A257" s="18"/>
      <c r="B257" s="19" t="n">
        <v>1864</v>
      </c>
      <c r="C257" s="20" t="n">
        <v>43166</v>
      </c>
      <c r="D257" s="21" t="s">
        <v>22</v>
      </c>
      <c r="E257" s="22" t="s">
        <v>369</v>
      </c>
      <c r="F257" s="23" t="s">
        <v>401</v>
      </c>
      <c r="G257" s="22" t="s">
        <v>563</v>
      </c>
      <c r="H257" s="24" t="s">
        <v>154</v>
      </c>
      <c r="I257" s="24" t="s">
        <v>57</v>
      </c>
      <c r="J257" s="25" t="n">
        <v>53.02</v>
      </c>
      <c r="K257" s="26" t="n">
        <v>980000</v>
      </c>
      <c r="L257" s="27" t="n">
        <f aca="false">K257/J257</f>
        <v>18483.591097699</v>
      </c>
      <c r="M257" s="28"/>
      <c r="N257" s="29"/>
      <c r="O257" s="30" t="n">
        <f aca="false">K257+N257</f>
        <v>980000</v>
      </c>
      <c r="P257" s="39" t="n">
        <f aca="false">ROUND(O257/J257,2)</f>
        <v>18483.59</v>
      </c>
      <c r="Q257" s="25" t="s">
        <v>564</v>
      </c>
      <c r="R257" s="22" t="s">
        <v>27</v>
      </c>
      <c r="S257" s="25" t="s">
        <v>29</v>
      </c>
      <c r="T257" s="24" t="s">
        <v>30</v>
      </c>
      <c r="U257" s="31" t="s">
        <v>31</v>
      </c>
      <c r="V257" s="31" t="n">
        <v>43234</v>
      </c>
      <c r="W257" s="18"/>
      <c r="X257" s="18"/>
    </row>
    <row r="258" customFormat="false" ht="13.8" hidden="false" customHeight="false" outlineLevel="0" collapsed="false">
      <c r="A258" s="18"/>
      <c r="B258" s="19" t="n">
        <v>829</v>
      </c>
      <c r="C258" s="20" t="n">
        <v>43166</v>
      </c>
      <c r="D258" s="21" t="s">
        <v>22</v>
      </c>
      <c r="E258" s="22" t="s">
        <v>148</v>
      </c>
      <c r="F258" s="23" t="s">
        <v>149</v>
      </c>
      <c r="G258" s="22" t="s">
        <v>49</v>
      </c>
      <c r="H258" s="24" t="s">
        <v>411</v>
      </c>
      <c r="I258" s="24" t="s">
        <v>27</v>
      </c>
      <c r="J258" s="25" t="n">
        <v>31.06</v>
      </c>
      <c r="K258" s="26" t="n">
        <v>240000</v>
      </c>
      <c r="L258" s="27" t="n">
        <f aca="false">K258/J258</f>
        <v>7726.9800386349</v>
      </c>
      <c r="M258" s="28" t="s">
        <v>64</v>
      </c>
      <c r="N258" s="29"/>
      <c r="O258" s="30" t="n">
        <f aca="false">K258+N258</f>
        <v>240000</v>
      </c>
      <c r="P258" s="30" t="n">
        <f aca="false">ROUND(O258/J258, 2)</f>
        <v>7726.98</v>
      </c>
      <c r="Q258" s="25" t="s">
        <v>293</v>
      </c>
      <c r="R258" s="22" t="s">
        <v>27</v>
      </c>
      <c r="S258" s="25" t="s">
        <v>29</v>
      </c>
      <c r="T258" s="24" t="s">
        <v>30</v>
      </c>
      <c r="U258" s="31" t="s">
        <v>31</v>
      </c>
      <c r="V258" s="31" t="n">
        <v>43234</v>
      </c>
      <c r="W258" s="34"/>
      <c r="X258" s="34"/>
    </row>
    <row r="259" customFormat="false" ht="13.8" hidden="false" customHeight="false" outlineLevel="0" collapsed="false">
      <c r="A259" s="18"/>
      <c r="B259" s="19" t="n">
        <v>898</v>
      </c>
      <c r="C259" s="20" t="n">
        <v>43166</v>
      </c>
      <c r="D259" s="21" t="s">
        <v>22</v>
      </c>
      <c r="E259" s="22" t="s">
        <v>354</v>
      </c>
      <c r="F259" s="23" t="s">
        <v>565</v>
      </c>
      <c r="G259" s="22" t="s">
        <v>147</v>
      </c>
      <c r="H259" s="24" t="s">
        <v>111</v>
      </c>
      <c r="I259" s="24" t="s">
        <v>49</v>
      </c>
      <c r="J259" s="25" t="n">
        <v>30.47</v>
      </c>
      <c r="K259" s="26" t="n">
        <v>260000</v>
      </c>
      <c r="L259" s="27" t="n">
        <f aca="false">K259/J259</f>
        <v>8532.98326222514</v>
      </c>
      <c r="M259" s="28" t="s">
        <v>64</v>
      </c>
      <c r="N259" s="29"/>
      <c r="O259" s="30" t="n">
        <f aca="false">K259+N259</f>
        <v>260000</v>
      </c>
      <c r="P259" s="30" t="n">
        <f aca="false">ROUND(O259/J259, 2)</f>
        <v>8532.98</v>
      </c>
      <c r="Q259" s="25" t="s">
        <v>28</v>
      </c>
      <c r="R259" s="22" t="s">
        <v>27</v>
      </c>
      <c r="S259" s="25" t="s">
        <v>29</v>
      </c>
      <c r="T259" s="24" t="s">
        <v>30</v>
      </c>
      <c r="U259" s="31" t="s">
        <v>31</v>
      </c>
      <c r="V259" s="31" t="n">
        <v>43234</v>
      </c>
      <c r="W259" s="18"/>
      <c r="X259" s="18"/>
    </row>
    <row r="260" customFormat="false" ht="13.8" hidden="false" customHeight="false" outlineLevel="0" collapsed="false">
      <c r="A260" s="18"/>
      <c r="B260" s="19" t="n">
        <v>2983</v>
      </c>
      <c r="C260" s="20" t="n">
        <v>43167</v>
      </c>
      <c r="D260" s="21" t="s">
        <v>22</v>
      </c>
      <c r="E260" s="22" t="s">
        <v>343</v>
      </c>
      <c r="F260" s="23" t="s">
        <v>344</v>
      </c>
      <c r="G260" s="22" t="s">
        <v>193</v>
      </c>
      <c r="H260" s="24" t="s">
        <v>566</v>
      </c>
      <c r="I260" s="24" t="s">
        <v>49</v>
      </c>
      <c r="J260" s="25" t="n">
        <v>57.41</v>
      </c>
      <c r="K260" s="26" t="n">
        <v>570000</v>
      </c>
      <c r="L260" s="27" t="n">
        <f aca="false">K260/J260</f>
        <v>9928.58387040585</v>
      </c>
      <c r="M260" s="28" t="s">
        <v>567</v>
      </c>
      <c r="N260" s="29"/>
      <c r="O260" s="30" t="n">
        <f aca="false">K260+N260</f>
        <v>570000</v>
      </c>
      <c r="P260" s="39" t="n">
        <f aca="false">ROUND(O260/J260,2)</f>
        <v>9928.58</v>
      </c>
      <c r="Q260" s="25" t="s">
        <v>232</v>
      </c>
      <c r="R260" s="22" t="s">
        <v>26</v>
      </c>
      <c r="S260" s="25" t="s">
        <v>29</v>
      </c>
      <c r="T260" s="24" t="s">
        <v>30</v>
      </c>
      <c r="U260" s="31" t="s">
        <v>31</v>
      </c>
      <c r="V260" s="31" t="n">
        <v>43234</v>
      </c>
      <c r="W260" s="18"/>
      <c r="X260" s="18"/>
    </row>
    <row r="261" customFormat="false" ht="13.8" hidden="false" customHeight="false" outlineLevel="0" collapsed="false">
      <c r="A261" s="18"/>
      <c r="B261" s="19" t="n">
        <v>1348</v>
      </c>
      <c r="C261" s="20" t="n">
        <v>43167</v>
      </c>
      <c r="D261" s="21" t="s">
        <v>22</v>
      </c>
      <c r="E261" s="22" t="s">
        <v>452</v>
      </c>
      <c r="F261" s="23" t="s">
        <v>199</v>
      </c>
      <c r="G261" s="22" t="s">
        <v>115</v>
      </c>
      <c r="H261" s="24" t="s">
        <v>135</v>
      </c>
      <c r="I261" s="24" t="s">
        <v>26</v>
      </c>
      <c r="J261" s="25" t="n">
        <v>34.5</v>
      </c>
      <c r="K261" s="26" t="n">
        <v>242000</v>
      </c>
      <c r="L261" s="27" t="n">
        <f aca="false">K261/J261</f>
        <v>7014.49275362319</v>
      </c>
      <c r="M261" s="28" t="s">
        <v>64</v>
      </c>
      <c r="N261" s="29"/>
      <c r="O261" s="30" t="n">
        <f aca="false">K261+N261</f>
        <v>242000</v>
      </c>
      <c r="P261" s="30" t="n">
        <f aca="false">ROUND(O261/J261, 2)</f>
        <v>7014.49</v>
      </c>
      <c r="Q261" s="25" t="s">
        <v>454</v>
      </c>
      <c r="R261" s="22" t="s">
        <v>36</v>
      </c>
      <c r="S261" s="25" t="s">
        <v>29</v>
      </c>
      <c r="T261" s="24" t="s">
        <v>30</v>
      </c>
      <c r="U261" s="31" t="s">
        <v>31</v>
      </c>
      <c r="V261" s="31" t="n">
        <v>43234</v>
      </c>
      <c r="W261" s="18"/>
      <c r="X261" s="18"/>
    </row>
    <row r="262" customFormat="false" ht="13.8" hidden="false" customHeight="false" outlineLevel="0" collapsed="false">
      <c r="A262" s="18"/>
      <c r="B262" s="19" t="n">
        <v>607</v>
      </c>
      <c r="C262" s="20" t="n">
        <v>43167</v>
      </c>
      <c r="D262" s="21" t="s">
        <v>22</v>
      </c>
      <c r="E262" s="22" t="s">
        <v>459</v>
      </c>
      <c r="F262" s="23" t="s">
        <v>279</v>
      </c>
      <c r="G262" s="22" t="s">
        <v>36</v>
      </c>
      <c r="H262" s="24" t="s">
        <v>181</v>
      </c>
      <c r="I262" s="24" t="s">
        <v>36</v>
      </c>
      <c r="J262" s="25" t="n">
        <v>47.9</v>
      </c>
      <c r="K262" s="26" t="n">
        <v>338000</v>
      </c>
      <c r="L262" s="27" t="n">
        <f aca="false">K262/J262</f>
        <v>7056.36743215031</v>
      </c>
      <c r="M262" s="28" t="s">
        <v>64</v>
      </c>
      <c r="N262" s="29"/>
      <c r="O262" s="30" t="n">
        <f aca="false">K262+N262</f>
        <v>338000</v>
      </c>
      <c r="P262" s="30" t="n">
        <f aca="false">ROUND(O262/J262, 2)</f>
        <v>7056.37</v>
      </c>
      <c r="Q262" s="25" t="s">
        <v>50</v>
      </c>
      <c r="R262" s="22" t="s">
        <v>36</v>
      </c>
      <c r="S262" s="25" t="s">
        <v>29</v>
      </c>
      <c r="T262" s="24" t="s">
        <v>30</v>
      </c>
      <c r="U262" s="31" t="s">
        <v>31</v>
      </c>
      <c r="V262" s="31" t="n">
        <v>43343</v>
      </c>
      <c r="W262" s="18"/>
      <c r="X262" s="18"/>
    </row>
    <row r="263" customFormat="false" ht="13.8" hidden="false" customHeight="false" outlineLevel="0" collapsed="false">
      <c r="A263" s="18"/>
      <c r="B263" s="19" t="n">
        <v>5192</v>
      </c>
      <c r="C263" s="20" t="n">
        <v>43167</v>
      </c>
      <c r="D263" s="21" t="s">
        <v>22</v>
      </c>
      <c r="E263" s="22" t="s">
        <v>118</v>
      </c>
      <c r="F263" s="23" t="s">
        <v>462</v>
      </c>
      <c r="G263" s="22" t="s">
        <v>25</v>
      </c>
      <c r="H263" s="24" t="s">
        <v>82</v>
      </c>
      <c r="I263" s="24" t="s">
        <v>36</v>
      </c>
      <c r="J263" s="25" t="n">
        <v>43.6</v>
      </c>
      <c r="K263" s="26" t="n">
        <v>250000</v>
      </c>
      <c r="L263" s="27" t="n">
        <f aca="false">K263/J263</f>
        <v>5733.94495412844</v>
      </c>
      <c r="M263" s="28" t="s">
        <v>64</v>
      </c>
      <c r="N263" s="29"/>
      <c r="O263" s="30" t="n">
        <f aca="false">K263+N263</f>
        <v>250000</v>
      </c>
      <c r="P263" s="39" t="n">
        <f aca="false">ROUND(O263/J263,2)</f>
        <v>5733.94</v>
      </c>
      <c r="Q263" s="25" t="s">
        <v>50</v>
      </c>
      <c r="R263" s="22" t="s">
        <v>36</v>
      </c>
      <c r="S263" s="25" t="s">
        <v>29</v>
      </c>
      <c r="T263" s="24" t="s">
        <v>30</v>
      </c>
      <c r="U263" s="31" t="s">
        <v>31</v>
      </c>
      <c r="V263" s="31" t="n">
        <v>43234</v>
      </c>
      <c r="W263" s="18"/>
      <c r="X263" s="18"/>
    </row>
    <row r="264" customFormat="false" ht="13.8" hidden="false" customHeight="false" outlineLevel="0" collapsed="false">
      <c r="A264" s="18"/>
      <c r="B264" s="19" t="n">
        <v>1300</v>
      </c>
      <c r="C264" s="20" t="n">
        <v>43167</v>
      </c>
      <c r="D264" s="21" t="s">
        <v>22</v>
      </c>
      <c r="E264" s="22" t="s">
        <v>178</v>
      </c>
      <c r="F264" s="23" t="s">
        <v>219</v>
      </c>
      <c r="G264" s="22" t="s">
        <v>27</v>
      </c>
      <c r="H264" s="24" t="s">
        <v>154</v>
      </c>
      <c r="I264" s="24" t="s">
        <v>27</v>
      </c>
      <c r="J264" s="25" t="n">
        <v>49.4</v>
      </c>
      <c r="K264" s="26" t="n">
        <v>463000</v>
      </c>
      <c r="L264" s="27" t="n">
        <f aca="false">K264/J264</f>
        <v>9372.46963562753</v>
      </c>
      <c r="M264" s="28"/>
      <c r="N264" s="29"/>
      <c r="O264" s="30" t="n">
        <f aca="false">K264+N264</f>
        <v>463000</v>
      </c>
      <c r="P264" s="30" t="n">
        <f aca="false">ROUND(O264/J264, 2)</f>
        <v>9372.47</v>
      </c>
      <c r="Q264" s="25" t="s">
        <v>50</v>
      </c>
      <c r="R264" s="22" t="s">
        <v>36</v>
      </c>
      <c r="S264" s="25" t="s">
        <v>29</v>
      </c>
      <c r="T264" s="24" t="s">
        <v>30</v>
      </c>
      <c r="U264" s="31" t="s">
        <v>31</v>
      </c>
      <c r="V264" s="31" t="n">
        <v>43343</v>
      </c>
      <c r="W264" s="34"/>
      <c r="X264" s="34"/>
      <c r="AMJ264" s="32"/>
    </row>
    <row r="265" s="32" customFormat="true" ht="13.8" hidden="false" customHeight="false" outlineLevel="0" collapsed="false">
      <c r="A265" s="18"/>
      <c r="B265" s="19" t="n">
        <v>1026</v>
      </c>
      <c r="C265" s="20" t="n">
        <v>43167</v>
      </c>
      <c r="D265" s="21" t="s">
        <v>22</v>
      </c>
      <c r="E265" s="22" t="s">
        <v>369</v>
      </c>
      <c r="F265" s="23" t="s">
        <v>127</v>
      </c>
      <c r="G265" s="22" t="s">
        <v>115</v>
      </c>
      <c r="H265" s="24" t="s">
        <v>568</v>
      </c>
      <c r="I265" s="24" t="s">
        <v>26</v>
      </c>
      <c r="J265" s="25" t="n">
        <v>78.69</v>
      </c>
      <c r="K265" s="26" t="n">
        <v>770000</v>
      </c>
      <c r="L265" s="27" t="n">
        <f aca="false">K265/J265</f>
        <v>9785.23319354429</v>
      </c>
      <c r="M265" s="28"/>
      <c r="N265" s="29"/>
      <c r="O265" s="30" t="n">
        <f aca="false">K265+N265</f>
        <v>770000</v>
      </c>
      <c r="P265" s="30" t="n">
        <f aca="false">ROUND(O265/J265, 2)</f>
        <v>9785.23</v>
      </c>
      <c r="Q265" s="25" t="s">
        <v>85</v>
      </c>
      <c r="R265" s="22" t="s">
        <v>26</v>
      </c>
      <c r="S265" s="25" t="s">
        <v>29</v>
      </c>
      <c r="T265" s="24" t="s">
        <v>30</v>
      </c>
      <c r="U265" s="31" t="s">
        <v>31</v>
      </c>
      <c r="V265" s="31" t="n">
        <v>43234</v>
      </c>
      <c r="W265" s="34"/>
      <c r="X265" s="34"/>
    </row>
    <row r="266" customFormat="false" ht="13.8" hidden="false" customHeight="false" outlineLevel="0" collapsed="false">
      <c r="A266" s="18"/>
      <c r="B266" s="19" t="n">
        <v>1653</v>
      </c>
      <c r="C266" s="20" t="n">
        <v>43167</v>
      </c>
      <c r="D266" s="21" t="s">
        <v>22</v>
      </c>
      <c r="E266" s="22" t="s">
        <v>187</v>
      </c>
      <c r="F266" s="23" t="s">
        <v>569</v>
      </c>
      <c r="G266" s="22" t="s">
        <v>67</v>
      </c>
      <c r="H266" s="24" t="s">
        <v>95</v>
      </c>
      <c r="I266" s="24" t="s">
        <v>27</v>
      </c>
      <c r="J266" s="25" t="n">
        <v>46.56</v>
      </c>
      <c r="K266" s="26" t="n">
        <v>320000</v>
      </c>
      <c r="L266" s="27" t="n">
        <f aca="false">K266/J266</f>
        <v>6872.85223367698</v>
      </c>
      <c r="M266" s="28"/>
      <c r="N266" s="29"/>
      <c r="O266" s="30" t="n">
        <f aca="false">K266+N266</f>
        <v>320000</v>
      </c>
      <c r="P266" s="39" t="n">
        <f aca="false">ROUND(O266/J266,2)</f>
        <v>6872.85</v>
      </c>
      <c r="Q266" s="25" t="s">
        <v>50</v>
      </c>
      <c r="R266" s="22" t="s">
        <v>36</v>
      </c>
      <c r="S266" s="25" t="s">
        <v>29</v>
      </c>
      <c r="T266" s="24" t="s">
        <v>30</v>
      </c>
      <c r="U266" s="31" t="s">
        <v>31</v>
      </c>
      <c r="V266" s="31" t="n">
        <v>43234</v>
      </c>
      <c r="W266" s="34"/>
      <c r="X266" s="34"/>
    </row>
    <row r="267" customFormat="false" ht="13.8" hidden="false" customHeight="false" outlineLevel="0" collapsed="false">
      <c r="A267" s="18"/>
      <c r="B267" s="19" t="n">
        <v>422</v>
      </c>
      <c r="C267" s="20" t="n">
        <v>43168</v>
      </c>
      <c r="D267" s="21" t="s">
        <v>22</v>
      </c>
      <c r="E267" s="22" t="s">
        <v>37</v>
      </c>
      <c r="F267" s="23" t="s">
        <v>38</v>
      </c>
      <c r="G267" s="22" t="s">
        <v>39</v>
      </c>
      <c r="H267" s="24" t="s">
        <v>318</v>
      </c>
      <c r="I267" s="24" t="s">
        <v>49</v>
      </c>
      <c r="J267" s="25" t="n">
        <v>19.21</v>
      </c>
      <c r="K267" s="26" t="n">
        <v>210000</v>
      </c>
      <c r="L267" s="27" t="n">
        <f aca="false">K267/J267</f>
        <v>10931.8063508589</v>
      </c>
      <c r="M267" s="28" t="s">
        <v>64</v>
      </c>
      <c r="N267" s="29"/>
      <c r="O267" s="30" t="n">
        <f aca="false">K267+N267</f>
        <v>210000</v>
      </c>
      <c r="P267" s="30" t="n">
        <f aca="false">ROUND(O267/J267, 2)</f>
        <v>10931.81</v>
      </c>
      <c r="Q267" s="25" t="s">
        <v>520</v>
      </c>
      <c r="R267" s="22" t="s">
        <v>27</v>
      </c>
      <c r="S267" s="25" t="s">
        <v>29</v>
      </c>
      <c r="T267" s="24" t="s">
        <v>30</v>
      </c>
      <c r="U267" s="31" t="s">
        <v>31</v>
      </c>
      <c r="V267" s="31" t="n">
        <v>43234</v>
      </c>
      <c r="W267" s="34"/>
      <c r="X267" s="34"/>
    </row>
    <row r="268" customFormat="false" ht="13.8" hidden="false" customHeight="false" outlineLevel="0" collapsed="false">
      <c r="A268" s="18"/>
      <c r="B268" s="19" t="n">
        <v>1708</v>
      </c>
      <c r="C268" s="20" t="n">
        <v>43168</v>
      </c>
      <c r="D268" s="21" t="s">
        <v>22</v>
      </c>
      <c r="E268" s="22" t="s">
        <v>287</v>
      </c>
      <c r="F268" s="23" t="s">
        <v>288</v>
      </c>
      <c r="G268" s="22" t="s">
        <v>570</v>
      </c>
      <c r="H268" s="24" t="s">
        <v>77</v>
      </c>
      <c r="I268" s="24" t="s">
        <v>82</v>
      </c>
      <c r="J268" s="25" t="n">
        <f aca="false">47.3-2.2</f>
        <v>45.1</v>
      </c>
      <c r="K268" s="26" t="n">
        <v>272000</v>
      </c>
      <c r="L268" s="27" t="n">
        <f aca="false">K268/J268</f>
        <v>6031.04212860311</v>
      </c>
      <c r="M268" s="28" t="s">
        <v>571</v>
      </c>
      <c r="N268" s="29"/>
      <c r="O268" s="30" t="n">
        <f aca="false">K268+N268</f>
        <v>272000</v>
      </c>
      <c r="P268" s="39" t="n">
        <f aca="false">ROUND(O268/J268,2)</f>
        <v>6031.04</v>
      </c>
      <c r="Q268" s="25" t="s">
        <v>85</v>
      </c>
      <c r="R268" s="22" t="s">
        <v>26</v>
      </c>
      <c r="S268" s="25" t="s">
        <v>29</v>
      </c>
      <c r="T268" s="24" t="s">
        <v>30</v>
      </c>
      <c r="U268" s="31" t="s">
        <v>31</v>
      </c>
      <c r="V268" s="31" t="n">
        <v>43234</v>
      </c>
      <c r="W268" s="34"/>
      <c r="X268" s="34"/>
    </row>
    <row r="269" customFormat="false" ht="13.8" hidden="false" customHeight="false" outlineLevel="0" collapsed="false">
      <c r="A269" s="18"/>
      <c r="B269" s="19" t="n">
        <v>1719</v>
      </c>
      <c r="C269" s="20" t="n">
        <v>43168</v>
      </c>
      <c r="D269" s="21" t="s">
        <v>22</v>
      </c>
      <c r="E269" s="22" t="s">
        <v>572</v>
      </c>
      <c r="F269" s="23" t="s">
        <v>573</v>
      </c>
      <c r="G269" s="22" t="s">
        <v>36</v>
      </c>
      <c r="H269" s="24" t="s">
        <v>574</v>
      </c>
      <c r="I269" s="24" t="s">
        <v>36</v>
      </c>
      <c r="J269" s="25" t="n">
        <f aca="false">45.8-1.9</f>
        <v>43.9</v>
      </c>
      <c r="K269" s="26" t="n">
        <v>315000</v>
      </c>
      <c r="L269" s="27" t="n">
        <f aca="false">K269/J269</f>
        <v>7175.3986332574</v>
      </c>
      <c r="M269" s="28" t="s">
        <v>575</v>
      </c>
      <c r="N269" s="29"/>
      <c r="O269" s="30" t="n">
        <f aca="false">K269+N269</f>
        <v>315000</v>
      </c>
      <c r="P269" s="30" t="n">
        <f aca="false">ROUND(O269/J269, 2)</f>
        <v>7175.4</v>
      </c>
      <c r="Q269" s="25" t="s">
        <v>50</v>
      </c>
      <c r="R269" s="22" t="s">
        <v>36</v>
      </c>
      <c r="S269" s="25" t="s">
        <v>29</v>
      </c>
      <c r="T269" s="24" t="s">
        <v>30</v>
      </c>
      <c r="U269" s="31" t="s">
        <v>31</v>
      </c>
      <c r="V269" s="31" t="n">
        <v>43234</v>
      </c>
      <c r="W269" s="34"/>
      <c r="X269" s="34"/>
    </row>
    <row r="270" customFormat="false" ht="13.8" hidden="false" customHeight="false" outlineLevel="0" collapsed="false">
      <c r="A270" s="18"/>
      <c r="B270" s="19" t="n">
        <v>1788</v>
      </c>
      <c r="C270" s="20" t="n">
        <v>43168</v>
      </c>
      <c r="D270" s="21" t="s">
        <v>22</v>
      </c>
      <c r="E270" s="22" t="s">
        <v>118</v>
      </c>
      <c r="F270" s="23" t="s">
        <v>462</v>
      </c>
      <c r="G270" s="22" t="s">
        <v>26</v>
      </c>
      <c r="H270" s="24" t="s">
        <v>300</v>
      </c>
      <c r="I270" s="24" t="s">
        <v>49</v>
      </c>
      <c r="J270" s="25" t="n">
        <v>45.61</v>
      </c>
      <c r="K270" s="26" t="n">
        <v>350000</v>
      </c>
      <c r="L270" s="27" t="n">
        <f aca="false">K270/J270</f>
        <v>7673.75575531682</v>
      </c>
      <c r="M270" s="28"/>
      <c r="N270" s="29"/>
      <c r="O270" s="30" t="n">
        <f aca="false">K270+N270</f>
        <v>350000</v>
      </c>
      <c r="P270" s="30" t="n">
        <f aca="false">ROUND(O270/J270, 2)</f>
        <v>7673.76</v>
      </c>
      <c r="Q270" s="25" t="s">
        <v>85</v>
      </c>
      <c r="R270" s="22" t="s">
        <v>26</v>
      </c>
      <c r="S270" s="25" t="s">
        <v>29</v>
      </c>
      <c r="T270" s="24" t="s">
        <v>30</v>
      </c>
      <c r="U270" s="31" t="s">
        <v>31</v>
      </c>
      <c r="V270" s="31" t="n">
        <v>43234</v>
      </c>
      <c r="W270" s="34"/>
      <c r="X270" s="34"/>
    </row>
    <row r="271" customFormat="false" ht="13.8" hidden="false" customHeight="false" outlineLevel="0" collapsed="false">
      <c r="A271" s="18"/>
      <c r="B271" s="19" t="n">
        <v>1679</v>
      </c>
      <c r="C271" s="20" t="n">
        <v>43168</v>
      </c>
      <c r="D271" s="21" t="s">
        <v>22</v>
      </c>
      <c r="E271" s="22" t="s">
        <v>23</v>
      </c>
      <c r="F271" s="23" t="s">
        <v>272</v>
      </c>
      <c r="G271" s="22" t="s">
        <v>181</v>
      </c>
      <c r="H271" s="24" t="s">
        <v>26</v>
      </c>
      <c r="I271" s="24" t="s">
        <v>27</v>
      </c>
      <c r="J271" s="25" t="n">
        <v>28.2</v>
      </c>
      <c r="K271" s="26" t="n">
        <v>270000</v>
      </c>
      <c r="L271" s="27" t="n">
        <f aca="false">K271/J271</f>
        <v>9574.46808510638</v>
      </c>
      <c r="M271" s="28"/>
      <c r="N271" s="29"/>
      <c r="O271" s="30" t="n">
        <f aca="false">K271+N271</f>
        <v>270000</v>
      </c>
      <c r="P271" s="39" t="n">
        <f aca="false">ROUND(O271/J271,2)</f>
        <v>9574.47</v>
      </c>
      <c r="Q271" s="25" t="s">
        <v>41</v>
      </c>
      <c r="R271" s="22" t="s">
        <v>27</v>
      </c>
      <c r="S271" s="25" t="s">
        <v>29</v>
      </c>
      <c r="T271" s="24" t="s">
        <v>30</v>
      </c>
      <c r="U271" s="31" t="s">
        <v>31</v>
      </c>
      <c r="V271" s="31" t="n">
        <v>43234</v>
      </c>
      <c r="W271" s="34"/>
      <c r="X271" s="34"/>
      <c r="Y271" s="35"/>
      <c r="Z271" s="36"/>
    </row>
    <row r="272" customFormat="false" ht="13.8" hidden="false" customHeight="false" outlineLevel="0" collapsed="false">
      <c r="A272" s="18"/>
      <c r="B272" s="19" t="n">
        <v>1254</v>
      </c>
      <c r="C272" s="20" t="n">
        <v>43171</v>
      </c>
      <c r="D272" s="21" t="s">
        <v>22</v>
      </c>
      <c r="E272" s="22" t="s">
        <v>576</v>
      </c>
      <c r="F272" s="23" t="s">
        <v>577</v>
      </c>
      <c r="G272" s="22" t="s">
        <v>25</v>
      </c>
      <c r="H272" s="24" t="s">
        <v>112</v>
      </c>
      <c r="I272" s="24" t="s">
        <v>57</v>
      </c>
      <c r="J272" s="25" t="n">
        <v>141.3</v>
      </c>
      <c r="K272" s="26" t="n">
        <v>1760000</v>
      </c>
      <c r="L272" s="27" t="n">
        <f aca="false">K272/J272</f>
        <v>12455.7678697806</v>
      </c>
      <c r="M272" s="28"/>
      <c r="N272" s="29"/>
      <c r="O272" s="30" t="n">
        <f aca="false">K272+N272</f>
        <v>1760000</v>
      </c>
      <c r="P272" s="30" t="n">
        <f aca="false">ROUND(O272/J272, 2)</f>
        <v>12455.77</v>
      </c>
      <c r="Q272" s="25" t="s">
        <v>578</v>
      </c>
      <c r="R272" s="22" t="s">
        <v>26</v>
      </c>
      <c r="S272" s="25" t="s">
        <v>29</v>
      </c>
      <c r="T272" s="24" t="s">
        <v>30</v>
      </c>
      <c r="U272" s="31" t="s">
        <v>31</v>
      </c>
      <c r="V272" s="31" t="n">
        <v>43234</v>
      </c>
      <c r="W272" s="34"/>
      <c r="X272" s="34"/>
    </row>
    <row r="273" customFormat="false" ht="13.8" hidden="false" customHeight="false" outlineLevel="0" collapsed="false">
      <c r="A273" s="18"/>
      <c r="B273" s="19" t="n">
        <v>2698</v>
      </c>
      <c r="C273" s="20" t="n">
        <v>43171</v>
      </c>
      <c r="D273" s="21" t="s">
        <v>22</v>
      </c>
      <c r="E273" s="22" t="s">
        <v>319</v>
      </c>
      <c r="F273" s="23" t="s">
        <v>320</v>
      </c>
      <c r="G273" s="22" t="s">
        <v>321</v>
      </c>
      <c r="H273" s="24" t="s">
        <v>579</v>
      </c>
      <c r="I273" s="24" t="s">
        <v>27</v>
      </c>
      <c r="J273" s="25" t="n">
        <v>50.41</v>
      </c>
      <c r="K273" s="26" t="n">
        <v>485000</v>
      </c>
      <c r="L273" s="27" t="n">
        <f aca="false">K273/J273</f>
        <v>9621.10692322952</v>
      </c>
      <c r="M273" s="28" t="s">
        <v>205</v>
      </c>
      <c r="N273" s="29"/>
      <c r="O273" s="30" t="n">
        <f aca="false">K273+N273</f>
        <v>485000</v>
      </c>
      <c r="P273" s="39" t="n">
        <f aca="false">ROUND(O273/J273,2)</f>
        <v>9621.11</v>
      </c>
      <c r="Q273" s="25" t="s">
        <v>161</v>
      </c>
      <c r="R273" s="22" t="s">
        <v>36</v>
      </c>
      <c r="S273" s="25" t="s">
        <v>29</v>
      </c>
      <c r="T273" s="24" t="s">
        <v>30</v>
      </c>
      <c r="U273" s="31" t="s">
        <v>31</v>
      </c>
      <c r="V273" s="31" t="n">
        <v>43234</v>
      </c>
      <c r="W273" s="34"/>
      <c r="X273" s="34"/>
    </row>
    <row r="274" customFormat="false" ht="13.8" hidden="false" customHeight="false" outlineLevel="0" collapsed="false">
      <c r="A274" s="18"/>
      <c r="B274" s="19" t="n">
        <v>411</v>
      </c>
      <c r="C274" s="20" t="n">
        <v>43171</v>
      </c>
      <c r="D274" s="21" t="s">
        <v>22</v>
      </c>
      <c r="E274" s="22" t="s">
        <v>178</v>
      </c>
      <c r="F274" s="23" t="s">
        <v>301</v>
      </c>
      <c r="G274" s="22" t="s">
        <v>95</v>
      </c>
      <c r="H274" s="24" t="s">
        <v>197</v>
      </c>
      <c r="I274" s="24" t="s">
        <v>27</v>
      </c>
      <c r="J274" s="25" t="n">
        <v>47.22</v>
      </c>
      <c r="K274" s="26" t="n">
        <v>365000</v>
      </c>
      <c r="L274" s="27" t="n">
        <f aca="false">K274/J274</f>
        <v>7729.77551884795</v>
      </c>
      <c r="M274" s="28"/>
      <c r="N274" s="29"/>
      <c r="O274" s="30" t="n">
        <f aca="false">K274+N274</f>
        <v>365000</v>
      </c>
      <c r="P274" s="30" t="n">
        <f aca="false">ROUND(O274/J274, 2)</f>
        <v>7729.78</v>
      </c>
      <c r="Q274" s="25" t="s">
        <v>50</v>
      </c>
      <c r="R274" s="22" t="s">
        <v>36</v>
      </c>
      <c r="S274" s="25" t="s">
        <v>29</v>
      </c>
      <c r="T274" s="24" t="s">
        <v>30</v>
      </c>
      <c r="U274" s="31" t="s">
        <v>31</v>
      </c>
      <c r="V274" s="31" t="n">
        <v>43343</v>
      </c>
      <c r="W274" s="18"/>
      <c r="X274" s="18"/>
    </row>
    <row r="275" customFormat="false" ht="13.8" hidden="false" customHeight="false" outlineLevel="0" collapsed="false">
      <c r="A275" s="18"/>
      <c r="B275" s="19" t="n">
        <v>868</v>
      </c>
      <c r="C275" s="20" t="n">
        <v>43171</v>
      </c>
      <c r="D275" s="21" t="s">
        <v>22</v>
      </c>
      <c r="E275" s="22" t="s">
        <v>251</v>
      </c>
      <c r="F275" s="23" t="s">
        <v>514</v>
      </c>
      <c r="G275" s="22" t="s">
        <v>286</v>
      </c>
      <c r="H275" s="24" t="s">
        <v>83</v>
      </c>
      <c r="I275" s="24" t="s">
        <v>111</v>
      </c>
      <c r="J275" s="25" t="n">
        <v>106.99</v>
      </c>
      <c r="K275" s="26" t="n">
        <v>820000</v>
      </c>
      <c r="L275" s="27" t="n">
        <f aca="false">K275/J275</f>
        <v>7664.26768856903</v>
      </c>
      <c r="M275" s="28" t="s">
        <v>234</v>
      </c>
      <c r="N275" s="29"/>
      <c r="O275" s="30" t="n">
        <f aca="false">K275+N275</f>
        <v>820000</v>
      </c>
      <c r="P275" s="30" t="n">
        <f aca="false">ROUND(O275/J275, 2)</f>
        <v>7664.27</v>
      </c>
      <c r="Q275" s="25" t="s">
        <v>580</v>
      </c>
      <c r="R275" s="22" t="s">
        <v>26</v>
      </c>
      <c r="S275" s="25" t="s">
        <v>29</v>
      </c>
      <c r="T275" s="24" t="s">
        <v>30</v>
      </c>
      <c r="U275" s="31" t="s">
        <v>31</v>
      </c>
      <c r="V275" s="31" t="n">
        <v>43343</v>
      </c>
      <c r="W275" s="18"/>
      <c r="X275" s="18"/>
    </row>
    <row r="276" customFormat="false" ht="13.8" hidden="false" customHeight="false" outlineLevel="0" collapsed="false">
      <c r="A276" s="18"/>
      <c r="B276" s="19" t="n">
        <v>2271</v>
      </c>
      <c r="C276" s="20" t="n">
        <v>43171</v>
      </c>
      <c r="D276" s="21" t="s">
        <v>22</v>
      </c>
      <c r="E276" s="22" t="s">
        <v>61</v>
      </c>
      <c r="F276" s="23" t="s">
        <v>581</v>
      </c>
      <c r="G276" s="22" t="s">
        <v>128</v>
      </c>
      <c r="H276" s="24" t="s">
        <v>442</v>
      </c>
      <c r="I276" s="24" t="s">
        <v>55</v>
      </c>
      <c r="J276" s="25" t="n">
        <v>43.8</v>
      </c>
      <c r="K276" s="26" t="n">
        <v>350000</v>
      </c>
      <c r="L276" s="27" t="n">
        <f aca="false">K276/J276</f>
        <v>7990.86757990868</v>
      </c>
      <c r="M276" s="28"/>
      <c r="N276" s="29"/>
      <c r="O276" s="30" t="n">
        <f aca="false">K276+N276</f>
        <v>350000</v>
      </c>
      <c r="P276" s="39" t="n">
        <f aca="false">ROUND(O276/J276,2)</f>
        <v>7990.87</v>
      </c>
      <c r="Q276" s="25" t="s">
        <v>50</v>
      </c>
      <c r="R276" s="22" t="s">
        <v>36</v>
      </c>
      <c r="S276" s="25" t="s">
        <v>29</v>
      </c>
      <c r="T276" s="24" t="s">
        <v>30</v>
      </c>
      <c r="U276" s="31" t="s">
        <v>31</v>
      </c>
      <c r="V276" s="31" t="n">
        <v>43234</v>
      </c>
      <c r="W276" s="18"/>
      <c r="X276" s="18"/>
      <c r="AMJ276" s="32"/>
    </row>
    <row r="277" s="32" customFormat="true" ht="13.8" hidden="false" customHeight="false" outlineLevel="0" collapsed="false">
      <c r="A277" s="18"/>
      <c r="B277" s="19" t="n">
        <v>3516</v>
      </c>
      <c r="C277" s="20" t="n">
        <v>43171</v>
      </c>
      <c r="D277" s="21" t="s">
        <v>22</v>
      </c>
      <c r="E277" s="22" t="s">
        <v>389</v>
      </c>
      <c r="F277" s="23" t="s">
        <v>582</v>
      </c>
      <c r="G277" s="22" t="s">
        <v>222</v>
      </c>
      <c r="H277" s="24" t="s">
        <v>128</v>
      </c>
      <c r="I277" s="24" t="s">
        <v>112</v>
      </c>
      <c r="J277" s="25" t="n">
        <v>89.47</v>
      </c>
      <c r="K277" s="26" t="n">
        <v>835000</v>
      </c>
      <c r="L277" s="27" t="n">
        <f aca="false">K277/J277</f>
        <v>9332.73723035654</v>
      </c>
      <c r="M277" s="28" t="s">
        <v>583</v>
      </c>
      <c r="N277" s="29"/>
      <c r="O277" s="30" t="n">
        <f aca="false">K277+N277</f>
        <v>835000</v>
      </c>
      <c r="P277" s="39" t="n">
        <f aca="false">ROUND(O277/J277,2)</f>
        <v>9332.74</v>
      </c>
      <c r="Q277" s="25" t="s">
        <v>85</v>
      </c>
      <c r="R277" s="22" t="s">
        <v>26</v>
      </c>
      <c r="S277" s="25" t="s">
        <v>29</v>
      </c>
      <c r="T277" s="24" t="s">
        <v>30</v>
      </c>
      <c r="U277" s="31" t="s">
        <v>31</v>
      </c>
      <c r="V277" s="31" t="n">
        <v>43234</v>
      </c>
      <c r="W277" s="18"/>
      <c r="X277" s="18"/>
    </row>
    <row r="278" customFormat="false" ht="13.8" hidden="false" customHeight="false" outlineLevel="0" collapsed="false">
      <c r="A278" s="18"/>
      <c r="B278" s="19" t="n">
        <v>1104</v>
      </c>
      <c r="C278" s="20" t="n">
        <v>43171</v>
      </c>
      <c r="D278" s="21" t="s">
        <v>22</v>
      </c>
      <c r="E278" s="22" t="s">
        <v>93</v>
      </c>
      <c r="F278" s="23" t="s">
        <v>272</v>
      </c>
      <c r="G278" s="22" t="s">
        <v>55</v>
      </c>
      <c r="H278" s="24" t="s">
        <v>318</v>
      </c>
      <c r="I278" s="24" t="s">
        <v>36</v>
      </c>
      <c r="J278" s="25" t="n">
        <v>93.5</v>
      </c>
      <c r="K278" s="26" t="n">
        <v>785000</v>
      </c>
      <c r="L278" s="27" t="n">
        <f aca="false">K278/J278</f>
        <v>8395.72192513369</v>
      </c>
      <c r="M278" s="28" t="s">
        <v>584</v>
      </c>
      <c r="N278" s="29"/>
      <c r="O278" s="30" t="n">
        <f aca="false">K278+N278</f>
        <v>785000</v>
      </c>
      <c r="P278" s="30" t="n">
        <f aca="false">ROUND(O278/J278, 2)</f>
        <v>8395.72</v>
      </c>
      <c r="Q278" s="25" t="s">
        <v>85</v>
      </c>
      <c r="R278" s="22" t="s">
        <v>26</v>
      </c>
      <c r="S278" s="25" t="s">
        <v>29</v>
      </c>
      <c r="T278" s="24" t="s">
        <v>30</v>
      </c>
      <c r="U278" s="31" t="s">
        <v>31</v>
      </c>
      <c r="V278" s="31" t="n">
        <v>43234</v>
      </c>
      <c r="W278" s="34" t="s">
        <v>585</v>
      </c>
      <c r="X278" s="18"/>
    </row>
    <row r="279" customFormat="false" ht="13.8" hidden="false" customHeight="false" outlineLevel="0" collapsed="false">
      <c r="A279" s="18"/>
      <c r="B279" s="19" t="n">
        <v>3000</v>
      </c>
      <c r="C279" s="20" t="n">
        <v>43172</v>
      </c>
      <c r="D279" s="21" t="s">
        <v>22</v>
      </c>
      <c r="E279" s="22" t="s">
        <v>350</v>
      </c>
      <c r="F279" s="23" t="s">
        <v>351</v>
      </c>
      <c r="G279" s="22" t="s">
        <v>274</v>
      </c>
      <c r="H279" s="24" t="s">
        <v>47</v>
      </c>
      <c r="I279" s="24" t="s">
        <v>26</v>
      </c>
      <c r="J279" s="25" t="n">
        <f aca="false">44.34-4.09</f>
        <v>40.25</v>
      </c>
      <c r="K279" s="26" t="n">
        <v>510000</v>
      </c>
      <c r="L279" s="27" t="n">
        <f aca="false">K279/J279</f>
        <v>12670.8074534161</v>
      </c>
      <c r="M279" s="28" t="s">
        <v>586</v>
      </c>
      <c r="N279" s="29" t="n">
        <v>10000</v>
      </c>
      <c r="O279" s="30" t="n">
        <f aca="false">K279+N279</f>
        <v>520000</v>
      </c>
      <c r="P279" s="39" t="n">
        <f aca="false">ROUND(O279/J279,2)</f>
        <v>12919.25</v>
      </c>
      <c r="Q279" s="25" t="s">
        <v>383</v>
      </c>
      <c r="R279" s="22" t="s">
        <v>27</v>
      </c>
      <c r="S279" s="25" t="s">
        <v>29</v>
      </c>
      <c r="T279" s="24" t="s">
        <v>30</v>
      </c>
      <c r="U279" s="31" t="s">
        <v>31</v>
      </c>
      <c r="V279" s="31" t="n">
        <v>43234</v>
      </c>
      <c r="W279" s="18"/>
      <c r="X279" s="18"/>
    </row>
    <row r="280" customFormat="false" ht="13.8" hidden="false" customHeight="false" outlineLevel="0" collapsed="false">
      <c r="A280" s="18"/>
      <c r="B280" s="19" t="n">
        <v>1331</v>
      </c>
      <c r="C280" s="20" t="n">
        <v>43173</v>
      </c>
      <c r="D280" s="21" t="s">
        <v>22</v>
      </c>
      <c r="E280" s="22" t="s">
        <v>319</v>
      </c>
      <c r="F280" s="23" t="s">
        <v>320</v>
      </c>
      <c r="G280" s="22" t="s">
        <v>321</v>
      </c>
      <c r="H280" s="24" t="s">
        <v>495</v>
      </c>
      <c r="I280" s="24" t="s">
        <v>49</v>
      </c>
      <c r="J280" s="25" t="n">
        <v>49.96</v>
      </c>
      <c r="K280" s="26" t="n">
        <v>415000</v>
      </c>
      <c r="L280" s="27" t="n">
        <f aca="false">K280/J280</f>
        <v>8306.645316253</v>
      </c>
      <c r="M280" s="28" t="s">
        <v>205</v>
      </c>
      <c r="N280" s="29" t="n">
        <v>35000</v>
      </c>
      <c r="O280" s="30" t="n">
        <f aca="false">K280+N280</f>
        <v>450000</v>
      </c>
      <c r="P280" s="30" t="n">
        <f aca="false">ROUND(O280/J280, 2)</f>
        <v>9007.21</v>
      </c>
      <c r="Q280" s="25" t="s">
        <v>161</v>
      </c>
      <c r="R280" s="22" t="s">
        <v>36</v>
      </c>
      <c r="S280" s="25" t="s">
        <v>29</v>
      </c>
      <c r="T280" s="24" t="s">
        <v>30</v>
      </c>
      <c r="U280" s="31" t="s">
        <v>31</v>
      </c>
      <c r="V280" s="31" t="n">
        <v>43343</v>
      </c>
      <c r="W280" s="18"/>
      <c r="X280" s="18"/>
    </row>
    <row r="281" customFormat="false" ht="13.8" hidden="false" customHeight="false" outlineLevel="0" collapsed="false">
      <c r="A281" s="18"/>
      <c r="B281" s="19" t="n">
        <v>661</v>
      </c>
      <c r="C281" s="20" t="n">
        <v>43173</v>
      </c>
      <c r="D281" s="21" t="s">
        <v>22</v>
      </c>
      <c r="E281" s="22" t="s">
        <v>80</v>
      </c>
      <c r="F281" s="23" t="s">
        <v>81</v>
      </c>
      <c r="G281" s="22" t="s">
        <v>25</v>
      </c>
      <c r="H281" s="24" t="s">
        <v>587</v>
      </c>
      <c r="I281" s="24" t="s">
        <v>49</v>
      </c>
      <c r="J281" s="25" t="n">
        <v>39.82</v>
      </c>
      <c r="K281" s="26" t="n">
        <v>460000</v>
      </c>
      <c r="L281" s="27" t="n">
        <f aca="false">K281/J281</f>
        <v>11551.9839276745</v>
      </c>
      <c r="M281" s="28" t="s">
        <v>205</v>
      </c>
      <c r="N281" s="29" t="n">
        <v>40000</v>
      </c>
      <c r="O281" s="30" t="n">
        <f aca="false">K281+N281</f>
        <v>500000</v>
      </c>
      <c r="P281" s="30" t="n">
        <f aca="false">ROUND(O281/J281, 2)</f>
        <v>12556.5</v>
      </c>
      <c r="Q281" s="25" t="s">
        <v>41</v>
      </c>
      <c r="R281" s="22" t="s">
        <v>27</v>
      </c>
      <c r="S281" s="25" t="s">
        <v>29</v>
      </c>
      <c r="T281" s="24" t="s">
        <v>30</v>
      </c>
      <c r="U281" s="31" t="s">
        <v>31</v>
      </c>
      <c r="V281" s="31" t="n">
        <v>43343</v>
      </c>
      <c r="W281" s="18"/>
      <c r="X281" s="18"/>
    </row>
    <row r="282" customFormat="false" ht="13.8" hidden="false" customHeight="false" outlineLevel="0" collapsed="false">
      <c r="A282" s="18"/>
      <c r="B282" s="19" t="n">
        <v>376</v>
      </c>
      <c r="C282" s="20" t="n">
        <v>43173</v>
      </c>
      <c r="D282" s="21" t="s">
        <v>22</v>
      </c>
      <c r="E282" s="22" t="s">
        <v>125</v>
      </c>
      <c r="F282" s="23" t="s">
        <v>588</v>
      </c>
      <c r="G282" s="22" t="s">
        <v>112</v>
      </c>
      <c r="H282" s="24" t="s">
        <v>283</v>
      </c>
      <c r="I282" s="24" t="s">
        <v>27</v>
      </c>
      <c r="J282" s="25" t="n">
        <v>22.51</v>
      </c>
      <c r="K282" s="26" t="n">
        <v>200000</v>
      </c>
      <c r="L282" s="27" t="n">
        <f aca="false">K282/J282</f>
        <v>8884.94002665482</v>
      </c>
      <c r="M282" s="28"/>
      <c r="N282" s="29"/>
      <c r="O282" s="30" t="n">
        <f aca="false">K282+N282</f>
        <v>200000</v>
      </c>
      <c r="P282" s="39" t="n">
        <f aca="false">ROUND(O282/J282,2)</f>
        <v>8884.94</v>
      </c>
      <c r="Q282" s="25" t="s">
        <v>41</v>
      </c>
      <c r="R282" s="22" t="s">
        <v>27</v>
      </c>
      <c r="S282" s="25" t="s">
        <v>29</v>
      </c>
      <c r="T282" s="24" t="s">
        <v>30</v>
      </c>
      <c r="U282" s="31" t="s">
        <v>31</v>
      </c>
      <c r="V282" s="31" t="n">
        <v>43234</v>
      </c>
      <c r="W282" s="18"/>
      <c r="X282" s="18"/>
    </row>
    <row r="283" customFormat="false" ht="13.8" hidden="false" customHeight="false" outlineLevel="0" collapsed="false">
      <c r="A283" s="18"/>
      <c r="B283" s="19" t="n">
        <v>11163</v>
      </c>
      <c r="C283" s="20" t="n">
        <v>43173</v>
      </c>
      <c r="D283" s="21" t="s">
        <v>22</v>
      </c>
      <c r="E283" s="22" t="s">
        <v>302</v>
      </c>
      <c r="F283" s="23" t="s">
        <v>589</v>
      </c>
      <c r="G283" s="22" t="s">
        <v>590</v>
      </c>
      <c r="H283" s="24" t="s">
        <v>27</v>
      </c>
      <c r="I283" s="24" t="s">
        <v>27</v>
      </c>
      <c r="J283" s="25" t="n">
        <v>111.46</v>
      </c>
      <c r="K283" s="26" t="n">
        <v>790000</v>
      </c>
      <c r="L283" s="27" t="n">
        <f aca="false">K283/J283</f>
        <v>7087.7444823255</v>
      </c>
      <c r="M283" s="28" t="s">
        <v>64</v>
      </c>
      <c r="N283" s="29"/>
      <c r="O283" s="30" t="n">
        <f aca="false">K283+N283</f>
        <v>790000</v>
      </c>
      <c r="P283" s="39" t="n">
        <f aca="false">ROUND(O283/J283,2)</f>
        <v>7087.74</v>
      </c>
      <c r="Q283" s="25" t="s">
        <v>91</v>
      </c>
      <c r="R283" s="22" t="s">
        <v>49</v>
      </c>
      <c r="S283" s="25" t="s">
        <v>29</v>
      </c>
      <c r="T283" s="24" t="s">
        <v>30</v>
      </c>
      <c r="U283" s="31" t="s">
        <v>31</v>
      </c>
      <c r="V283" s="31" t="n">
        <v>43234</v>
      </c>
      <c r="W283" s="18"/>
      <c r="X283" s="18"/>
    </row>
    <row r="284" customFormat="false" ht="13.8" hidden="false" customHeight="false" outlineLevel="0" collapsed="false">
      <c r="A284" s="18"/>
      <c r="B284" s="19" t="n">
        <v>1706</v>
      </c>
      <c r="C284" s="20" t="n">
        <v>43173</v>
      </c>
      <c r="D284" s="21" t="s">
        <v>22</v>
      </c>
      <c r="E284" s="22" t="s">
        <v>354</v>
      </c>
      <c r="F284" s="23" t="s">
        <v>456</v>
      </c>
      <c r="G284" s="22" t="s">
        <v>49</v>
      </c>
      <c r="H284" s="24" t="s">
        <v>241</v>
      </c>
      <c r="I284" s="24" t="s">
        <v>36</v>
      </c>
      <c r="J284" s="25" t="n">
        <v>46.4</v>
      </c>
      <c r="K284" s="26" t="n">
        <v>385000</v>
      </c>
      <c r="L284" s="27" t="n">
        <f aca="false">K284/J284</f>
        <v>8297.41379310345</v>
      </c>
      <c r="M284" s="28" t="s">
        <v>64</v>
      </c>
      <c r="N284" s="29"/>
      <c r="O284" s="30" t="n">
        <f aca="false">K284+N284</f>
        <v>385000</v>
      </c>
      <c r="P284" s="39" t="n">
        <f aca="false">ROUND(O284/J284,2)</f>
        <v>8297.41</v>
      </c>
      <c r="Q284" s="25" t="s">
        <v>50</v>
      </c>
      <c r="R284" s="22" t="s">
        <v>36</v>
      </c>
      <c r="S284" s="25" t="s">
        <v>29</v>
      </c>
      <c r="T284" s="24" t="s">
        <v>30</v>
      </c>
      <c r="U284" s="31" t="s">
        <v>31</v>
      </c>
      <c r="V284" s="31" t="n">
        <v>43234</v>
      </c>
      <c r="W284" s="18"/>
      <c r="X284" s="18"/>
      <c r="AMJ284" s="32"/>
    </row>
    <row r="285" s="32" customFormat="true" ht="13.8" hidden="false" customHeight="false" outlineLevel="0" collapsed="false">
      <c r="A285" s="18"/>
      <c r="B285" s="19" t="n">
        <v>607</v>
      </c>
      <c r="C285" s="20" t="n">
        <v>43174</v>
      </c>
      <c r="D285" s="21" t="s">
        <v>22</v>
      </c>
      <c r="E285" s="22" t="s">
        <v>75</v>
      </c>
      <c r="F285" s="23" t="s">
        <v>76</v>
      </c>
      <c r="G285" s="22" t="s">
        <v>489</v>
      </c>
      <c r="H285" s="24" t="s">
        <v>74</v>
      </c>
      <c r="I285" s="24" t="s">
        <v>82</v>
      </c>
      <c r="J285" s="25" t="n">
        <v>77.38</v>
      </c>
      <c r="K285" s="26" t="n">
        <v>656000</v>
      </c>
      <c r="L285" s="27" t="n">
        <f aca="false">K285/J285</f>
        <v>8477.64280175756</v>
      </c>
      <c r="M285" s="28" t="s">
        <v>205</v>
      </c>
      <c r="N285" s="29" t="n">
        <v>27000</v>
      </c>
      <c r="O285" s="30" t="n">
        <f aca="false">K285+N285</f>
        <v>683000</v>
      </c>
      <c r="P285" s="30" t="n">
        <f aca="false">ROUND(O285/J285, 2)</f>
        <v>8826.57</v>
      </c>
      <c r="Q285" s="25" t="s">
        <v>85</v>
      </c>
      <c r="R285" s="22" t="s">
        <v>26</v>
      </c>
      <c r="S285" s="25" t="s">
        <v>29</v>
      </c>
      <c r="T285" s="24" t="s">
        <v>30</v>
      </c>
      <c r="U285" s="31" t="s">
        <v>31</v>
      </c>
      <c r="V285" s="31" t="n">
        <v>43343</v>
      </c>
      <c r="W285" s="18"/>
      <c r="X285" s="18"/>
    </row>
    <row r="286" customFormat="false" ht="13.8" hidden="false" customHeight="false" outlineLevel="0" collapsed="false">
      <c r="A286" s="18"/>
      <c r="B286" s="19" t="n">
        <v>8984</v>
      </c>
      <c r="C286" s="20" t="n">
        <v>43174</v>
      </c>
      <c r="D286" s="21" t="s">
        <v>22</v>
      </c>
      <c r="E286" s="22" t="s">
        <v>306</v>
      </c>
      <c r="F286" s="23" t="s">
        <v>138</v>
      </c>
      <c r="G286" s="22" t="s">
        <v>36</v>
      </c>
      <c r="H286" s="24" t="s">
        <v>275</v>
      </c>
      <c r="I286" s="24" t="s">
        <v>82</v>
      </c>
      <c r="J286" s="25" t="n">
        <v>55.08</v>
      </c>
      <c r="K286" s="26" t="n">
        <v>575000</v>
      </c>
      <c r="L286" s="27" t="n">
        <f aca="false">K286/J286</f>
        <v>10439.360929557</v>
      </c>
      <c r="M286" s="28" t="s">
        <v>205</v>
      </c>
      <c r="N286" s="29" t="n">
        <v>40000</v>
      </c>
      <c r="O286" s="30" t="n">
        <f aca="false">K286+N286</f>
        <v>615000</v>
      </c>
      <c r="P286" s="30" t="n">
        <f aca="false">ROUND(O286/J286, 2)</f>
        <v>11165.58</v>
      </c>
      <c r="Q286" s="25" t="s">
        <v>50</v>
      </c>
      <c r="R286" s="22" t="s">
        <v>36</v>
      </c>
      <c r="S286" s="25" t="s">
        <v>29</v>
      </c>
      <c r="T286" s="24" t="s">
        <v>30</v>
      </c>
      <c r="U286" s="31" t="s">
        <v>31</v>
      </c>
      <c r="V286" s="31" t="n">
        <v>43343</v>
      </c>
      <c r="W286" s="18"/>
      <c r="X286" s="18"/>
    </row>
    <row r="287" customFormat="false" ht="13.8" hidden="false" customHeight="false" outlineLevel="0" collapsed="false">
      <c r="A287" s="18"/>
      <c r="B287" s="19" t="n">
        <v>944</v>
      </c>
      <c r="C287" s="20" t="n">
        <v>43174</v>
      </c>
      <c r="D287" s="21" t="s">
        <v>22</v>
      </c>
      <c r="E287" s="22" t="s">
        <v>190</v>
      </c>
      <c r="F287" s="23" t="s">
        <v>591</v>
      </c>
      <c r="G287" s="22" t="s">
        <v>27</v>
      </c>
      <c r="H287" s="24" t="s">
        <v>27</v>
      </c>
      <c r="I287" s="24" t="s">
        <v>27</v>
      </c>
      <c r="J287" s="25" t="n">
        <v>30.52</v>
      </c>
      <c r="K287" s="26" t="n">
        <v>248000</v>
      </c>
      <c r="L287" s="27" t="n">
        <f aca="false">K287/J287</f>
        <v>8125.81913499345</v>
      </c>
      <c r="M287" s="28"/>
      <c r="N287" s="29"/>
      <c r="O287" s="30" t="n">
        <f aca="false">K287+N287</f>
        <v>248000</v>
      </c>
      <c r="P287" s="39" t="n">
        <f aca="false">ROUND(O287/J287,2)</f>
        <v>8125.82</v>
      </c>
      <c r="Q287" s="25" t="s">
        <v>41</v>
      </c>
      <c r="R287" s="22" t="s">
        <v>27</v>
      </c>
      <c r="S287" s="25" t="s">
        <v>29</v>
      </c>
      <c r="T287" s="24" t="s">
        <v>30</v>
      </c>
      <c r="U287" s="31" t="s">
        <v>31</v>
      </c>
      <c r="V287" s="31" t="n">
        <v>43234</v>
      </c>
      <c r="W287" s="18"/>
      <c r="X287" s="18"/>
    </row>
    <row r="288" customFormat="false" ht="13.8" hidden="false" customHeight="false" outlineLevel="0" collapsed="false">
      <c r="A288" s="18"/>
      <c r="B288" s="19" t="n">
        <v>1464</v>
      </c>
      <c r="C288" s="20" t="n">
        <v>43174</v>
      </c>
      <c r="D288" s="21" t="s">
        <v>22</v>
      </c>
      <c r="E288" s="22" t="s">
        <v>37</v>
      </c>
      <c r="F288" s="23" t="s">
        <v>386</v>
      </c>
      <c r="G288" s="22" t="s">
        <v>36</v>
      </c>
      <c r="H288" s="24" t="s">
        <v>55</v>
      </c>
      <c r="I288" s="24" t="s">
        <v>49</v>
      </c>
      <c r="J288" s="25" t="n">
        <v>51.4</v>
      </c>
      <c r="K288" s="26" t="n">
        <v>465000</v>
      </c>
      <c r="L288" s="27" t="n">
        <f aca="false">K288/J288</f>
        <v>9046.69260700389</v>
      </c>
      <c r="M288" s="28" t="s">
        <v>64</v>
      </c>
      <c r="N288" s="29"/>
      <c r="O288" s="30" t="n">
        <f aca="false">K288+N288</f>
        <v>465000</v>
      </c>
      <c r="P288" s="39" t="n">
        <f aca="false">ROUND(O288/J288,2)</f>
        <v>9046.69</v>
      </c>
      <c r="Q288" s="25" t="s">
        <v>50</v>
      </c>
      <c r="R288" s="22" t="s">
        <v>36</v>
      </c>
      <c r="S288" s="25" t="s">
        <v>29</v>
      </c>
      <c r="T288" s="24" t="s">
        <v>30</v>
      </c>
      <c r="U288" s="31" t="s">
        <v>31</v>
      </c>
      <c r="V288" s="31" t="n">
        <v>43234</v>
      </c>
      <c r="W288" s="18"/>
      <c r="X288" s="18"/>
      <c r="Z288" s="33"/>
      <c r="AB288" s="37"/>
    </row>
    <row r="289" customFormat="false" ht="13.8" hidden="false" customHeight="false" outlineLevel="0" collapsed="false">
      <c r="A289" s="18"/>
      <c r="B289" s="19" t="n">
        <v>1493</v>
      </c>
      <c r="C289" s="20" t="n">
        <v>43174</v>
      </c>
      <c r="D289" s="21" t="s">
        <v>22</v>
      </c>
      <c r="E289" s="22" t="s">
        <v>517</v>
      </c>
      <c r="F289" s="23" t="s">
        <v>592</v>
      </c>
      <c r="G289" s="22" t="s">
        <v>111</v>
      </c>
      <c r="H289" s="24" t="s">
        <v>196</v>
      </c>
      <c r="I289" s="24" t="s">
        <v>82</v>
      </c>
      <c r="J289" s="25" t="n">
        <v>37</v>
      </c>
      <c r="K289" s="26" t="n">
        <v>282000</v>
      </c>
      <c r="L289" s="27" t="n">
        <f aca="false">K289/J289</f>
        <v>7621.62162162162</v>
      </c>
      <c r="M289" s="28" t="s">
        <v>64</v>
      </c>
      <c r="N289" s="29"/>
      <c r="O289" s="30" t="n">
        <f aca="false">K289+N289</f>
        <v>282000</v>
      </c>
      <c r="P289" s="39" t="n">
        <f aca="false">ROUND(O289/J289,2)</f>
        <v>7621.62</v>
      </c>
      <c r="Q289" s="25" t="s">
        <v>50</v>
      </c>
      <c r="R289" s="22" t="s">
        <v>36</v>
      </c>
      <c r="S289" s="25" t="s">
        <v>29</v>
      </c>
      <c r="T289" s="24" t="s">
        <v>30</v>
      </c>
      <c r="U289" s="31" t="s">
        <v>31</v>
      </c>
      <c r="V289" s="31" t="n">
        <v>43234</v>
      </c>
      <c r="W289" s="18"/>
      <c r="X289" s="18"/>
    </row>
    <row r="290" customFormat="false" ht="13.8" hidden="false" customHeight="false" outlineLevel="0" collapsed="false">
      <c r="A290" s="18" t="s">
        <v>593</v>
      </c>
      <c r="B290" s="19" t="n">
        <v>1179</v>
      </c>
      <c r="C290" s="20" t="n">
        <v>43174</v>
      </c>
      <c r="D290" s="21" t="s">
        <v>22</v>
      </c>
      <c r="E290" s="22" t="s">
        <v>407</v>
      </c>
      <c r="F290" s="23" t="s">
        <v>230</v>
      </c>
      <c r="G290" s="22" t="s">
        <v>408</v>
      </c>
      <c r="H290" s="24" t="s">
        <v>396</v>
      </c>
      <c r="I290" s="24" t="s">
        <v>143</v>
      </c>
      <c r="J290" s="25" t="n">
        <f aca="false">43.81-4.53</f>
        <v>39.28</v>
      </c>
      <c r="K290" s="26" t="n">
        <v>400000</v>
      </c>
      <c r="L290" s="27" t="n">
        <f aca="false">K290/J290</f>
        <v>10183.299389002</v>
      </c>
      <c r="M290" s="28" t="s">
        <v>594</v>
      </c>
      <c r="N290" s="29" t="n">
        <v>25000</v>
      </c>
      <c r="O290" s="30" t="n">
        <f aca="false">K290+N290</f>
        <v>425000</v>
      </c>
      <c r="P290" s="30" t="n">
        <f aca="false">ROUND(O290/J290, 2)</f>
        <v>10819.76</v>
      </c>
      <c r="Q290" s="25" t="s">
        <v>161</v>
      </c>
      <c r="R290" s="22" t="s">
        <v>36</v>
      </c>
      <c r="S290" s="25" t="s">
        <v>29</v>
      </c>
      <c r="T290" s="24" t="s">
        <v>30</v>
      </c>
      <c r="U290" s="31" t="s">
        <v>31</v>
      </c>
      <c r="V290" s="31" t="n">
        <v>43234</v>
      </c>
      <c r="W290" s="18"/>
      <c r="X290" s="18"/>
      <c r="AMJ290" s="32"/>
    </row>
    <row r="291" s="32" customFormat="true" ht="13.8" hidden="false" customHeight="false" outlineLevel="0" collapsed="false">
      <c r="A291" s="18"/>
      <c r="B291" s="19" t="n">
        <v>11258</v>
      </c>
      <c r="C291" s="20" t="n">
        <v>43174</v>
      </c>
      <c r="D291" s="21" t="s">
        <v>22</v>
      </c>
      <c r="E291" s="22" t="s">
        <v>389</v>
      </c>
      <c r="F291" s="23" t="s">
        <v>46</v>
      </c>
      <c r="G291" s="22" t="s">
        <v>595</v>
      </c>
      <c r="H291" s="24" t="s">
        <v>587</v>
      </c>
      <c r="I291" s="24" t="s">
        <v>49</v>
      </c>
      <c r="J291" s="25" t="n">
        <v>72</v>
      </c>
      <c r="K291" s="26" t="n">
        <v>580000</v>
      </c>
      <c r="L291" s="27" t="n">
        <f aca="false">K291/J291</f>
        <v>8055.55555555556</v>
      </c>
      <c r="M291" s="28" t="s">
        <v>64</v>
      </c>
      <c r="N291" s="29"/>
      <c r="O291" s="30" t="n">
        <f aca="false">K291+N291</f>
        <v>580000</v>
      </c>
      <c r="P291" s="30" t="n">
        <f aca="false">ROUND(O291/J291, 2)</f>
        <v>8055.56</v>
      </c>
      <c r="Q291" s="25" t="s">
        <v>85</v>
      </c>
      <c r="R291" s="22" t="s">
        <v>26</v>
      </c>
      <c r="S291" s="25" t="s">
        <v>29</v>
      </c>
      <c r="T291" s="24" t="s">
        <v>30</v>
      </c>
      <c r="U291" s="31" t="s">
        <v>31</v>
      </c>
      <c r="V291" s="31" t="n">
        <v>43234</v>
      </c>
      <c r="W291" s="18"/>
      <c r="X291" s="18"/>
      <c r="Y291" s="35"/>
      <c r="Z291" s="43"/>
    </row>
    <row r="292" customFormat="false" ht="13.8" hidden="false" customHeight="false" outlineLevel="0" collapsed="false">
      <c r="A292" s="18"/>
      <c r="B292" s="19" t="n">
        <v>9280</v>
      </c>
      <c r="C292" s="20" t="n">
        <v>43174</v>
      </c>
      <c r="D292" s="21" t="s">
        <v>22</v>
      </c>
      <c r="E292" s="22" t="s">
        <v>61</v>
      </c>
      <c r="F292" s="23" t="s">
        <v>46</v>
      </c>
      <c r="G292" s="22" t="s">
        <v>596</v>
      </c>
      <c r="H292" s="24" t="s">
        <v>269</v>
      </c>
      <c r="I292" s="24" t="s">
        <v>101</v>
      </c>
      <c r="J292" s="25" t="n">
        <v>31</v>
      </c>
      <c r="K292" s="26" t="n">
        <v>276000</v>
      </c>
      <c r="L292" s="27" t="n">
        <f aca="false">K292/J292</f>
        <v>8903.22580645161</v>
      </c>
      <c r="M292" s="28"/>
      <c r="N292" s="29"/>
      <c r="O292" s="30" t="n">
        <f aca="false">K292+N292</f>
        <v>276000</v>
      </c>
      <c r="P292" s="30" t="n">
        <f aca="false">ROUND(O292/J292, 2)</f>
        <v>8903.23</v>
      </c>
      <c r="Q292" s="25" t="s">
        <v>41</v>
      </c>
      <c r="R292" s="22" t="s">
        <v>27</v>
      </c>
      <c r="S292" s="25" t="s">
        <v>29</v>
      </c>
      <c r="T292" s="24" t="s">
        <v>30</v>
      </c>
      <c r="U292" s="31" t="s">
        <v>31</v>
      </c>
      <c r="V292" s="31" t="n">
        <v>43343</v>
      </c>
      <c r="W292" s="18"/>
      <c r="X292" s="18"/>
    </row>
    <row r="293" customFormat="false" ht="13.8" hidden="false" customHeight="false" outlineLevel="0" collapsed="false">
      <c r="A293" s="18"/>
      <c r="B293" s="19" t="n">
        <v>2627</v>
      </c>
      <c r="C293" s="20" t="n">
        <v>43175</v>
      </c>
      <c r="D293" s="21" t="s">
        <v>22</v>
      </c>
      <c r="E293" s="22" t="s">
        <v>93</v>
      </c>
      <c r="F293" s="23" t="s">
        <v>597</v>
      </c>
      <c r="G293" s="22" t="s">
        <v>25</v>
      </c>
      <c r="H293" s="24" t="s">
        <v>300</v>
      </c>
      <c r="I293" s="24" t="s">
        <v>57</v>
      </c>
      <c r="J293" s="25" t="n">
        <f aca="false">38.76-0.83</f>
        <v>37.93</v>
      </c>
      <c r="K293" s="26" t="n">
        <v>350000</v>
      </c>
      <c r="L293" s="27" t="n">
        <f aca="false">K293/J293</f>
        <v>9227.52438702874</v>
      </c>
      <c r="M293" s="28" t="s">
        <v>598</v>
      </c>
      <c r="N293" s="29"/>
      <c r="O293" s="30" t="n">
        <f aca="false">K293+N293</f>
        <v>350000</v>
      </c>
      <c r="P293" s="39" t="n">
        <f aca="false">ROUND(O293/J293,2)</f>
        <v>9227.52</v>
      </c>
      <c r="Q293" s="25" t="s">
        <v>50</v>
      </c>
      <c r="R293" s="22" t="s">
        <v>36</v>
      </c>
      <c r="S293" s="25" t="s">
        <v>29</v>
      </c>
      <c r="T293" s="24" t="s">
        <v>30</v>
      </c>
      <c r="U293" s="31" t="s">
        <v>31</v>
      </c>
      <c r="V293" s="31" t="n">
        <v>43234</v>
      </c>
      <c r="W293" s="18"/>
      <c r="X293" s="18"/>
      <c r="Y293" s="35"/>
      <c r="Z293" s="43"/>
      <c r="AMJ293" s="32"/>
    </row>
    <row r="294" s="32" customFormat="true" ht="13.8" hidden="false" customHeight="false" outlineLevel="0" collapsed="false">
      <c r="A294" s="18"/>
      <c r="B294" s="19" t="n">
        <v>1353</v>
      </c>
      <c r="C294" s="20" t="n">
        <v>43175</v>
      </c>
      <c r="D294" s="21" t="s">
        <v>22</v>
      </c>
      <c r="E294" s="22" t="s">
        <v>480</v>
      </c>
      <c r="F294" s="23" t="s">
        <v>46</v>
      </c>
      <c r="G294" s="22" t="s">
        <v>599</v>
      </c>
      <c r="H294" s="24" t="s">
        <v>26</v>
      </c>
      <c r="I294" s="24" t="s">
        <v>36</v>
      </c>
      <c r="J294" s="25" t="n">
        <v>33.5</v>
      </c>
      <c r="K294" s="26" t="n">
        <v>330000</v>
      </c>
      <c r="L294" s="27" t="n">
        <f aca="false">K294/J294</f>
        <v>9850.74626865672</v>
      </c>
      <c r="M294" s="28" t="s">
        <v>64</v>
      </c>
      <c r="N294" s="29"/>
      <c r="O294" s="30" t="n">
        <f aca="false">K294+N294</f>
        <v>330000</v>
      </c>
      <c r="P294" s="30" t="n">
        <f aca="false">ROUND(O294/J294, 2)</f>
        <v>9850.75</v>
      </c>
      <c r="Q294" s="25" t="s">
        <v>41</v>
      </c>
      <c r="R294" s="22" t="s">
        <v>27</v>
      </c>
      <c r="S294" s="25" t="s">
        <v>29</v>
      </c>
      <c r="T294" s="24" t="s">
        <v>30</v>
      </c>
      <c r="U294" s="31" t="s">
        <v>31</v>
      </c>
      <c r="V294" s="31" t="n">
        <v>43343</v>
      </c>
      <c r="W294" s="34"/>
      <c r="X294" s="34"/>
    </row>
    <row r="295" customFormat="false" ht="13.8" hidden="false" customHeight="false" outlineLevel="0" collapsed="false">
      <c r="A295" s="18"/>
      <c r="B295" s="19" t="n">
        <v>2640</v>
      </c>
      <c r="C295" s="20" t="n">
        <v>43175</v>
      </c>
      <c r="D295" s="21" t="s">
        <v>22</v>
      </c>
      <c r="E295" s="22" t="s">
        <v>125</v>
      </c>
      <c r="F295" s="23" t="s">
        <v>73</v>
      </c>
      <c r="G295" s="22" t="s">
        <v>600</v>
      </c>
      <c r="H295" s="24" t="s">
        <v>112</v>
      </c>
      <c r="I295" s="24" t="s">
        <v>49</v>
      </c>
      <c r="J295" s="25" t="n">
        <v>48.28</v>
      </c>
      <c r="K295" s="26" t="n">
        <v>450000</v>
      </c>
      <c r="L295" s="27" t="n">
        <f aca="false">K295/J295</f>
        <v>9320.62966031483</v>
      </c>
      <c r="M295" s="28" t="s">
        <v>64</v>
      </c>
      <c r="N295" s="29"/>
      <c r="O295" s="30" t="n">
        <f aca="false">K295+N295</f>
        <v>450000</v>
      </c>
      <c r="P295" s="39" t="n">
        <f aca="false">ROUND(O295/J295,2)</f>
        <v>9320.63</v>
      </c>
      <c r="Q295" s="25" t="s">
        <v>50</v>
      </c>
      <c r="R295" s="22" t="s">
        <v>36</v>
      </c>
      <c r="S295" s="25" t="s">
        <v>29</v>
      </c>
      <c r="T295" s="24" t="s">
        <v>30</v>
      </c>
      <c r="U295" s="31" t="s">
        <v>31</v>
      </c>
      <c r="V295" s="31" t="n">
        <v>43234</v>
      </c>
      <c r="W295" s="18"/>
      <c r="X295" s="18"/>
      <c r="AMJ295" s="32"/>
    </row>
    <row r="296" s="32" customFormat="true" ht="13.8" hidden="false" customHeight="false" outlineLevel="0" collapsed="false">
      <c r="A296" s="18"/>
      <c r="B296" s="19" t="n">
        <v>1538</v>
      </c>
      <c r="C296" s="20" t="n">
        <v>43176</v>
      </c>
      <c r="D296" s="21" t="s">
        <v>22</v>
      </c>
      <c r="E296" s="22" t="s">
        <v>215</v>
      </c>
      <c r="F296" s="23" t="s">
        <v>216</v>
      </c>
      <c r="G296" s="22" t="s">
        <v>36</v>
      </c>
      <c r="H296" s="24" t="s">
        <v>427</v>
      </c>
      <c r="I296" s="24" t="s">
        <v>57</v>
      </c>
      <c r="J296" s="25" t="n">
        <v>29.59</v>
      </c>
      <c r="K296" s="26" t="n">
        <v>300000</v>
      </c>
      <c r="L296" s="27" t="n">
        <f aca="false">K296/J296</f>
        <v>10138.5603244339</v>
      </c>
      <c r="M296" s="28" t="s">
        <v>205</v>
      </c>
      <c r="N296" s="29" t="n">
        <v>30000</v>
      </c>
      <c r="O296" s="30" t="n">
        <f aca="false">K296+N296</f>
        <v>330000</v>
      </c>
      <c r="P296" s="30" t="n">
        <f aca="false">ROUND(O296/J296, 2)</f>
        <v>11152.42</v>
      </c>
      <c r="Q296" s="25" t="s">
        <v>41</v>
      </c>
      <c r="R296" s="22" t="s">
        <v>27</v>
      </c>
      <c r="S296" s="25" t="s">
        <v>29</v>
      </c>
      <c r="T296" s="24" t="s">
        <v>30</v>
      </c>
      <c r="U296" s="31" t="s">
        <v>31</v>
      </c>
      <c r="V296" s="31" t="n">
        <v>43343</v>
      </c>
      <c r="W296" s="18"/>
      <c r="X296" s="18"/>
    </row>
    <row r="297" s="32" customFormat="true" ht="13.8" hidden="false" customHeight="false" outlineLevel="0" collapsed="false">
      <c r="A297" s="18"/>
      <c r="B297" s="19" t="n">
        <v>3875</v>
      </c>
      <c r="C297" s="20" t="n">
        <v>43178</v>
      </c>
      <c r="D297" s="21" t="s">
        <v>22</v>
      </c>
      <c r="E297" s="22" t="s">
        <v>251</v>
      </c>
      <c r="F297" s="23" t="s">
        <v>252</v>
      </c>
      <c r="G297" s="22" t="s">
        <v>26</v>
      </c>
      <c r="H297" s="24" t="s">
        <v>601</v>
      </c>
      <c r="I297" s="19" t="n">
        <v>11</v>
      </c>
      <c r="J297" s="25" t="n">
        <f aca="false">31.89-0.95</f>
        <v>30.94</v>
      </c>
      <c r="K297" s="26" t="n">
        <v>290000</v>
      </c>
      <c r="L297" s="27" t="n">
        <f aca="false">K297/J297</f>
        <v>9372.97996121525</v>
      </c>
      <c r="M297" s="28"/>
      <c r="N297" s="29"/>
      <c r="O297" s="30" t="n">
        <f aca="false">K297+N297</f>
        <v>290000</v>
      </c>
      <c r="P297" s="30" t="n">
        <f aca="false">ROUND(O297/J297, 2)</f>
        <v>9372.98</v>
      </c>
      <c r="Q297" s="25" t="s">
        <v>41</v>
      </c>
      <c r="R297" s="22" t="s">
        <v>27</v>
      </c>
      <c r="S297" s="25" t="s">
        <v>29</v>
      </c>
      <c r="T297" s="24" t="s">
        <v>30</v>
      </c>
      <c r="U297" s="31" t="s">
        <v>31</v>
      </c>
      <c r="V297" s="31" t="n">
        <v>43343</v>
      </c>
      <c r="W297" s="18"/>
      <c r="X297" s="18"/>
    </row>
    <row r="298" s="32" customFormat="true" ht="13.8" hidden="false" customHeight="false" outlineLevel="0" collapsed="false">
      <c r="A298" s="18"/>
      <c r="B298" s="19" t="n">
        <v>1781</v>
      </c>
      <c r="C298" s="20" t="n">
        <v>43178</v>
      </c>
      <c r="D298" s="21" t="s">
        <v>22</v>
      </c>
      <c r="E298" s="22" t="s">
        <v>42</v>
      </c>
      <c r="F298" s="23" t="s">
        <v>43</v>
      </c>
      <c r="G298" s="22" t="s">
        <v>602</v>
      </c>
      <c r="H298" s="24" t="s">
        <v>269</v>
      </c>
      <c r="I298" s="24" t="s">
        <v>25</v>
      </c>
      <c r="J298" s="25" t="n">
        <v>38</v>
      </c>
      <c r="K298" s="26" t="n">
        <v>340000</v>
      </c>
      <c r="L298" s="27" t="n">
        <f aca="false">K298/J298</f>
        <v>8947.36842105263</v>
      </c>
      <c r="M298" s="28"/>
      <c r="N298" s="29"/>
      <c r="O298" s="30" t="n">
        <f aca="false">K298+N298</f>
        <v>340000</v>
      </c>
      <c r="P298" s="30" t="n">
        <f aca="false">ROUND(O298/J298, 2)</f>
        <v>8947.37</v>
      </c>
      <c r="Q298" s="25" t="s">
        <v>50</v>
      </c>
      <c r="R298" s="22" t="s">
        <v>36</v>
      </c>
      <c r="S298" s="25" t="s">
        <v>29</v>
      </c>
      <c r="T298" s="24" t="s">
        <v>30</v>
      </c>
      <c r="U298" s="31" t="s">
        <v>31</v>
      </c>
      <c r="V298" s="31" t="n">
        <v>43343</v>
      </c>
      <c r="W298" s="18"/>
      <c r="X298" s="18"/>
    </row>
    <row r="299" s="32" customFormat="true" ht="13.8" hidden="false" customHeight="false" outlineLevel="0" collapsed="false">
      <c r="A299" s="18"/>
      <c r="B299" s="19" t="n">
        <v>1027</v>
      </c>
      <c r="C299" s="20" t="n">
        <v>43178</v>
      </c>
      <c r="D299" s="21" t="s">
        <v>22</v>
      </c>
      <c r="E299" s="22" t="s">
        <v>175</v>
      </c>
      <c r="F299" s="23" t="s">
        <v>603</v>
      </c>
      <c r="G299" s="22" t="s">
        <v>300</v>
      </c>
      <c r="H299" s="24" t="s">
        <v>27</v>
      </c>
      <c r="I299" s="24" t="s">
        <v>27</v>
      </c>
      <c r="J299" s="25" t="n">
        <v>52.9</v>
      </c>
      <c r="K299" s="26" t="n">
        <v>451000</v>
      </c>
      <c r="L299" s="27" t="n">
        <f aca="false">K299/J299</f>
        <v>8525.51984877127</v>
      </c>
      <c r="M299" s="28"/>
      <c r="N299" s="29"/>
      <c r="O299" s="30" t="n">
        <f aca="false">K299+N299</f>
        <v>451000</v>
      </c>
      <c r="P299" s="30" t="n">
        <f aca="false">ROUND(O299/J299, 2)</f>
        <v>8525.52</v>
      </c>
      <c r="Q299" s="25" t="s">
        <v>85</v>
      </c>
      <c r="R299" s="22" t="s">
        <v>26</v>
      </c>
      <c r="S299" s="25" t="s">
        <v>29</v>
      </c>
      <c r="T299" s="24" t="s">
        <v>30</v>
      </c>
      <c r="U299" s="31" t="s">
        <v>31</v>
      </c>
      <c r="V299" s="31" t="n">
        <v>43234</v>
      </c>
      <c r="W299" s="18"/>
      <c r="X299" s="18"/>
    </row>
    <row r="300" s="32" customFormat="true" ht="13.8" hidden="false" customHeight="false" outlineLevel="0" collapsed="false">
      <c r="A300" s="18"/>
      <c r="B300" s="19" t="n">
        <v>2705</v>
      </c>
      <c r="C300" s="20" t="n">
        <v>43178</v>
      </c>
      <c r="D300" s="21" t="s">
        <v>22</v>
      </c>
      <c r="E300" s="22" t="s">
        <v>459</v>
      </c>
      <c r="F300" s="23" t="s">
        <v>604</v>
      </c>
      <c r="G300" s="22" t="s">
        <v>101</v>
      </c>
      <c r="H300" s="24" t="s">
        <v>515</v>
      </c>
      <c r="I300" s="24" t="s">
        <v>112</v>
      </c>
      <c r="J300" s="25" t="n">
        <f aca="false">48.06-1.06</f>
        <v>47</v>
      </c>
      <c r="K300" s="26" t="n">
        <v>327000</v>
      </c>
      <c r="L300" s="27" t="n">
        <f aca="false">K300/J300</f>
        <v>6957.44680851064</v>
      </c>
      <c r="M300" s="28" t="s">
        <v>605</v>
      </c>
      <c r="N300" s="29"/>
      <c r="O300" s="30" t="n">
        <f aca="false">K300+N300</f>
        <v>327000</v>
      </c>
      <c r="P300" s="30" t="n">
        <f aca="false">ROUND(O300/J300, 2)</f>
        <v>6957.45</v>
      </c>
      <c r="Q300" s="25" t="s">
        <v>85</v>
      </c>
      <c r="R300" s="22" t="s">
        <v>26</v>
      </c>
      <c r="S300" s="25" t="s">
        <v>29</v>
      </c>
      <c r="T300" s="24" t="s">
        <v>30</v>
      </c>
      <c r="U300" s="31" t="s">
        <v>31</v>
      </c>
      <c r="V300" s="31" t="n">
        <v>43343</v>
      </c>
      <c r="W300" s="18"/>
      <c r="X300" s="18"/>
    </row>
    <row r="301" customFormat="false" ht="13.8" hidden="false" customHeight="false" outlineLevel="0" collapsed="false">
      <c r="A301" s="18"/>
      <c r="B301" s="19" t="n">
        <v>1578</v>
      </c>
      <c r="C301" s="20" t="n">
        <v>43178</v>
      </c>
      <c r="D301" s="21" t="s">
        <v>22</v>
      </c>
      <c r="E301" s="22" t="s">
        <v>183</v>
      </c>
      <c r="F301" s="23" t="s">
        <v>46</v>
      </c>
      <c r="G301" s="22" t="s">
        <v>188</v>
      </c>
      <c r="H301" s="24" t="s">
        <v>126</v>
      </c>
      <c r="I301" s="24" t="s">
        <v>36</v>
      </c>
      <c r="J301" s="25" t="n">
        <v>38</v>
      </c>
      <c r="K301" s="26" t="n">
        <f aca="false">148800+161200</f>
        <v>310000</v>
      </c>
      <c r="L301" s="27" t="n">
        <f aca="false">K301/J301</f>
        <v>8157.8947368421</v>
      </c>
      <c r="M301" s="28" t="s">
        <v>606</v>
      </c>
      <c r="N301" s="29"/>
      <c r="O301" s="30" t="n">
        <f aca="false">K301+N301</f>
        <v>310000</v>
      </c>
      <c r="P301" s="30" t="n">
        <f aca="false">ROUND(O301/J301, 2)</f>
        <v>8157.89</v>
      </c>
      <c r="Q301" s="25" t="s">
        <v>41</v>
      </c>
      <c r="R301" s="22" t="s">
        <v>27</v>
      </c>
      <c r="S301" s="25" t="s">
        <v>29</v>
      </c>
      <c r="T301" s="24" t="s">
        <v>30</v>
      </c>
      <c r="U301" s="31" t="s">
        <v>31</v>
      </c>
      <c r="V301" s="31" t="n">
        <v>43343</v>
      </c>
      <c r="W301" s="18"/>
      <c r="X301" s="18"/>
      <c r="AMJ301" s="32"/>
    </row>
    <row r="302" s="32" customFormat="true" ht="13.8" hidden="false" customHeight="false" outlineLevel="0" collapsed="false">
      <c r="A302" s="18"/>
      <c r="B302" s="19" t="n">
        <v>3770</v>
      </c>
      <c r="C302" s="20" t="n">
        <v>43179</v>
      </c>
      <c r="D302" s="21" t="s">
        <v>22</v>
      </c>
      <c r="E302" s="22" t="s">
        <v>459</v>
      </c>
      <c r="F302" s="23" t="s">
        <v>416</v>
      </c>
      <c r="G302" s="22" t="s">
        <v>27</v>
      </c>
      <c r="H302" s="24" t="s">
        <v>57</v>
      </c>
      <c r="I302" s="24" t="s">
        <v>36</v>
      </c>
      <c r="J302" s="25" t="n">
        <v>46.4</v>
      </c>
      <c r="K302" s="26" t="n">
        <v>362000</v>
      </c>
      <c r="L302" s="27" t="n">
        <f aca="false">K302/J302</f>
        <v>7801.72413793104</v>
      </c>
      <c r="M302" s="28"/>
      <c r="N302" s="29"/>
      <c r="O302" s="30" t="n">
        <f aca="false">K302+N302</f>
        <v>362000</v>
      </c>
      <c r="P302" s="30" t="n">
        <f aca="false">ROUND(O302/J302, 2)</f>
        <v>7801.72</v>
      </c>
      <c r="Q302" s="25" t="s">
        <v>85</v>
      </c>
      <c r="R302" s="22" t="s">
        <v>26</v>
      </c>
      <c r="S302" s="25" t="s">
        <v>29</v>
      </c>
      <c r="T302" s="24" t="s">
        <v>30</v>
      </c>
      <c r="U302" s="31" t="s">
        <v>31</v>
      </c>
      <c r="V302" s="31" t="n">
        <v>43343</v>
      </c>
      <c r="W302" s="34"/>
      <c r="X302" s="34"/>
    </row>
    <row r="303" customFormat="false" ht="13.8" hidden="false" customHeight="false" outlineLevel="0" collapsed="false">
      <c r="A303" s="18"/>
      <c r="B303" s="19" t="n">
        <v>2651</v>
      </c>
      <c r="C303" s="20" t="n">
        <v>43179</v>
      </c>
      <c r="D303" s="21" t="s">
        <v>22</v>
      </c>
      <c r="E303" s="22" t="s">
        <v>171</v>
      </c>
      <c r="F303" s="23" t="s">
        <v>172</v>
      </c>
      <c r="G303" s="22" t="s">
        <v>173</v>
      </c>
      <c r="H303" s="24" t="s">
        <v>78</v>
      </c>
      <c r="I303" s="24" t="s">
        <v>49</v>
      </c>
      <c r="J303" s="25" t="n">
        <v>51.2</v>
      </c>
      <c r="K303" s="26" t="n">
        <v>349000</v>
      </c>
      <c r="L303" s="27" t="n">
        <f aca="false">K303/J303</f>
        <v>6816.40625</v>
      </c>
      <c r="M303" s="28"/>
      <c r="N303" s="29"/>
      <c r="O303" s="30" t="n">
        <f aca="false">K303+N303</f>
        <v>349000</v>
      </c>
      <c r="P303" s="30" t="n">
        <f aca="false">ROUND(O303/J303, 2)</f>
        <v>6816.41</v>
      </c>
      <c r="Q303" s="25" t="s">
        <v>85</v>
      </c>
      <c r="R303" s="22" t="s">
        <v>26</v>
      </c>
      <c r="S303" s="25" t="s">
        <v>29</v>
      </c>
      <c r="T303" s="24" t="s">
        <v>30</v>
      </c>
      <c r="U303" s="31" t="s">
        <v>31</v>
      </c>
      <c r="V303" s="31" t="n">
        <v>43343</v>
      </c>
      <c r="W303" s="18"/>
      <c r="X303" s="18"/>
    </row>
    <row r="304" customFormat="false" ht="13.8" hidden="false" customHeight="false" outlineLevel="0" collapsed="false">
      <c r="A304" s="18"/>
      <c r="B304" s="19" t="n">
        <v>696</v>
      </c>
      <c r="C304" s="20" t="n">
        <v>43179</v>
      </c>
      <c r="D304" s="21" t="s">
        <v>22</v>
      </c>
      <c r="E304" s="22" t="s">
        <v>148</v>
      </c>
      <c r="F304" s="23" t="s">
        <v>195</v>
      </c>
      <c r="G304" s="22" t="s">
        <v>154</v>
      </c>
      <c r="H304" s="24" t="s">
        <v>607</v>
      </c>
      <c r="I304" s="24" t="s">
        <v>57</v>
      </c>
      <c r="J304" s="25" t="n">
        <v>42.86</v>
      </c>
      <c r="K304" s="26" t="n">
        <v>325000</v>
      </c>
      <c r="L304" s="27" t="n">
        <f aca="false">K304/J304</f>
        <v>7582.82781147924</v>
      </c>
      <c r="M304" s="28" t="s">
        <v>64</v>
      </c>
      <c r="N304" s="29"/>
      <c r="O304" s="30" t="n">
        <f aca="false">K304+N304</f>
        <v>325000</v>
      </c>
      <c r="P304" s="30" t="n">
        <f aca="false">ROUND(O304/J304, 2)</f>
        <v>7582.83</v>
      </c>
      <c r="Q304" s="25" t="s">
        <v>50</v>
      </c>
      <c r="R304" s="22" t="s">
        <v>36</v>
      </c>
      <c r="S304" s="25" t="s">
        <v>29</v>
      </c>
      <c r="T304" s="24" t="s">
        <v>30</v>
      </c>
      <c r="U304" s="31" t="s">
        <v>31</v>
      </c>
      <c r="V304" s="31" t="n">
        <v>43343</v>
      </c>
      <c r="W304" s="18"/>
      <c r="X304" s="18"/>
    </row>
    <row r="305" customFormat="false" ht="13.8" hidden="false" customHeight="false" outlineLevel="0" collapsed="false">
      <c r="A305" s="18"/>
      <c r="B305" s="19" t="n">
        <v>12072</v>
      </c>
      <c r="C305" s="20" t="n">
        <v>43179</v>
      </c>
      <c r="D305" s="21" t="s">
        <v>22</v>
      </c>
      <c r="E305" s="22" t="s">
        <v>183</v>
      </c>
      <c r="F305" s="23" t="s">
        <v>46</v>
      </c>
      <c r="G305" s="22" t="s">
        <v>608</v>
      </c>
      <c r="H305" s="24" t="s">
        <v>82</v>
      </c>
      <c r="I305" s="24" t="s">
        <v>36</v>
      </c>
      <c r="J305" s="25" t="n">
        <v>58.91</v>
      </c>
      <c r="K305" s="26" t="n">
        <v>470000</v>
      </c>
      <c r="L305" s="27" t="n">
        <f aca="false">K305/J305</f>
        <v>7978.27194024784</v>
      </c>
      <c r="M305" s="28"/>
      <c r="N305" s="29"/>
      <c r="O305" s="30" t="n">
        <f aca="false">K305+N305</f>
        <v>470000</v>
      </c>
      <c r="P305" s="30" t="n">
        <f aca="false">ROUND(O305/J305, 2)</f>
        <v>7978.27</v>
      </c>
      <c r="Q305" s="25" t="s">
        <v>50</v>
      </c>
      <c r="R305" s="22" t="s">
        <v>36</v>
      </c>
      <c r="S305" s="25" t="s">
        <v>29</v>
      </c>
      <c r="T305" s="24" t="s">
        <v>30</v>
      </c>
      <c r="U305" s="31" t="s">
        <v>31</v>
      </c>
      <c r="V305" s="31" t="n">
        <v>43234</v>
      </c>
      <c r="W305" s="18"/>
      <c r="X305" s="18"/>
    </row>
    <row r="306" customFormat="false" ht="13.8" hidden="false" customHeight="false" outlineLevel="0" collapsed="false">
      <c r="A306" s="18"/>
      <c r="B306" s="19" t="n">
        <v>684</v>
      </c>
      <c r="C306" s="20" t="n">
        <v>43180</v>
      </c>
      <c r="D306" s="21" t="s">
        <v>22</v>
      </c>
      <c r="E306" s="22" t="s">
        <v>203</v>
      </c>
      <c r="F306" s="23" t="s">
        <v>138</v>
      </c>
      <c r="G306" s="22" t="s">
        <v>112</v>
      </c>
      <c r="H306" s="24" t="s">
        <v>609</v>
      </c>
      <c r="I306" s="24" t="s">
        <v>143</v>
      </c>
      <c r="J306" s="25" t="n">
        <v>30.32</v>
      </c>
      <c r="K306" s="26" t="n">
        <v>340000</v>
      </c>
      <c r="L306" s="27" t="n">
        <f aca="false">K306/J306</f>
        <v>11213.7203166227</v>
      </c>
      <c r="M306" s="28"/>
      <c r="N306" s="29"/>
      <c r="O306" s="30" t="n">
        <f aca="false">K306+N306</f>
        <v>340000</v>
      </c>
      <c r="P306" s="39" t="n">
        <f aca="false">ROUND(O306/J306,2)</f>
        <v>11213.72</v>
      </c>
      <c r="Q306" s="25" t="s">
        <v>383</v>
      </c>
      <c r="R306" s="22" t="s">
        <v>27</v>
      </c>
      <c r="S306" s="25" t="s">
        <v>29</v>
      </c>
      <c r="T306" s="24" t="s">
        <v>30</v>
      </c>
      <c r="U306" s="31" t="s">
        <v>31</v>
      </c>
      <c r="V306" s="31" t="n">
        <v>43234</v>
      </c>
      <c r="W306" s="18"/>
      <c r="X306" s="18"/>
      <c r="Y306" s="35"/>
      <c r="Z306" s="36"/>
    </row>
    <row r="307" customFormat="false" ht="13.8" hidden="false" customHeight="false" outlineLevel="0" collapsed="false">
      <c r="A307" s="18"/>
      <c r="B307" s="19" t="n">
        <v>3775</v>
      </c>
      <c r="C307" s="20" t="n">
        <v>43180</v>
      </c>
      <c r="D307" s="21" t="s">
        <v>22</v>
      </c>
      <c r="E307" s="22" t="s">
        <v>37</v>
      </c>
      <c r="F307" s="23" t="s">
        <v>108</v>
      </c>
      <c r="G307" s="22" t="s">
        <v>105</v>
      </c>
      <c r="H307" s="24" t="s">
        <v>610</v>
      </c>
      <c r="I307" s="24" t="s">
        <v>49</v>
      </c>
      <c r="J307" s="25" t="n">
        <v>36.22</v>
      </c>
      <c r="K307" s="26" t="n">
        <v>343000</v>
      </c>
      <c r="L307" s="27" t="n">
        <f aca="false">K307/J307</f>
        <v>9469.90612921038</v>
      </c>
      <c r="M307" s="28"/>
      <c r="N307" s="29"/>
      <c r="O307" s="30" t="n">
        <f aca="false">K307+N307</f>
        <v>343000</v>
      </c>
      <c r="P307" s="30" t="n">
        <f aca="false">ROUND(O307/J307, 2)</f>
        <v>9469.91</v>
      </c>
      <c r="Q307" s="25" t="s">
        <v>41</v>
      </c>
      <c r="R307" s="22" t="s">
        <v>27</v>
      </c>
      <c r="S307" s="25" t="s">
        <v>29</v>
      </c>
      <c r="T307" s="24" t="s">
        <v>30</v>
      </c>
      <c r="U307" s="31" t="s">
        <v>31</v>
      </c>
      <c r="V307" s="31" t="n">
        <v>43343</v>
      </c>
      <c r="W307" s="18"/>
      <c r="X307" s="18"/>
    </row>
    <row r="308" customFormat="false" ht="13.8" hidden="false" customHeight="false" outlineLevel="0" collapsed="false">
      <c r="A308" s="18"/>
      <c r="B308" s="19" t="n">
        <v>4248</v>
      </c>
      <c r="C308" s="20" t="n">
        <v>43180</v>
      </c>
      <c r="D308" s="21" t="s">
        <v>22</v>
      </c>
      <c r="E308" s="22" t="s">
        <v>375</v>
      </c>
      <c r="F308" s="23" t="s">
        <v>544</v>
      </c>
      <c r="G308" s="22" t="s">
        <v>197</v>
      </c>
      <c r="H308" s="24" t="s">
        <v>57</v>
      </c>
      <c r="I308" s="24" t="s">
        <v>26</v>
      </c>
      <c r="J308" s="25" t="n">
        <v>60.7</v>
      </c>
      <c r="K308" s="26" t="n">
        <v>690000</v>
      </c>
      <c r="L308" s="27" t="n">
        <f aca="false">K308/J308</f>
        <v>11367.3805601318</v>
      </c>
      <c r="M308" s="28"/>
      <c r="N308" s="29"/>
      <c r="O308" s="30" t="n">
        <f aca="false">K308+N308</f>
        <v>690000</v>
      </c>
      <c r="P308" s="30" t="n">
        <f aca="false">ROUND(O308/J308, 2)</f>
        <v>11367.38</v>
      </c>
      <c r="Q308" s="25" t="s">
        <v>50</v>
      </c>
      <c r="R308" s="22" t="s">
        <v>36</v>
      </c>
      <c r="S308" s="25" t="s">
        <v>29</v>
      </c>
      <c r="T308" s="24" t="s">
        <v>30</v>
      </c>
      <c r="U308" s="31" t="s">
        <v>31</v>
      </c>
      <c r="V308" s="31" t="n">
        <v>43343</v>
      </c>
      <c r="W308" s="18"/>
      <c r="X308" s="18"/>
    </row>
    <row r="309" customFormat="false" ht="13.8" hidden="false" customHeight="false" outlineLevel="0" collapsed="false">
      <c r="A309" s="18"/>
      <c r="B309" s="19" t="n">
        <v>597</v>
      </c>
      <c r="C309" s="20" t="n">
        <v>43180</v>
      </c>
      <c r="D309" s="21" t="s">
        <v>22</v>
      </c>
      <c r="E309" s="22" t="s">
        <v>372</v>
      </c>
      <c r="F309" s="23" t="s">
        <v>272</v>
      </c>
      <c r="G309" s="22" t="s">
        <v>217</v>
      </c>
      <c r="H309" s="24" t="s">
        <v>421</v>
      </c>
      <c r="I309" s="24" t="s">
        <v>25</v>
      </c>
      <c r="J309" s="25" t="n">
        <f aca="false">154.08-3.49</f>
        <v>150.59</v>
      </c>
      <c r="K309" s="26" t="n">
        <v>1340000</v>
      </c>
      <c r="L309" s="27" t="n">
        <f aca="false">K309/J309</f>
        <v>8898.33322265755</v>
      </c>
      <c r="M309" s="28" t="s">
        <v>611</v>
      </c>
      <c r="N309" s="29" t="n">
        <v>60000</v>
      </c>
      <c r="O309" s="30" t="n">
        <f aca="false">K309+N309</f>
        <v>1400000</v>
      </c>
      <c r="P309" s="30" t="n">
        <f aca="false">ROUND(O309/J309, 2)</f>
        <v>9296.77</v>
      </c>
      <c r="Q309" s="25" t="s">
        <v>612</v>
      </c>
      <c r="R309" s="22" t="s">
        <v>57</v>
      </c>
      <c r="S309" s="25" t="s">
        <v>29</v>
      </c>
      <c r="T309" s="24" t="s">
        <v>30</v>
      </c>
      <c r="U309" s="31" t="s">
        <v>31</v>
      </c>
      <c r="V309" s="31" t="n">
        <v>43343</v>
      </c>
      <c r="W309" s="34" t="s">
        <v>613</v>
      </c>
      <c r="X309" s="18"/>
    </row>
    <row r="310" customFormat="false" ht="13.8" hidden="false" customHeight="false" outlineLevel="0" collapsed="false">
      <c r="A310" s="18"/>
      <c r="B310" s="19" t="n">
        <v>590</v>
      </c>
      <c r="C310" s="20" t="n">
        <v>43180</v>
      </c>
      <c r="D310" s="21" t="s">
        <v>22</v>
      </c>
      <c r="E310" s="22" t="s">
        <v>42</v>
      </c>
      <c r="F310" s="23" t="s">
        <v>272</v>
      </c>
      <c r="G310" s="22" t="s">
        <v>105</v>
      </c>
      <c r="H310" s="24" t="s">
        <v>115</v>
      </c>
      <c r="I310" s="24" t="s">
        <v>36</v>
      </c>
      <c r="J310" s="25" t="n">
        <v>36</v>
      </c>
      <c r="K310" s="26" t="n">
        <v>270000</v>
      </c>
      <c r="L310" s="27" t="n">
        <f aca="false">K310/J310</f>
        <v>7500</v>
      </c>
      <c r="M310" s="28"/>
      <c r="N310" s="29"/>
      <c r="O310" s="30" t="n">
        <f aca="false">K310+N310</f>
        <v>270000</v>
      </c>
      <c r="P310" s="39" t="n">
        <f aca="false">ROUND(O310/J310,2)</f>
        <v>7500</v>
      </c>
      <c r="Q310" s="25" t="s">
        <v>41</v>
      </c>
      <c r="R310" s="22" t="s">
        <v>27</v>
      </c>
      <c r="S310" s="25" t="s">
        <v>29</v>
      </c>
      <c r="T310" s="24" t="s">
        <v>30</v>
      </c>
      <c r="U310" s="31" t="s">
        <v>31</v>
      </c>
      <c r="V310" s="31" t="n">
        <v>43234</v>
      </c>
      <c r="W310" s="34"/>
      <c r="X310" s="34"/>
    </row>
    <row r="311" customFormat="false" ht="13.8" hidden="false" customHeight="false" outlineLevel="0" collapsed="false">
      <c r="A311" s="18"/>
      <c r="B311" s="19" t="n">
        <v>1399</v>
      </c>
      <c r="C311" s="20" t="n">
        <v>43181</v>
      </c>
      <c r="D311" s="21" t="s">
        <v>22</v>
      </c>
      <c r="E311" s="22" t="s">
        <v>178</v>
      </c>
      <c r="F311" s="23" t="s">
        <v>513</v>
      </c>
      <c r="G311" s="22" t="s">
        <v>49</v>
      </c>
      <c r="H311" s="24" t="s">
        <v>135</v>
      </c>
      <c r="I311" s="24" t="s">
        <v>49</v>
      </c>
      <c r="J311" s="25" t="n">
        <v>35.27</v>
      </c>
      <c r="K311" s="26" t="n">
        <v>315000</v>
      </c>
      <c r="L311" s="27" t="n">
        <f aca="false">K311/J311</f>
        <v>8931.10292032889</v>
      </c>
      <c r="M311" s="28" t="s">
        <v>64</v>
      </c>
      <c r="N311" s="29"/>
      <c r="O311" s="30" t="n">
        <f aca="false">K311+N311</f>
        <v>315000</v>
      </c>
      <c r="P311" s="30" t="n">
        <f aca="false">ROUND(O311/J311, 2)</f>
        <v>8931.1</v>
      </c>
      <c r="Q311" s="25" t="s">
        <v>41</v>
      </c>
      <c r="R311" s="22" t="s">
        <v>27</v>
      </c>
      <c r="S311" s="25" t="s">
        <v>29</v>
      </c>
      <c r="T311" s="24" t="s">
        <v>30</v>
      </c>
      <c r="U311" s="31" t="s">
        <v>31</v>
      </c>
      <c r="V311" s="31" t="n">
        <v>43343</v>
      </c>
      <c r="W311" s="18"/>
      <c r="X311" s="18"/>
      <c r="AMJ311" s="32"/>
    </row>
    <row r="312" s="32" customFormat="true" ht="13.8" hidden="false" customHeight="false" outlineLevel="0" collapsed="false">
      <c r="A312" s="18"/>
      <c r="B312" s="19" t="n">
        <v>1500</v>
      </c>
      <c r="C312" s="20" t="n">
        <v>43181</v>
      </c>
      <c r="D312" s="21" t="s">
        <v>22</v>
      </c>
      <c r="E312" s="22" t="s">
        <v>53</v>
      </c>
      <c r="F312" s="23" t="s">
        <v>614</v>
      </c>
      <c r="G312" s="22" t="s">
        <v>82</v>
      </c>
      <c r="H312" s="24" t="s">
        <v>615</v>
      </c>
      <c r="I312" s="24" t="s">
        <v>36</v>
      </c>
      <c r="J312" s="25" t="n">
        <f aca="false">47.8-1.8</f>
        <v>46</v>
      </c>
      <c r="K312" s="26" t="n">
        <v>340000</v>
      </c>
      <c r="L312" s="27" t="n">
        <f aca="false">K312/J312</f>
        <v>7391.30434782609</v>
      </c>
      <c r="M312" s="28" t="s">
        <v>616</v>
      </c>
      <c r="N312" s="29"/>
      <c r="O312" s="30" t="n">
        <f aca="false">K312+N312</f>
        <v>340000</v>
      </c>
      <c r="P312" s="39" t="n">
        <f aca="false">ROUND(O312/J312,2)</f>
        <v>7391.3</v>
      </c>
      <c r="Q312" s="25" t="s">
        <v>50</v>
      </c>
      <c r="R312" s="22" t="s">
        <v>36</v>
      </c>
      <c r="S312" s="25" t="s">
        <v>29</v>
      </c>
      <c r="T312" s="24" t="s">
        <v>30</v>
      </c>
      <c r="U312" s="31" t="s">
        <v>31</v>
      </c>
      <c r="V312" s="31" t="n">
        <v>43234</v>
      </c>
      <c r="W312" s="18"/>
      <c r="X312" s="18"/>
    </row>
    <row r="313" s="32" customFormat="true" ht="13.8" hidden="false" customHeight="false" outlineLevel="0" collapsed="false">
      <c r="A313" s="18"/>
      <c r="B313" s="19" t="n">
        <v>4409</v>
      </c>
      <c r="C313" s="20" t="n">
        <v>43181</v>
      </c>
      <c r="D313" s="21" t="s">
        <v>22</v>
      </c>
      <c r="E313" s="22" t="s">
        <v>276</v>
      </c>
      <c r="F313" s="23" t="s">
        <v>38</v>
      </c>
      <c r="G313" s="22" t="s">
        <v>210</v>
      </c>
      <c r="H313" s="24" t="s">
        <v>47</v>
      </c>
      <c r="I313" s="24" t="s">
        <v>57</v>
      </c>
      <c r="J313" s="25" t="n">
        <v>64.2</v>
      </c>
      <c r="K313" s="26" t="n">
        <v>420000</v>
      </c>
      <c r="L313" s="27" t="n">
        <f aca="false">K313/J313</f>
        <v>6542.05607476635</v>
      </c>
      <c r="M313" s="28" t="s">
        <v>64</v>
      </c>
      <c r="N313" s="29"/>
      <c r="O313" s="30" t="n">
        <f aca="false">K313+N313</f>
        <v>420000</v>
      </c>
      <c r="P313" s="30" t="n">
        <f aca="false">ROUND(O313/J313, 2)</f>
        <v>6542.06</v>
      </c>
      <c r="Q313" s="25" t="s">
        <v>85</v>
      </c>
      <c r="R313" s="22" t="s">
        <v>26</v>
      </c>
      <c r="S313" s="25" t="s">
        <v>29</v>
      </c>
      <c r="T313" s="24" t="s">
        <v>30</v>
      </c>
      <c r="U313" s="31" t="s">
        <v>31</v>
      </c>
      <c r="V313" s="31" t="n">
        <v>43343</v>
      </c>
      <c r="W313" s="34"/>
      <c r="X313" s="34"/>
    </row>
    <row r="314" s="32" customFormat="true" ht="13.8" hidden="false" customHeight="false" outlineLevel="0" collapsed="false">
      <c r="A314" s="18"/>
      <c r="B314" s="19" t="n">
        <v>2018</v>
      </c>
      <c r="C314" s="20" t="n">
        <v>43181</v>
      </c>
      <c r="D314" s="21" t="s">
        <v>22</v>
      </c>
      <c r="E314" s="22" t="s">
        <v>37</v>
      </c>
      <c r="F314" s="23" t="s">
        <v>108</v>
      </c>
      <c r="G314" s="22" t="s">
        <v>226</v>
      </c>
      <c r="H314" s="24" t="s">
        <v>95</v>
      </c>
      <c r="I314" s="24" t="s">
        <v>36</v>
      </c>
      <c r="J314" s="25" t="n">
        <v>47.22</v>
      </c>
      <c r="K314" s="26" t="n">
        <v>420000</v>
      </c>
      <c r="L314" s="27" t="n">
        <f aca="false">K314/J314</f>
        <v>8894.53621346887</v>
      </c>
      <c r="M314" s="28" t="s">
        <v>64</v>
      </c>
      <c r="N314" s="29"/>
      <c r="O314" s="30" t="n">
        <f aca="false">K314+N314</f>
        <v>420000</v>
      </c>
      <c r="P314" s="30" t="n">
        <f aca="false">ROUND(O314/J314, 2)</f>
        <v>8894.54</v>
      </c>
      <c r="Q314" s="25" t="s">
        <v>50</v>
      </c>
      <c r="R314" s="22" t="s">
        <v>36</v>
      </c>
      <c r="S314" s="25" t="s">
        <v>29</v>
      </c>
      <c r="T314" s="24" t="s">
        <v>30</v>
      </c>
      <c r="U314" s="31" t="s">
        <v>31</v>
      </c>
      <c r="V314" s="31" t="n">
        <v>43343</v>
      </c>
      <c r="W314" s="18"/>
      <c r="X314" s="18"/>
    </row>
    <row r="315" s="32" customFormat="true" ht="13.8" hidden="false" customHeight="false" outlineLevel="0" collapsed="false">
      <c r="A315" s="18"/>
      <c r="B315" s="19" t="n">
        <v>334</v>
      </c>
      <c r="C315" s="20" t="n">
        <v>43181</v>
      </c>
      <c r="D315" s="21" t="s">
        <v>22</v>
      </c>
      <c r="E315" s="22" t="s">
        <v>399</v>
      </c>
      <c r="F315" s="23" t="s">
        <v>617</v>
      </c>
      <c r="G315" s="22" t="s">
        <v>25</v>
      </c>
      <c r="H315" s="24" t="s">
        <v>618</v>
      </c>
      <c r="I315" s="24" t="s">
        <v>49</v>
      </c>
      <c r="J315" s="25" t="n">
        <v>108.25</v>
      </c>
      <c r="K315" s="26" t="n">
        <v>1100000</v>
      </c>
      <c r="L315" s="27" t="n">
        <f aca="false">K315/J315</f>
        <v>10161.662817552</v>
      </c>
      <c r="M315" s="28" t="s">
        <v>205</v>
      </c>
      <c r="N315" s="29"/>
      <c r="O315" s="30" t="n">
        <f aca="false">K315+N315</f>
        <v>1100000</v>
      </c>
      <c r="P315" s="30" t="n">
        <f aca="false">ROUND(O315/J315, 2)</f>
        <v>10161.66</v>
      </c>
      <c r="Q315" s="25" t="s">
        <v>91</v>
      </c>
      <c r="R315" s="22" t="s">
        <v>49</v>
      </c>
      <c r="S315" s="25" t="s">
        <v>29</v>
      </c>
      <c r="T315" s="24" t="s">
        <v>30</v>
      </c>
      <c r="U315" s="31" t="s">
        <v>31</v>
      </c>
      <c r="V315" s="31" t="n">
        <v>43343</v>
      </c>
      <c r="W315" s="34"/>
      <c r="X315" s="34"/>
    </row>
    <row r="316" customFormat="false" ht="13.8" hidden="false" customHeight="false" outlineLevel="0" collapsed="false">
      <c r="A316" s="18"/>
      <c r="B316" s="19" t="n">
        <v>650</v>
      </c>
      <c r="C316" s="20" t="n">
        <v>43181</v>
      </c>
      <c r="D316" s="21" t="s">
        <v>22</v>
      </c>
      <c r="E316" s="22" t="s">
        <v>187</v>
      </c>
      <c r="F316" s="23" t="s">
        <v>271</v>
      </c>
      <c r="G316" s="22" t="s">
        <v>246</v>
      </c>
      <c r="H316" s="24" t="s">
        <v>177</v>
      </c>
      <c r="I316" s="24" t="s">
        <v>49</v>
      </c>
      <c r="J316" s="25" t="n">
        <v>18.92</v>
      </c>
      <c r="K316" s="26" t="n">
        <v>210000</v>
      </c>
      <c r="L316" s="27" t="n">
        <f aca="false">K316/J316</f>
        <v>11099.3657505285</v>
      </c>
      <c r="M316" s="28"/>
      <c r="N316" s="29"/>
      <c r="O316" s="30" t="n">
        <f aca="false">K316+N316</f>
        <v>210000</v>
      </c>
      <c r="P316" s="30" t="n">
        <f aca="false">ROUND(O316/J316, 2)</f>
        <v>11099.37</v>
      </c>
      <c r="Q316" s="25" t="s">
        <v>182</v>
      </c>
      <c r="R316" s="22" t="s">
        <v>27</v>
      </c>
      <c r="S316" s="25" t="s">
        <v>29</v>
      </c>
      <c r="T316" s="24" t="s">
        <v>30</v>
      </c>
      <c r="U316" s="31" t="s">
        <v>31</v>
      </c>
      <c r="V316" s="31" t="n">
        <v>43343</v>
      </c>
      <c r="W316" s="34"/>
      <c r="X316" s="34"/>
    </row>
    <row r="317" customFormat="false" ht="13.8" hidden="false" customHeight="false" outlineLevel="0" collapsed="false">
      <c r="A317" s="18"/>
      <c r="B317" s="19" t="n">
        <v>1730</v>
      </c>
      <c r="C317" s="20" t="n">
        <v>43181</v>
      </c>
      <c r="D317" s="21" t="s">
        <v>22</v>
      </c>
      <c r="E317" s="22" t="s">
        <v>65</v>
      </c>
      <c r="F317" s="23" t="s">
        <v>619</v>
      </c>
      <c r="G317" s="22" t="s">
        <v>26</v>
      </c>
      <c r="H317" s="24" t="s">
        <v>47</v>
      </c>
      <c r="I317" s="24" t="s">
        <v>25</v>
      </c>
      <c r="J317" s="25" t="n">
        <v>42.3</v>
      </c>
      <c r="K317" s="26" t="n">
        <v>220000</v>
      </c>
      <c r="L317" s="27" t="n">
        <f aca="false">K317/J317</f>
        <v>5200.94562647754</v>
      </c>
      <c r="M317" s="28"/>
      <c r="N317" s="29"/>
      <c r="O317" s="30" t="n">
        <f aca="false">K317+N317</f>
        <v>220000</v>
      </c>
      <c r="P317" s="30" t="n">
        <f aca="false">ROUND(O317/J317, 2)</f>
        <v>5200.95</v>
      </c>
      <c r="Q317" s="25" t="s">
        <v>620</v>
      </c>
      <c r="R317" s="22" t="s">
        <v>36</v>
      </c>
      <c r="S317" s="25" t="s">
        <v>29</v>
      </c>
      <c r="T317" s="24" t="s">
        <v>30</v>
      </c>
      <c r="U317" s="31" t="s">
        <v>31</v>
      </c>
      <c r="V317" s="31" t="n">
        <v>43343</v>
      </c>
      <c r="W317" s="34"/>
      <c r="X317" s="34"/>
    </row>
    <row r="318" customFormat="false" ht="13.8" hidden="false" customHeight="false" outlineLevel="0" collapsed="false">
      <c r="A318" s="18"/>
      <c r="B318" s="19" t="n">
        <v>2648</v>
      </c>
      <c r="C318" s="20" t="n">
        <v>43182</v>
      </c>
      <c r="D318" s="21" t="s">
        <v>22</v>
      </c>
      <c r="E318" s="22" t="s">
        <v>171</v>
      </c>
      <c r="F318" s="23" t="s">
        <v>130</v>
      </c>
      <c r="G318" s="22" t="s">
        <v>115</v>
      </c>
      <c r="H318" s="24" t="s">
        <v>57</v>
      </c>
      <c r="I318" s="24" t="s">
        <v>36</v>
      </c>
      <c r="J318" s="25" t="n">
        <v>64.88</v>
      </c>
      <c r="K318" s="26" t="n">
        <v>567000</v>
      </c>
      <c r="L318" s="27" t="n">
        <f aca="false">K318/J318</f>
        <v>8739.21085080148</v>
      </c>
      <c r="M318" s="28" t="s">
        <v>234</v>
      </c>
      <c r="N318" s="29"/>
      <c r="O318" s="30" t="n">
        <f aca="false">K318+N318</f>
        <v>567000</v>
      </c>
      <c r="P318" s="30" t="n">
        <f aca="false">ROUND(O318/J318, 2)</f>
        <v>8739.21</v>
      </c>
      <c r="Q318" s="25" t="s">
        <v>161</v>
      </c>
      <c r="R318" s="22" t="s">
        <v>36</v>
      </c>
      <c r="S318" s="25" t="s">
        <v>29</v>
      </c>
      <c r="T318" s="24" t="s">
        <v>30</v>
      </c>
      <c r="U318" s="31" t="s">
        <v>31</v>
      </c>
      <c r="V318" s="31" t="n">
        <v>43343</v>
      </c>
      <c r="W318" s="34"/>
      <c r="X318" s="34"/>
    </row>
    <row r="319" customFormat="false" ht="13.8" hidden="false" customHeight="false" outlineLevel="0" collapsed="false">
      <c r="A319" s="18"/>
      <c r="B319" s="19" t="s">
        <v>621</v>
      </c>
      <c r="C319" s="20" t="n">
        <v>43182</v>
      </c>
      <c r="D319" s="21" t="s">
        <v>22</v>
      </c>
      <c r="E319" s="22" t="s">
        <v>622</v>
      </c>
      <c r="F319" s="23" t="s">
        <v>38</v>
      </c>
      <c r="G319" s="22" t="s">
        <v>280</v>
      </c>
      <c r="H319" s="24" t="s">
        <v>280</v>
      </c>
      <c r="I319" s="24" t="s">
        <v>57</v>
      </c>
      <c r="J319" s="25" t="n">
        <v>58.6</v>
      </c>
      <c r="K319" s="26" t="n">
        <v>430000</v>
      </c>
      <c r="L319" s="27" t="n">
        <f aca="false">K319/J319</f>
        <v>7337.88395904437</v>
      </c>
      <c r="M319" s="28"/>
      <c r="N319" s="29"/>
      <c r="O319" s="30" t="n">
        <f aca="false">K319+N319</f>
        <v>430000</v>
      </c>
      <c r="P319" s="30" t="n">
        <f aca="false">ROUND(O319/J319, 2)</f>
        <v>7337.88</v>
      </c>
      <c r="Q319" s="25" t="s">
        <v>85</v>
      </c>
      <c r="R319" s="22" t="s">
        <v>26</v>
      </c>
      <c r="S319" s="25" t="s">
        <v>29</v>
      </c>
      <c r="T319" s="24" t="s">
        <v>30</v>
      </c>
      <c r="U319" s="31" t="s">
        <v>31</v>
      </c>
      <c r="V319" s="31" t="n">
        <v>43343</v>
      </c>
      <c r="W319" s="34"/>
      <c r="X319" s="34"/>
    </row>
    <row r="320" customFormat="false" ht="13.8" hidden="false" customHeight="false" outlineLevel="0" collapsed="false">
      <c r="A320" s="18"/>
      <c r="B320" s="19" t="n">
        <v>1880</v>
      </c>
      <c r="C320" s="20" t="n">
        <v>43182</v>
      </c>
      <c r="D320" s="21" t="s">
        <v>22</v>
      </c>
      <c r="E320" s="22" t="s">
        <v>623</v>
      </c>
      <c r="F320" s="23" t="s">
        <v>434</v>
      </c>
      <c r="G320" s="22" t="s">
        <v>624</v>
      </c>
      <c r="H320" s="24" t="s">
        <v>460</v>
      </c>
      <c r="I320" s="24" t="s">
        <v>82</v>
      </c>
      <c r="J320" s="25" t="n">
        <v>42.75</v>
      </c>
      <c r="K320" s="26" t="n">
        <v>580000</v>
      </c>
      <c r="L320" s="27" t="n">
        <f aca="false">K320/J320</f>
        <v>13567.2514619883</v>
      </c>
      <c r="M320" s="28" t="s">
        <v>360</v>
      </c>
      <c r="N320" s="29"/>
      <c r="O320" s="30" t="n">
        <f aca="false">K320+N320</f>
        <v>580000</v>
      </c>
      <c r="P320" s="30" t="n">
        <f aca="false">ROUND(O320/J320, 2)</f>
        <v>13567.25</v>
      </c>
      <c r="Q320" s="25" t="s">
        <v>161</v>
      </c>
      <c r="R320" s="22" t="s">
        <v>36</v>
      </c>
      <c r="S320" s="25" t="s">
        <v>29</v>
      </c>
      <c r="T320" s="24" t="s">
        <v>30</v>
      </c>
      <c r="U320" s="31" t="s">
        <v>31</v>
      </c>
      <c r="V320" s="31" t="n">
        <v>43343</v>
      </c>
      <c r="W320" s="18"/>
      <c r="X320" s="18"/>
    </row>
    <row r="321" customFormat="false" ht="13.8" hidden="false" customHeight="false" outlineLevel="0" collapsed="false">
      <c r="A321" s="18"/>
      <c r="B321" s="19" t="n">
        <v>3434</v>
      </c>
      <c r="C321" s="20" t="n">
        <v>43182</v>
      </c>
      <c r="D321" s="21" t="s">
        <v>22</v>
      </c>
      <c r="E321" s="22" t="s">
        <v>480</v>
      </c>
      <c r="F321" s="23" t="s">
        <v>335</v>
      </c>
      <c r="G321" s="22" t="s">
        <v>57</v>
      </c>
      <c r="H321" s="24" t="s">
        <v>200</v>
      </c>
      <c r="I321" s="24" t="s">
        <v>26</v>
      </c>
      <c r="J321" s="25" t="n">
        <v>142.01</v>
      </c>
      <c r="K321" s="26" t="n">
        <v>1000000</v>
      </c>
      <c r="L321" s="27" t="n">
        <f aca="false">K321/J321</f>
        <v>7041.75762270263</v>
      </c>
      <c r="M321" s="28" t="s">
        <v>64</v>
      </c>
      <c r="N321" s="29"/>
      <c r="O321" s="30" t="n">
        <f aca="false">K321+N321</f>
        <v>1000000</v>
      </c>
      <c r="P321" s="30" t="n">
        <f aca="false">ROUND(O321/J321, 2)</f>
        <v>7041.76</v>
      </c>
      <c r="Q321" s="25" t="s">
        <v>91</v>
      </c>
      <c r="R321" s="22" t="s">
        <v>49</v>
      </c>
      <c r="S321" s="25" t="s">
        <v>29</v>
      </c>
      <c r="T321" s="24" t="s">
        <v>30</v>
      </c>
      <c r="U321" s="31" t="s">
        <v>31</v>
      </c>
      <c r="V321" s="31" t="n">
        <v>43343</v>
      </c>
      <c r="W321" s="34"/>
      <c r="X321" s="34"/>
      <c r="AMJ321" s="32"/>
    </row>
    <row r="322" s="32" customFormat="true" ht="13.8" hidden="false" customHeight="false" outlineLevel="0" collapsed="false">
      <c r="A322" s="18"/>
      <c r="B322" s="19" t="n">
        <v>600</v>
      </c>
      <c r="C322" s="20" t="n">
        <v>43182</v>
      </c>
      <c r="D322" s="21" t="s">
        <v>22</v>
      </c>
      <c r="E322" s="22" t="s">
        <v>203</v>
      </c>
      <c r="F322" s="23" t="s">
        <v>625</v>
      </c>
      <c r="G322" s="22" t="s">
        <v>36</v>
      </c>
      <c r="H322" s="24" t="s">
        <v>36</v>
      </c>
      <c r="I322" s="24" t="s">
        <v>36</v>
      </c>
      <c r="J322" s="25" t="n">
        <v>54.8</v>
      </c>
      <c r="K322" s="26" t="n">
        <v>598000</v>
      </c>
      <c r="L322" s="27" t="n">
        <f aca="false">K322/J322</f>
        <v>10912.4087591241</v>
      </c>
      <c r="M322" s="28" t="s">
        <v>626</v>
      </c>
      <c r="N322" s="29" t="n">
        <v>2000</v>
      </c>
      <c r="O322" s="30" t="n">
        <f aca="false">K322+N322</f>
        <v>600000</v>
      </c>
      <c r="P322" s="30" t="n">
        <f aca="false">ROUND(O322/J322, 2)</f>
        <v>10948.91</v>
      </c>
      <c r="Q322" s="25" t="s">
        <v>627</v>
      </c>
      <c r="R322" s="22" t="s">
        <v>36</v>
      </c>
      <c r="S322" s="25" t="s">
        <v>29</v>
      </c>
      <c r="T322" s="24" t="s">
        <v>30</v>
      </c>
      <c r="U322" s="31" t="s">
        <v>31</v>
      </c>
      <c r="V322" s="31" t="n">
        <v>43343</v>
      </c>
      <c r="W322" s="18"/>
      <c r="X322" s="18"/>
    </row>
    <row r="323" customFormat="false" ht="13.8" hidden="false" customHeight="false" outlineLevel="0" collapsed="false">
      <c r="A323" s="18"/>
      <c r="B323" s="19" t="n">
        <v>1104</v>
      </c>
      <c r="C323" s="20" t="n">
        <v>43182</v>
      </c>
      <c r="D323" s="21" t="s">
        <v>22</v>
      </c>
      <c r="E323" s="22" t="s">
        <v>118</v>
      </c>
      <c r="F323" s="23" t="s">
        <v>462</v>
      </c>
      <c r="G323" s="22" t="s">
        <v>112</v>
      </c>
      <c r="H323" s="24" t="s">
        <v>181</v>
      </c>
      <c r="I323" s="24" t="s">
        <v>27</v>
      </c>
      <c r="J323" s="25" t="n">
        <v>43.65</v>
      </c>
      <c r="K323" s="26" t="n">
        <v>325000</v>
      </c>
      <c r="L323" s="27" t="n">
        <f aca="false">K323/J323</f>
        <v>7445.58991981672</v>
      </c>
      <c r="M323" s="28"/>
      <c r="N323" s="29"/>
      <c r="O323" s="30" t="n">
        <f aca="false">K323+N323</f>
        <v>325000</v>
      </c>
      <c r="P323" s="30" t="n">
        <f aca="false">ROUND(O323/J323, 2)</f>
        <v>7445.59</v>
      </c>
      <c r="Q323" s="25" t="s">
        <v>50</v>
      </c>
      <c r="R323" s="22" t="s">
        <v>36</v>
      </c>
      <c r="S323" s="25" t="s">
        <v>29</v>
      </c>
      <c r="T323" s="24" t="s">
        <v>30</v>
      </c>
      <c r="U323" s="31" t="s">
        <v>31</v>
      </c>
      <c r="V323" s="31" t="n">
        <v>43343</v>
      </c>
      <c r="W323" s="18"/>
      <c r="X323" s="18"/>
    </row>
    <row r="324" customFormat="false" ht="13.8" hidden="false" customHeight="false" outlineLevel="0" collapsed="false">
      <c r="A324" s="18"/>
      <c r="B324" s="19" t="n">
        <v>917</v>
      </c>
      <c r="C324" s="20" t="n">
        <v>43185</v>
      </c>
      <c r="D324" s="21" t="s">
        <v>22</v>
      </c>
      <c r="E324" s="22" t="s">
        <v>171</v>
      </c>
      <c r="F324" s="23" t="s">
        <v>628</v>
      </c>
      <c r="G324" s="22" t="s">
        <v>111</v>
      </c>
      <c r="H324" s="24" t="s">
        <v>629</v>
      </c>
      <c r="I324" s="24" t="s">
        <v>111</v>
      </c>
      <c r="J324" s="25" t="n">
        <v>51.2</v>
      </c>
      <c r="K324" s="26" t="n">
        <v>460000</v>
      </c>
      <c r="L324" s="27" t="n">
        <f aca="false">K324/J324</f>
        <v>8984.375</v>
      </c>
      <c r="M324" s="28"/>
      <c r="N324" s="29"/>
      <c r="O324" s="30" t="n">
        <f aca="false">K324+N324</f>
        <v>460000</v>
      </c>
      <c r="P324" s="30" t="n">
        <f aca="false">ROUND(O324/J324, 2)</f>
        <v>8984.38</v>
      </c>
      <c r="Q324" s="25" t="s">
        <v>85</v>
      </c>
      <c r="R324" s="22" t="s">
        <v>26</v>
      </c>
      <c r="S324" s="25" t="s">
        <v>29</v>
      </c>
      <c r="T324" s="24" t="s">
        <v>30</v>
      </c>
      <c r="U324" s="31" t="s">
        <v>31</v>
      </c>
      <c r="V324" s="31" t="n">
        <v>43343</v>
      </c>
      <c r="W324" s="18"/>
      <c r="X324" s="18"/>
    </row>
    <row r="325" customFormat="false" ht="13.8" hidden="false" customHeight="false" outlineLevel="0" collapsed="false">
      <c r="A325" s="18"/>
      <c r="B325" s="19" t="n">
        <v>694</v>
      </c>
      <c r="C325" s="20" t="n">
        <v>43185</v>
      </c>
      <c r="D325" s="21" t="s">
        <v>22</v>
      </c>
      <c r="E325" s="22" t="s">
        <v>235</v>
      </c>
      <c r="F325" s="23" t="s">
        <v>236</v>
      </c>
      <c r="G325" s="22" t="s">
        <v>82</v>
      </c>
      <c r="H325" s="24" t="s">
        <v>78</v>
      </c>
      <c r="I325" s="24" t="s">
        <v>26</v>
      </c>
      <c r="J325" s="25" t="n">
        <f aca="false">20.6</f>
        <v>20.6</v>
      </c>
      <c r="K325" s="26" t="n">
        <v>243000</v>
      </c>
      <c r="L325" s="27" t="n">
        <f aca="false">K325/J325</f>
        <v>11796.1165048544</v>
      </c>
      <c r="M325" s="28"/>
      <c r="N325" s="29"/>
      <c r="O325" s="30" t="n">
        <f aca="false">K325+N325</f>
        <v>243000</v>
      </c>
      <c r="P325" s="30" t="n">
        <f aca="false">ROUND(O325/J325, 2)</f>
        <v>11796.12</v>
      </c>
      <c r="Q325" s="25" t="s">
        <v>41</v>
      </c>
      <c r="R325" s="22" t="s">
        <v>27</v>
      </c>
      <c r="S325" s="25" t="s">
        <v>29</v>
      </c>
      <c r="T325" s="24" t="s">
        <v>30</v>
      </c>
      <c r="U325" s="31" t="s">
        <v>31</v>
      </c>
      <c r="V325" s="31" t="n">
        <v>43343</v>
      </c>
      <c r="W325" s="18"/>
      <c r="X325" s="18"/>
      <c r="AMJ325" s="32"/>
    </row>
    <row r="326" s="32" customFormat="true" ht="13.8" hidden="false" customHeight="false" outlineLevel="0" collapsed="false">
      <c r="A326" s="18"/>
      <c r="B326" s="19" t="n">
        <v>1974</v>
      </c>
      <c r="C326" s="20" t="n">
        <v>43185</v>
      </c>
      <c r="D326" s="21" t="s">
        <v>22</v>
      </c>
      <c r="E326" s="22" t="s">
        <v>65</v>
      </c>
      <c r="F326" s="23" t="s">
        <v>630</v>
      </c>
      <c r="G326" s="22" t="s">
        <v>57</v>
      </c>
      <c r="H326" s="24" t="s">
        <v>300</v>
      </c>
      <c r="I326" s="24" t="s">
        <v>101</v>
      </c>
      <c r="J326" s="25" t="n">
        <v>56.2</v>
      </c>
      <c r="K326" s="26" t="n">
        <v>369000</v>
      </c>
      <c r="L326" s="27" t="n">
        <f aca="false">K326/J326</f>
        <v>6565.83629893238</v>
      </c>
      <c r="M326" s="28"/>
      <c r="N326" s="29"/>
      <c r="O326" s="30" t="n">
        <f aca="false">K326+N326</f>
        <v>369000</v>
      </c>
      <c r="P326" s="30" t="n">
        <f aca="false">ROUND(O326/J326, 2)</f>
        <v>6565.84</v>
      </c>
      <c r="Q326" s="25" t="s">
        <v>85</v>
      </c>
      <c r="R326" s="22" t="s">
        <v>26</v>
      </c>
      <c r="S326" s="25" t="s">
        <v>29</v>
      </c>
      <c r="T326" s="24" t="s">
        <v>30</v>
      </c>
      <c r="U326" s="31" t="s">
        <v>31</v>
      </c>
      <c r="V326" s="31" t="n">
        <v>43343</v>
      </c>
      <c r="W326" s="18"/>
      <c r="X326" s="18"/>
    </row>
    <row r="327" s="32" customFormat="true" ht="13.8" hidden="false" customHeight="false" outlineLevel="0" collapsed="false">
      <c r="A327" s="18"/>
      <c r="B327" s="19" t="n">
        <v>1915</v>
      </c>
      <c r="C327" s="20" t="n">
        <v>43185</v>
      </c>
      <c r="D327" s="21" t="s">
        <v>22</v>
      </c>
      <c r="E327" s="22" t="s">
        <v>623</v>
      </c>
      <c r="F327" s="23" t="s">
        <v>434</v>
      </c>
      <c r="G327" s="22" t="s">
        <v>631</v>
      </c>
      <c r="H327" s="24" t="s">
        <v>632</v>
      </c>
      <c r="I327" s="24" t="s">
        <v>112</v>
      </c>
      <c r="J327" s="25" t="n">
        <v>53.6</v>
      </c>
      <c r="K327" s="26" t="n">
        <v>650000</v>
      </c>
      <c r="L327" s="27" t="n">
        <f aca="false">K327/J327</f>
        <v>12126.8656716418</v>
      </c>
      <c r="M327" s="28" t="s">
        <v>360</v>
      </c>
      <c r="N327" s="29"/>
      <c r="O327" s="30" t="n">
        <f aca="false">K327+N327</f>
        <v>650000</v>
      </c>
      <c r="P327" s="30" t="n">
        <f aca="false">ROUND(O327/J327, 2)</f>
        <v>12126.87</v>
      </c>
      <c r="Q327" s="25" t="s">
        <v>50</v>
      </c>
      <c r="R327" s="22" t="s">
        <v>36</v>
      </c>
      <c r="S327" s="25" t="s">
        <v>29</v>
      </c>
      <c r="T327" s="24" t="s">
        <v>30</v>
      </c>
      <c r="U327" s="31" t="s">
        <v>31</v>
      </c>
      <c r="V327" s="31" t="n">
        <v>43343</v>
      </c>
      <c r="W327" s="18"/>
      <c r="X327" s="18"/>
    </row>
    <row r="328" s="32" customFormat="true" ht="13.8" hidden="false" customHeight="false" outlineLevel="0" collapsed="false">
      <c r="A328" s="18"/>
      <c r="B328" s="19" t="n">
        <v>1102</v>
      </c>
      <c r="C328" s="20" t="n">
        <v>43185</v>
      </c>
      <c r="D328" s="21" t="s">
        <v>22</v>
      </c>
      <c r="E328" s="22" t="s">
        <v>61</v>
      </c>
      <c r="F328" s="23" t="s">
        <v>361</v>
      </c>
      <c r="G328" s="22" t="s">
        <v>213</v>
      </c>
      <c r="H328" s="24" t="s">
        <v>587</v>
      </c>
      <c r="I328" s="24" t="s">
        <v>143</v>
      </c>
      <c r="J328" s="25" t="n">
        <v>53.31</v>
      </c>
      <c r="K328" s="26" t="n">
        <v>430000</v>
      </c>
      <c r="L328" s="27" t="n">
        <f aca="false">K328/J328</f>
        <v>8066.02888763834</v>
      </c>
      <c r="M328" s="28"/>
      <c r="N328" s="29"/>
      <c r="O328" s="30" t="n">
        <f aca="false">K328+N328</f>
        <v>430000</v>
      </c>
      <c r="P328" s="30" t="n">
        <f aca="false">ROUND(O328/J328, 2)</f>
        <v>8066.03</v>
      </c>
      <c r="Q328" s="25" t="s">
        <v>85</v>
      </c>
      <c r="R328" s="22" t="s">
        <v>26</v>
      </c>
      <c r="S328" s="25" t="s">
        <v>29</v>
      </c>
      <c r="T328" s="24" t="s">
        <v>30</v>
      </c>
      <c r="U328" s="31" t="s">
        <v>31</v>
      </c>
      <c r="V328" s="31" t="n">
        <v>43343</v>
      </c>
      <c r="W328" s="18"/>
      <c r="X328" s="18"/>
    </row>
    <row r="329" customFormat="false" ht="13.8" hidden="false" customHeight="false" outlineLevel="0" collapsed="false">
      <c r="A329" s="18"/>
      <c r="B329" s="19" t="n">
        <v>926</v>
      </c>
      <c r="C329" s="20" t="n">
        <v>43185</v>
      </c>
      <c r="D329" s="21" t="s">
        <v>22</v>
      </c>
      <c r="E329" s="22" t="s">
        <v>93</v>
      </c>
      <c r="F329" s="23" t="s">
        <v>272</v>
      </c>
      <c r="G329" s="22" t="s">
        <v>55</v>
      </c>
      <c r="H329" s="24" t="s">
        <v>180</v>
      </c>
      <c r="I329" s="24" t="s">
        <v>82</v>
      </c>
      <c r="J329" s="25" t="n">
        <f aca="false">143.8-33</f>
        <v>110.8</v>
      </c>
      <c r="K329" s="26" t="n">
        <v>725000</v>
      </c>
      <c r="L329" s="27" t="n">
        <f aca="false">K329/J329</f>
        <v>6543.32129963899</v>
      </c>
      <c r="M329" s="28" t="s">
        <v>633</v>
      </c>
      <c r="N329" s="29"/>
      <c r="O329" s="30" t="n">
        <f aca="false">K329+N329</f>
        <v>725000</v>
      </c>
      <c r="P329" s="30" t="n">
        <f aca="false">ROUND(O329/J329, 2)</f>
        <v>6543.32</v>
      </c>
      <c r="Q329" s="25" t="s">
        <v>151</v>
      </c>
      <c r="R329" s="22" t="s">
        <v>49</v>
      </c>
      <c r="S329" s="25" t="s">
        <v>29</v>
      </c>
      <c r="T329" s="24" t="s">
        <v>30</v>
      </c>
      <c r="U329" s="31" t="s">
        <v>31</v>
      </c>
      <c r="V329" s="31" t="n">
        <v>43343</v>
      </c>
      <c r="W329" s="34" t="s">
        <v>634</v>
      </c>
      <c r="X329" s="18"/>
    </row>
    <row r="330" customFormat="false" ht="13.8" hidden="false" customHeight="false" outlineLevel="0" collapsed="false">
      <c r="A330" s="18"/>
      <c r="B330" s="19" t="n">
        <v>3866</v>
      </c>
      <c r="C330" s="20" t="n">
        <v>43186</v>
      </c>
      <c r="D330" s="21" t="s">
        <v>22</v>
      </c>
      <c r="E330" s="22" t="s">
        <v>178</v>
      </c>
      <c r="F330" s="23" t="s">
        <v>513</v>
      </c>
      <c r="G330" s="22" t="s">
        <v>49</v>
      </c>
      <c r="H330" s="24" t="s">
        <v>635</v>
      </c>
      <c r="I330" s="24" t="s">
        <v>49</v>
      </c>
      <c r="J330" s="25" t="n">
        <v>34.37</v>
      </c>
      <c r="K330" s="26" t="n">
        <v>300000</v>
      </c>
      <c r="L330" s="27" t="n">
        <f aca="false">K330/J330</f>
        <v>8728.54233343032</v>
      </c>
      <c r="M330" s="28"/>
      <c r="N330" s="29"/>
      <c r="O330" s="30" t="n">
        <f aca="false">K330+N330</f>
        <v>300000</v>
      </c>
      <c r="P330" s="30" t="n">
        <f aca="false">ROUND(O330/J330, 2)</f>
        <v>8728.54</v>
      </c>
      <c r="Q330" s="25" t="s">
        <v>41</v>
      </c>
      <c r="R330" s="22" t="s">
        <v>27</v>
      </c>
      <c r="S330" s="25" t="s">
        <v>29</v>
      </c>
      <c r="T330" s="24" t="s">
        <v>30</v>
      </c>
      <c r="U330" s="31" t="s">
        <v>31</v>
      </c>
      <c r="V330" s="31" t="n">
        <v>43343</v>
      </c>
      <c r="W330" s="18"/>
      <c r="X330" s="18"/>
    </row>
    <row r="331" customFormat="false" ht="13.8" hidden="false" customHeight="false" outlineLevel="0" collapsed="false">
      <c r="A331" s="18"/>
      <c r="B331" s="19" t="n">
        <v>2825</v>
      </c>
      <c r="C331" s="20" t="n">
        <v>43186</v>
      </c>
      <c r="D331" s="21" t="s">
        <v>22</v>
      </c>
      <c r="E331" s="22" t="s">
        <v>148</v>
      </c>
      <c r="F331" s="23" t="s">
        <v>195</v>
      </c>
      <c r="G331" s="22" t="s">
        <v>154</v>
      </c>
      <c r="H331" s="24" t="s">
        <v>141</v>
      </c>
      <c r="I331" s="24" t="s">
        <v>49</v>
      </c>
      <c r="J331" s="25" t="n">
        <v>31.06</v>
      </c>
      <c r="K331" s="26" t="n">
        <v>275001</v>
      </c>
      <c r="L331" s="27" t="n">
        <f aca="false">K331/J331</f>
        <v>8853.86349001932</v>
      </c>
      <c r="M331" s="28"/>
      <c r="N331" s="29"/>
      <c r="O331" s="30" t="n">
        <f aca="false">K331+N331</f>
        <v>275001</v>
      </c>
      <c r="P331" s="30" t="n">
        <f aca="false">ROUND(O331/J331, 2)</f>
        <v>8853.86</v>
      </c>
      <c r="Q331" s="25" t="s">
        <v>41</v>
      </c>
      <c r="R331" s="22" t="s">
        <v>27</v>
      </c>
      <c r="S331" s="25" t="s">
        <v>29</v>
      </c>
      <c r="T331" s="24" t="s">
        <v>30</v>
      </c>
      <c r="U331" s="31" t="s">
        <v>31</v>
      </c>
      <c r="V331" s="31" t="n">
        <v>43343</v>
      </c>
      <c r="W331" s="34"/>
      <c r="X331" s="34"/>
      <c r="Z331" s="33"/>
    </row>
    <row r="332" customFormat="false" ht="13.8" hidden="false" customHeight="false" outlineLevel="0" collapsed="false">
      <c r="A332" s="18"/>
      <c r="B332" s="19" t="n">
        <v>839</v>
      </c>
      <c r="C332" s="20" t="n">
        <v>43186</v>
      </c>
      <c r="D332" s="21" t="s">
        <v>22</v>
      </c>
      <c r="E332" s="22" t="s">
        <v>547</v>
      </c>
      <c r="F332" s="23" t="s">
        <v>548</v>
      </c>
      <c r="G332" s="22" t="s">
        <v>27</v>
      </c>
      <c r="H332" s="24" t="s">
        <v>143</v>
      </c>
      <c r="I332" s="24" t="s">
        <v>26</v>
      </c>
      <c r="J332" s="25" t="n">
        <v>81.95</v>
      </c>
      <c r="K332" s="26" t="n">
        <v>500000</v>
      </c>
      <c r="L332" s="27" t="n">
        <f aca="false">K332/J332</f>
        <v>6101.2812690665</v>
      </c>
      <c r="M332" s="28"/>
      <c r="N332" s="29"/>
      <c r="O332" s="30" t="n">
        <f aca="false">K332+N332</f>
        <v>500000</v>
      </c>
      <c r="P332" s="30" t="n">
        <f aca="false">ROUND(O332/J332, 2)</f>
        <v>6101.28</v>
      </c>
      <c r="Q332" s="25" t="s">
        <v>91</v>
      </c>
      <c r="R332" s="22" t="s">
        <v>49</v>
      </c>
      <c r="S332" s="25" t="s">
        <v>29</v>
      </c>
      <c r="T332" s="24" t="s">
        <v>30</v>
      </c>
      <c r="U332" s="31" t="s">
        <v>31</v>
      </c>
      <c r="V332" s="31" t="n">
        <v>43343</v>
      </c>
      <c r="W332" s="34"/>
      <c r="X332" s="34"/>
    </row>
    <row r="333" customFormat="false" ht="13.8" hidden="false" customHeight="false" outlineLevel="0" collapsed="false">
      <c r="A333" s="18"/>
      <c r="B333" s="19" t="n">
        <v>276</v>
      </c>
      <c r="C333" s="20" t="n">
        <v>43186</v>
      </c>
      <c r="D333" s="21" t="s">
        <v>22</v>
      </c>
      <c r="E333" s="22" t="s">
        <v>175</v>
      </c>
      <c r="F333" s="23" t="s">
        <v>176</v>
      </c>
      <c r="G333" s="22" t="s">
        <v>636</v>
      </c>
      <c r="H333" s="24" t="s">
        <v>146</v>
      </c>
      <c r="I333" s="24" t="s">
        <v>57</v>
      </c>
      <c r="J333" s="25" t="n">
        <v>41.4</v>
      </c>
      <c r="K333" s="26" t="n">
        <v>300000</v>
      </c>
      <c r="L333" s="27" t="n">
        <f aca="false">K333/J333</f>
        <v>7246.3768115942</v>
      </c>
      <c r="M333" s="28"/>
      <c r="N333" s="29"/>
      <c r="O333" s="30" t="n">
        <f aca="false">K333+N333</f>
        <v>300000</v>
      </c>
      <c r="P333" s="30" t="n">
        <f aca="false">ROUND(O333/J333, 2)</f>
        <v>7246.38</v>
      </c>
      <c r="Q333" s="25" t="s">
        <v>50</v>
      </c>
      <c r="R333" s="22" t="s">
        <v>36</v>
      </c>
      <c r="S333" s="25" t="s">
        <v>29</v>
      </c>
      <c r="T333" s="24" t="s">
        <v>30</v>
      </c>
      <c r="U333" s="31" t="s">
        <v>31</v>
      </c>
      <c r="V333" s="31" t="n">
        <v>43343</v>
      </c>
      <c r="W333" s="34"/>
      <c r="X333" s="34"/>
    </row>
    <row r="334" customFormat="false" ht="13.8" hidden="false" customHeight="false" outlineLevel="0" collapsed="false">
      <c r="A334" s="18"/>
      <c r="B334" s="19" t="n">
        <v>2186</v>
      </c>
      <c r="C334" s="20" t="n">
        <v>43186</v>
      </c>
      <c r="D334" s="21" t="s">
        <v>22</v>
      </c>
      <c r="E334" s="22" t="s">
        <v>637</v>
      </c>
      <c r="F334" s="42" t="s">
        <v>638</v>
      </c>
      <c r="G334" s="22" t="s">
        <v>101</v>
      </c>
      <c r="H334" s="24" t="s">
        <v>197</v>
      </c>
      <c r="I334" s="24" t="s">
        <v>36</v>
      </c>
      <c r="J334" s="25" t="n">
        <v>78.33</v>
      </c>
      <c r="K334" s="26" t="n">
        <v>890000</v>
      </c>
      <c r="L334" s="27" t="n">
        <f aca="false">K334/J334</f>
        <v>11362.1856249202</v>
      </c>
      <c r="M334" s="28" t="s">
        <v>639</v>
      </c>
      <c r="N334" s="29"/>
      <c r="O334" s="30" t="n">
        <f aca="false">K334+N334</f>
        <v>890000</v>
      </c>
      <c r="P334" s="30" t="n">
        <f aca="false">ROUND(O334/J334, 2)</f>
        <v>11362.19</v>
      </c>
      <c r="Q334" s="25" t="s">
        <v>85</v>
      </c>
      <c r="R334" s="22" t="s">
        <v>26</v>
      </c>
      <c r="S334" s="25" t="s">
        <v>29</v>
      </c>
      <c r="T334" s="24" t="s">
        <v>30</v>
      </c>
      <c r="U334" s="31" t="s">
        <v>31</v>
      </c>
      <c r="V334" s="31" t="n">
        <v>43343</v>
      </c>
      <c r="W334" s="34"/>
      <c r="X334" s="34"/>
    </row>
    <row r="335" customFormat="false" ht="13.8" hidden="false" customHeight="false" outlineLevel="0" collapsed="false">
      <c r="A335" s="18"/>
      <c r="B335" s="19" t="n">
        <v>919</v>
      </c>
      <c r="C335" s="20" t="n">
        <v>43186</v>
      </c>
      <c r="D335" s="21" t="s">
        <v>22</v>
      </c>
      <c r="E335" s="22" t="s">
        <v>308</v>
      </c>
      <c r="F335" s="23" t="s">
        <v>46</v>
      </c>
      <c r="G335" s="22" t="s">
        <v>640</v>
      </c>
      <c r="H335" s="24" t="s">
        <v>196</v>
      </c>
      <c r="I335" s="24" t="s">
        <v>36</v>
      </c>
      <c r="J335" s="25" t="n">
        <v>67.92</v>
      </c>
      <c r="K335" s="26" t="n">
        <v>510000</v>
      </c>
      <c r="L335" s="27" t="n">
        <f aca="false">K335/J335</f>
        <v>7508.83392226148</v>
      </c>
      <c r="M335" s="28"/>
      <c r="N335" s="29"/>
      <c r="O335" s="30" t="n">
        <f aca="false">K335+N335</f>
        <v>510000</v>
      </c>
      <c r="P335" s="30" t="n">
        <f aca="false">ROUND(O335/J335, 2)</f>
        <v>7508.83</v>
      </c>
      <c r="Q335" s="25" t="s">
        <v>85</v>
      </c>
      <c r="R335" s="22" t="s">
        <v>26</v>
      </c>
      <c r="S335" s="25" t="s">
        <v>29</v>
      </c>
      <c r="T335" s="24" t="s">
        <v>30</v>
      </c>
      <c r="U335" s="31" t="s">
        <v>31</v>
      </c>
      <c r="V335" s="31" t="n">
        <v>43343</v>
      </c>
      <c r="W335" s="18"/>
      <c r="X335" s="18"/>
    </row>
    <row r="336" customFormat="false" ht="13.8" hidden="false" customHeight="false" outlineLevel="0" collapsed="false">
      <c r="A336" s="18"/>
      <c r="B336" s="19" t="n">
        <v>834</v>
      </c>
      <c r="C336" s="20" t="n">
        <v>43186</v>
      </c>
      <c r="D336" s="21" t="s">
        <v>22</v>
      </c>
      <c r="E336" s="22" t="s">
        <v>45</v>
      </c>
      <c r="F336" s="23" t="s">
        <v>641</v>
      </c>
      <c r="G336" s="22" t="s">
        <v>25</v>
      </c>
      <c r="H336" s="24" t="s">
        <v>27</v>
      </c>
      <c r="I336" s="24" t="s">
        <v>27</v>
      </c>
      <c r="J336" s="25" t="n">
        <v>86.53</v>
      </c>
      <c r="K336" s="26" t="n">
        <v>740000</v>
      </c>
      <c r="L336" s="27" t="n">
        <f aca="false">K336/J336</f>
        <v>8551.94730151393</v>
      </c>
      <c r="M336" s="28" t="s">
        <v>64</v>
      </c>
      <c r="N336" s="29"/>
      <c r="O336" s="30" t="n">
        <f aca="false">K336+N336</f>
        <v>740000</v>
      </c>
      <c r="P336" s="30" t="n">
        <f aca="false">ROUND(O336/J336, 2)</f>
        <v>8551.95</v>
      </c>
      <c r="Q336" s="25" t="s">
        <v>91</v>
      </c>
      <c r="R336" s="22" t="s">
        <v>49</v>
      </c>
      <c r="S336" s="25" t="s">
        <v>29</v>
      </c>
      <c r="T336" s="24" t="s">
        <v>30</v>
      </c>
      <c r="U336" s="31" t="s">
        <v>31</v>
      </c>
      <c r="V336" s="31" t="n">
        <v>43343</v>
      </c>
      <c r="W336" s="18"/>
      <c r="X336" s="18"/>
    </row>
    <row r="337" customFormat="false" ht="13.8" hidden="false" customHeight="false" outlineLevel="0" collapsed="false">
      <c r="A337" s="18"/>
      <c r="B337" s="19" t="n">
        <v>1595</v>
      </c>
      <c r="C337" s="20" t="n">
        <v>43186</v>
      </c>
      <c r="D337" s="21" t="s">
        <v>22</v>
      </c>
      <c r="E337" s="22" t="s">
        <v>299</v>
      </c>
      <c r="F337" s="23" t="s">
        <v>642</v>
      </c>
      <c r="G337" s="22" t="s">
        <v>643</v>
      </c>
      <c r="H337" s="24" t="s">
        <v>141</v>
      </c>
      <c r="I337" s="24" t="s">
        <v>49</v>
      </c>
      <c r="J337" s="25" t="n">
        <v>34.7</v>
      </c>
      <c r="K337" s="26" t="n">
        <v>360000</v>
      </c>
      <c r="L337" s="27" t="n">
        <f aca="false">K337/J337</f>
        <v>10374.6397694525</v>
      </c>
      <c r="M337" s="28"/>
      <c r="N337" s="29"/>
      <c r="O337" s="30" t="n">
        <f aca="false">K337+N337</f>
        <v>360000</v>
      </c>
      <c r="P337" s="30" t="n">
        <f aca="false">ROUND(O337/J337, 2)</f>
        <v>10374.64</v>
      </c>
      <c r="Q337" s="25" t="s">
        <v>41</v>
      </c>
      <c r="R337" s="22" t="s">
        <v>27</v>
      </c>
      <c r="S337" s="25" t="s">
        <v>29</v>
      </c>
      <c r="T337" s="24" t="s">
        <v>30</v>
      </c>
      <c r="U337" s="31" t="s">
        <v>31</v>
      </c>
      <c r="V337" s="31" t="n">
        <v>43343</v>
      </c>
      <c r="W337" s="18"/>
      <c r="X337" s="18"/>
      <c r="AMJ337" s="32"/>
    </row>
    <row r="338" s="32" customFormat="true" ht="13.8" hidden="false" customHeight="false" outlineLevel="0" collapsed="false">
      <c r="A338" s="18"/>
      <c r="B338" s="19" t="n">
        <v>3688</v>
      </c>
      <c r="C338" s="20" t="n">
        <v>43187</v>
      </c>
      <c r="D338" s="21" t="s">
        <v>22</v>
      </c>
      <c r="E338" s="22" t="s">
        <v>644</v>
      </c>
      <c r="F338" s="23" t="s">
        <v>94</v>
      </c>
      <c r="G338" s="22" t="s">
        <v>645</v>
      </c>
      <c r="H338" s="24" t="s">
        <v>95</v>
      </c>
      <c r="I338" s="24" t="s">
        <v>49</v>
      </c>
      <c r="J338" s="25" t="n">
        <v>52</v>
      </c>
      <c r="K338" s="26" t="n">
        <v>435000</v>
      </c>
      <c r="L338" s="27" t="n">
        <f aca="false">K338/J338</f>
        <v>8365.38461538462</v>
      </c>
      <c r="M338" s="28" t="s">
        <v>64</v>
      </c>
      <c r="N338" s="29"/>
      <c r="O338" s="30" t="n">
        <f aca="false">K338+N338</f>
        <v>435000</v>
      </c>
      <c r="P338" s="30" t="n">
        <f aca="false">ROUND(O338/J338, 2)</f>
        <v>8365.38</v>
      </c>
      <c r="Q338" s="25" t="s">
        <v>85</v>
      </c>
      <c r="R338" s="22" t="s">
        <v>26</v>
      </c>
      <c r="S338" s="25" t="s">
        <v>29</v>
      </c>
      <c r="T338" s="24" t="s">
        <v>30</v>
      </c>
      <c r="U338" s="31" t="s">
        <v>31</v>
      </c>
      <c r="V338" s="31" t="n">
        <v>43343</v>
      </c>
      <c r="W338" s="18"/>
      <c r="X338" s="18"/>
    </row>
    <row r="339" s="32" customFormat="true" ht="13.8" hidden="false" customHeight="false" outlineLevel="0" collapsed="false">
      <c r="A339" s="18"/>
      <c r="B339" s="19" t="n">
        <v>4775</v>
      </c>
      <c r="C339" s="20" t="n">
        <v>43187</v>
      </c>
      <c r="D339" s="21" t="s">
        <v>22</v>
      </c>
      <c r="E339" s="22" t="s">
        <v>23</v>
      </c>
      <c r="F339" s="23" t="s">
        <v>94</v>
      </c>
      <c r="G339" s="22" t="s">
        <v>88</v>
      </c>
      <c r="H339" s="24" t="s">
        <v>464</v>
      </c>
      <c r="I339" s="24" t="s">
        <v>57</v>
      </c>
      <c r="J339" s="25" t="n">
        <v>36.7</v>
      </c>
      <c r="K339" s="26" t="n">
        <v>350000</v>
      </c>
      <c r="L339" s="27" t="n">
        <f aca="false">K339/J339</f>
        <v>9536.78474114441</v>
      </c>
      <c r="M339" s="28"/>
      <c r="N339" s="29"/>
      <c r="O339" s="30" t="n">
        <f aca="false">K339+N339</f>
        <v>350000</v>
      </c>
      <c r="P339" s="30" t="n">
        <f aca="false">ROUND(O339/J339, 2)</f>
        <v>9536.78</v>
      </c>
      <c r="Q339" s="25" t="s">
        <v>50</v>
      </c>
      <c r="R339" s="22" t="s">
        <v>36</v>
      </c>
      <c r="S339" s="25" t="s">
        <v>29</v>
      </c>
      <c r="T339" s="24" t="s">
        <v>30</v>
      </c>
      <c r="U339" s="31" t="s">
        <v>31</v>
      </c>
      <c r="V339" s="31" t="n">
        <v>43343</v>
      </c>
      <c r="W339" s="18"/>
      <c r="X339" s="18"/>
    </row>
    <row r="340" s="32" customFormat="true" ht="13.8" hidden="false" customHeight="false" outlineLevel="0" collapsed="false">
      <c r="A340" s="18"/>
      <c r="B340" s="19" t="n">
        <v>1166</v>
      </c>
      <c r="C340" s="20" t="n">
        <v>43187</v>
      </c>
      <c r="D340" s="21" t="s">
        <v>22</v>
      </c>
      <c r="E340" s="22" t="s">
        <v>229</v>
      </c>
      <c r="F340" s="23" t="s">
        <v>357</v>
      </c>
      <c r="G340" s="22" t="s">
        <v>146</v>
      </c>
      <c r="H340" s="24" t="s">
        <v>259</v>
      </c>
      <c r="I340" s="24" t="s">
        <v>25</v>
      </c>
      <c r="J340" s="25" t="n">
        <v>43.3</v>
      </c>
      <c r="K340" s="26" t="n">
        <v>330000</v>
      </c>
      <c r="L340" s="27" t="n">
        <f aca="false">K340/J340</f>
        <v>7621.24711316397</v>
      </c>
      <c r="M340" s="28"/>
      <c r="N340" s="29"/>
      <c r="O340" s="30" t="n">
        <f aca="false">K340+N340</f>
        <v>330000</v>
      </c>
      <c r="P340" s="30" t="n">
        <f aca="false">ROUND(O340/J340, 2)</f>
        <v>7621.25</v>
      </c>
      <c r="Q340" s="25" t="s">
        <v>50</v>
      </c>
      <c r="R340" s="22" t="s">
        <v>36</v>
      </c>
      <c r="S340" s="25" t="s">
        <v>29</v>
      </c>
      <c r="T340" s="24" t="s">
        <v>30</v>
      </c>
      <c r="U340" s="31" t="s">
        <v>31</v>
      </c>
      <c r="V340" s="31" t="n">
        <v>43343</v>
      </c>
      <c r="W340" s="18"/>
      <c r="X340" s="18"/>
    </row>
    <row r="341" s="32" customFormat="true" ht="13.8" hidden="false" customHeight="false" outlineLevel="0" collapsed="false">
      <c r="A341" s="18"/>
      <c r="B341" s="19" t="n">
        <v>4300</v>
      </c>
      <c r="C341" s="20" t="n">
        <v>43187</v>
      </c>
      <c r="D341" s="21" t="s">
        <v>22</v>
      </c>
      <c r="E341" s="22" t="s">
        <v>646</v>
      </c>
      <c r="F341" s="23" t="s">
        <v>647</v>
      </c>
      <c r="G341" s="22" t="s">
        <v>141</v>
      </c>
      <c r="H341" s="24" t="s">
        <v>26</v>
      </c>
      <c r="I341" s="24" t="s">
        <v>36</v>
      </c>
      <c r="J341" s="25" t="n">
        <f aca="false">174.4-19.75-17.4</f>
        <v>137.25</v>
      </c>
      <c r="K341" s="26" t="n">
        <v>1045000</v>
      </c>
      <c r="L341" s="27" t="n">
        <f aca="false">K341/J341</f>
        <v>7613.84335154827</v>
      </c>
      <c r="M341" s="28" t="s">
        <v>648</v>
      </c>
      <c r="N341" s="29"/>
      <c r="O341" s="30" t="n">
        <f aca="false">K341+N341</f>
        <v>1045000</v>
      </c>
      <c r="P341" s="30" t="n">
        <f aca="false">ROUND(O341/J341, 2)</f>
        <v>7613.84</v>
      </c>
      <c r="Q341" s="25" t="s">
        <v>649</v>
      </c>
      <c r="R341" s="22" t="s">
        <v>57</v>
      </c>
      <c r="S341" s="25" t="s">
        <v>29</v>
      </c>
      <c r="T341" s="24" t="s">
        <v>30</v>
      </c>
      <c r="U341" s="31" t="s">
        <v>31</v>
      </c>
      <c r="V341" s="31" t="n">
        <v>43343</v>
      </c>
      <c r="W341" s="34" t="s">
        <v>650</v>
      </c>
      <c r="X341" s="34"/>
    </row>
    <row r="342" s="32" customFormat="true" ht="13.8" hidden="false" customHeight="false" outlineLevel="0" collapsed="false">
      <c r="A342" s="18" t="n">
        <v>111011</v>
      </c>
      <c r="B342" s="19" t="n">
        <v>701</v>
      </c>
      <c r="C342" s="20" t="n">
        <v>43187</v>
      </c>
      <c r="D342" s="21" t="s">
        <v>22</v>
      </c>
      <c r="E342" s="22" t="s">
        <v>175</v>
      </c>
      <c r="F342" s="23" t="s">
        <v>176</v>
      </c>
      <c r="G342" s="22" t="s">
        <v>587</v>
      </c>
      <c r="H342" s="24" t="s">
        <v>135</v>
      </c>
      <c r="I342" s="24" t="s">
        <v>36</v>
      </c>
      <c r="J342" s="25" t="n">
        <v>39.25</v>
      </c>
      <c r="K342" s="26" t="n">
        <v>415000</v>
      </c>
      <c r="L342" s="27" t="n">
        <f aca="false">K342/J342</f>
        <v>10573.2484076433</v>
      </c>
      <c r="M342" s="28"/>
      <c r="N342" s="29"/>
      <c r="O342" s="30" t="n">
        <f aca="false">K342+N342</f>
        <v>415000</v>
      </c>
      <c r="P342" s="30" t="n">
        <f aca="false">ROUND(O342/J342, 2)</f>
        <v>10573.25</v>
      </c>
      <c r="Q342" s="25" t="s">
        <v>41</v>
      </c>
      <c r="R342" s="22" t="s">
        <v>27</v>
      </c>
      <c r="S342" s="25" t="s">
        <v>29</v>
      </c>
      <c r="T342" s="24" t="s">
        <v>30</v>
      </c>
      <c r="U342" s="31" t="s">
        <v>31</v>
      </c>
      <c r="V342" s="31" t="n">
        <v>43343</v>
      </c>
      <c r="W342" s="18"/>
      <c r="X342" s="18"/>
    </row>
    <row r="343" s="32" customFormat="true" ht="13.8" hidden="false" customHeight="false" outlineLevel="0" collapsed="false">
      <c r="A343" s="18"/>
      <c r="B343" s="19" t="n">
        <v>1088</v>
      </c>
      <c r="C343" s="20" t="n">
        <v>43187</v>
      </c>
      <c r="D343" s="21" t="s">
        <v>22</v>
      </c>
      <c r="E343" s="22" t="s">
        <v>375</v>
      </c>
      <c r="F343" s="23" t="s">
        <v>560</v>
      </c>
      <c r="G343" s="22" t="s">
        <v>112</v>
      </c>
      <c r="H343" s="24" t="s">
        <v>135</v>
      </c>
      <c r="I343" s="24" t="s">
        <v>49</v>
      </c>
      <c r="J343" s="25" t="n">
        <v>59.6</v>
      </c>
      <c r="K343" s="26" t="n">
        <v>630000</v>
      </c>
      <c r="L343" s="27" t="n">
        <f aca="false">K343/J343</f>
        <v>10570.4697986577</v>
      </c>
      <c r="M343" s="28" t="s">
        <v>64</v>
      </c>
      <c r="N343" s="29"/>
      <c r="O343" s="30" t="n">
        <f aca="false">K343+N343</f>
        <v>630000</v>
      </c>
      <c r="P343" s="30" t="n">
        <f aca="false">ROUND(O343/J343, 2)</f>
        <v>10570.47</v>
      </c>
      <c r="Q343" s="25" t="s">
        <v>651</v>
      </c>
      <c r="R343" s="22" t="s">
        <v>36</v>
      </c>
      <c r="S343" s="25" t="s">
        <v>29</v>
      </c>
      <c r="T343" s="24" t="s">
        <v>30</v>
      </c>
      <c r="U343" s="31" t="s">
        <v>31</v>
      </c>
      <c r="V343" s="31" t="n">
        <v>43343</v>
      </c>
      <c r="W343" s="18"/>
      <c r="X343" s="18"/>
    </row>
    <row r="344" s="32" customFormat="true" ht="13.8" hidden="false" customHeight="false" outlineLevel="0" collapsed="false">
      <c r="A344" s="18"/>
      <c r="B344" s="19" t="n">
        <v>1845</v>
      </c>
      <c r="C344" s="20" t="n">
        <v>43187</v>
      </c>
      <c r="D344" s="21" t="s">
        <v>22</v>
      </c>
      <c r="E344" s="22" t="s">
        <v>652</v>
      </c>
      <c r="F344" s="23" t="s">
        <v>653</v>
      </c>
      <c r="G344" s="22" t="s">
        <v>654</v>
      </c>
      <c r="H344" s="24" t="s">
        <v>57</v>
      </c>
      <c r="I344" s="24" t="s">
        <v>27</v>
      </c>
      <c r="J344" s="25" t="n">
        <v>40.2</v>
      </c>
      <c r="K344" s="26" t="n">
        <v>527700</v>
      </c>
      <c r="L344" s="27" t="n">
        <f aca="false">K344/J344</f>
        <v>13126.8656716418</v>
      </c>
      <c r="M344" s="28" t="s">
        <v>655</v>
      </c>
      <c r="N344" s="29" t="n">
        <v>12300</v>
      </c>
      <c r="O344" s="30" t="n">
        <f aca="false">K344+N344</f>
        <v>540000</v>
      </c>
      <c r="P344" s="30" t="n">
        <f aca="false">ROUND(O344/J344, 2)</f>
        <v>13432.84</v>
      </c>
      <c r="Q344" s="25" t="s">
        <v>656</v>
      </c>
      <c r="R344" s="22" t="s">
        <v>36</v>
      </c>
      <c r="S344" s="25" t="s">
        <v>29</v>
      </c>
      <c r="T344" s="24" t="s">
        <v>30</v>
      </c>
      <c r="U344" s="31" t="s">
        <v>31</v>
      </c>
      <c r="V344" s="31" t="n">
        <v>43343</v>
      </c>
      <c r="W344" s="18"/>
      <c r="X344" s="18"/>
    </row>
    <row r="345" customFormat="false" ht="13.8" hidden="false" customHeight="false" outlineLevel="0" collapsed="false">
      <c r="A345" s="18"/>
      <c r="B345" s="19" t="n">
        <v>1544</v>
      </c>
      <c r="C345" s="20" t="n">
        <v>43187</v>
      </c>
      <c r="D345" s="21" t="s">
        <v>22</v>
      </c>
      <c r="E345" s="22" t="s">
        <v>265</v>
      </c>
      <c r="F345" s="23" t="s">
        <v>565</v>
      </c>
      <c r="G345" s="22" t="s">
        <v>657</v>
      </c>
      <c r="H345" s="24" t="s">
        <v>658</v>
      </c>
      <c r="I345" s="24" t="s">
        <v>26</v>
      </c>
      <c r="J345" s="25" t="n">
        <v>24.89</v>
      </c>
      <c r="K345" s="26" t="n">
        <v>280000</v>
      </c>
      <c r="L345" s="27" t="n">
        <f aca="false">K345/J345</f>
        <v>11249.4977902772</v>
      </c>
      <c r="M345" s="28"/>
      <c r="N345" s="29"/>
      <c r="O345" s="30" t="n">
        <f aca="false">K345+N345</f>
        <v>280000</v>
      </c>
      <c r="P345" s="30" t="n">
        <f aca="false">ROUND(O345/J345, 2)</f>
        <v>11249.5</v>
      </c>
      <c r="Q345" s="25" t="s">
        <v>41</v>
      </c>
      <c r="R345" s="22" t="s">
        <v>27</v>
      </c>
      <c r="S345" s="25" t="s">
        <v>29</v>
      </c>
      <c r="T345" s="24" t="s">
        <v>30</v>
      </c>
      <c r="U345" s="31" t="s">
        <v>31</v>
      </c>
      <c r="V345" s="31" t="n">
        <v>43343</v>
      </c>
      <c r="W345" s="34"/>
      <c r="X345" s="34"/>
    </row>
    <row r="346" customFormat="false" ht="13.8" hidden="false" customHeight="false" outlineLevel="0" collapsed="false">
      <c r="A346" s="18"/>
      <c r="B346" s="19" t="n">
        <v>2787</v>
      </c>
      <c r="C346" s="20" t="n">
        <v>43188</v>
      </c>
      <c r="D346" s="21" t="s">
        <v>22</v>
      </c>
      <c r="E346" s="22" t="s">
        <v>299</v>
      </c>
      <c r="F346" s="23" t="s">
        <v>94</v>
      </c>
      <c r="G346" s="22" t="s">
        <v>443</v>
      </c>
      <c r="H346" s="24" t="s">
        <v>217</v>
      </c>
      <c r="I346" s="24" t="s">
        <v>25</v>
      </c>
      <c r="J346" s="25" t="n">
        <v>24.46</v>
      </c>
      <c r="K346" s="26" t="n">
        <v>160000</v>
      </c>
      <c r="L346" s="27" t="n">
        <f aca="false">K346/J346</f>
        <v>6541.29190515127</v>
      </c>
      <c r="M346" s="28" t="s">
        <v>64</v>
      </c>
      <c r="N346" s="29"/>
      <c r="O346" s="30" t="n">
        <f aca="false">K346+N346</f>
        <v>160000</v>
      </c>
      <c r="P346" s="30" t="n">
        <f aca="false">ROUND(O346/J346, 2)</f>
        <v>6541.29</v>
      </c>
      <c r="Q346" s="25" t="s">
        <v>659</v>
      </c>
      <c r="R346" s="22" t="s">
        <v>27</v>
      </c>
      <c r="S346" s="25" t="s">
        <v>29</v>
      </c>
      <c r="T346" s="24" t="s">
        <v>30</v>
      </c>
      <c r="U346" s="31" t="s">
        <v>31</v>
      </c>
      <c r="V346" s="31" t="n">
        <v>43343</v>
      </c>
      <c r="W346" s="34"/>
      <c r="X346" s="34"/>
      <c r="AMJ346" s="32"/>
    </row>
    <row r="347" s="32" customFormat="true" ht="13.8" hidden="false" customHeight="false" outlineLevel="0" collapsed="false">
      <c r="A347" s="18"/>
      <c r="B347" s="19" t="n">
        <v>3871</v>
      </c>
      <c r="C347" s="20" t="n">
        <v>43188</v>
      </c>
      <c r="D347" s="21" t="s">
        <v>22</v>
      </c>
      <c r="E347" s="22" t="s">
        <v>156</v>
      </c>
      <c r="F347" s="23" t="s">
        <v>157</v>
      </c>
      <c r="G347" s="22" t="s">
        <v>445</v>
      </c>
      <c r="H347" s="24" t="s">
        <v>101</v>
      </c>
      <c r="I347" s="24" t="s">
        <v>36</v>
      </c>
      <c r="J347" s="25" t="n">
        <v>53.48</v>
      </c>
      <c r="K347" s="26" t="n">
        <v>409121.81</v>
      </c>
      <c r="L347" s="27" t="n">
        <f aca="false">K347/J347</f>
        <v>7649.99644727001</v>
      </c>
      <c r="M347" s="28" t="s">
        <v>205</v>
      </c>
      <c r="N347" s="29" t="n">
        <v>15878.19</v>
      </c>
      <c r="O347" s="30" t="n">
        <f aca="false">K347+N347</f>
        <v>425000</v>
      </c>
      <c r="P347" s="30" t="n">
        <f aca="false">ROUND(O347/J347, 2)</f>
        <v>7946.9</v>
      </c>
      <c r="Q347" s="25" t="s">
        <v>660</v>
      </c>
      <c r="R347" s="22" t="s">
        <v>36</v>
      </c>
      <c r="S347" s="25" t="s">
        <v>29</v>
      </c>
      <c r="T347" s="24" t="s">
        <v>30</v>
      </c>
      <c r="U347" s="31" t="s">
        <v>31</v>
      </c>
      <c r="V347" s="31" t="n">
        <v>43343</v>
      </c>
      <c r="W347" s="34"/>
      <c r="X347" s="34"/>
    </row>
    <row r="348" customFormat="false" ht="13.8" hidden="false" customHeight="false" outlineLevel="0" collapsed="false">
      <c r="A348" s="18"/>
      <c r="B348" s="19" t="n">
        <v>558</v>
      </c>
      <c r="C348" s="20" t="n">
        <v>43188</v>
      </c>
      <c r="D348" s="21" t="s">
        <v>22</v>
      </c>
      <c r="E348" s="22" t="s">
        <v>527</v>
      </c>
      <c r="F348" s="23" t="s">
        <v>191</v>
      </c>
      <c r="G348" s="22" t="s">
        <v>336</v>
      </c>
      <c r="H348" s="24" t="s">
        <v>217</v>
      </c>
      <c r="I348" s="24" t="s">
        <v>82</v>
      </c>
      <c r="J348" s="25" t="n">
        <v>40.8</v>
      </c>
      <c r="K348" s="26" t="n">
        <v>400000</v>
      </c>
      <c r="L348" s="27" t="n">
        <f aca="false">K348/J348</f>
        <v>9803.92156862745</v>
      </c>
      <c r="M348" s="28" t="s">
        <v>64</v>
      </c>
      <c r="N348" s="29"/>
      <c r="O348" s="30" t="n">
        <f aca="false">K348+N348</f>
        <v>400000</v>
      </c>
      <c r="P348" s="30" t="n">
        <f aca="false">ROUND(O348/J348, 2)</f>
        <v>9803.92</v>
      </c>
      <c r="Q348" s="25" t="s">
        <v>50</v>
      </c>
      <c r="R348" s="22" t="s">
        <v>36</v>
      </c>
      <c r="S348" s="25" t="s">
        <v>29</v>
      </c>
      <c r="T348" s="24" t="s">
        <v>30</v>
      </c>
      <c r="U348" s="31" t="s">
        <v>31</v>
      </c>
      <c r="V348" s="31" t="n">
        <v>43343</v>
      </c>
      <c r="W348" s="18"/>
      <c r="X348" s="18"/>
      <c r="AMJ348" s="32"/>
    </row>
    <row r="349" s="32" customFormat="true" ht="13.8" hidden="false" customHeight="false" outlineLevel="0" collapsed="false">
      <c r="A349" s="18"/>
      <c r="B349" s="19" t="n">
        <v>2051</v>
      </c>
      <c r="C349" s="20" t="n">
        <v>43188</v>
      </c>
      <c r="D349" s="21" t="s">
        <v>22</v>
      </c>
      <c r="E349" s="22" t="s">
        <v>187</v>
      </c>
      <c r="F349" s="23" t="s">
        <v>661</v>
      </c>
      <c r="G349" s="22" t="s">
        <v>202</v>
      </c>
      <c r="H349" s="24" t="s">
        <v>336</v>
      </c>
      <c r="I349" s="24" t="s">
        <v>26</v>
      </c>
      <c r="J349" s="25" t="n">
        <v>46.75</v>
      </c>
      <c r="K349" s="26" t="n">
        <v>490000</v>
      </c>
      <c r="L349" s="27" t="n">
        <f aca="false">K349/J349</f>
        <v>10481.2834224599</v>
      </c>
      <c r="M349" s="28"/>
      <c r="N349" s="29"/>
      <c r="O349" s="30" t="n">
        <f aca="false">K349+N349</f>
        <v>490000</v>
      </c>
      <c r="P349" s="30" t="n">
        <f aca="false">ROUND(O349/J349, 2)</f>
        <v>10481.28</v>
      </c>
      <c r="Q349" s="25" t="s">
        <v>50</v>
      </c>
      <c r="R349" s="22" t="s">
        <v>36</v>
      </c>
      <c r="S349" s="25" t="s">
        <v>29</v>
      </c>
      <c r="T349" s="24" t="s">
        <v>30</v>
      </c>
      <c r="U349" s="31" t="s">
        <v>31</v>
      </c>
      <c r="V349" s="31" t="n">
        <v>43343</v>
      </c>
      <c r="W349" s="18"/>
      <c r="X349" s="18"/>
    </row>
    <row r="350" s="32" customFormat="true" ht="13.8" hidden="false" customHeight="false" outlineLevel="0" collapsed="false">
      <c r="A350" s="18"/>
      <c r="B350" s="19" t="n">
        <v>1772</v>
      </c>
      <c r="C350" s="20" t="n">
        <v>43188</v>
      </c>
      <c r="D350" s="21" t="s">
        <v>22</v>
      </c>
      <c r="E350" s="22" t="s">
        <v>171</v>
      </c>
      <c r="F350" s="23" t="s">
        <v>172</v>
      </c>
      <c r="G350" s="22" t="s">
        <v>173</v>
      </c>
      <c r="H350" s="24" t="s">
        <v>645</v>
      </c>
      <c r="I350" s="24" t="s">
        <v>143</v>
      </c>
      <c r="J350" s="25" t="n">
        <v>51.2</v>
      </c>
      <c r="K350" s="26" t="n">
        <v>460000</v>
      </c>
      <c r="L350" s="27" t="n">
        <f aca="false">K350/J350</f>
        <v>8984.375</v>
      </c>
      <c r="M350" s="28"/>
      <c r="N350" s="29"/>
      <c r="O350" s="30" t="n">
        <f aca="false">K350+N350</f>
        <v>460000</v>
      </c>
      <c r="P350" s="30" t="n">
        <f aca="false">ROUND(O350/J350, 2)</f>
        <v>8984.38</v>
      </c>
      <c r="Q350" s="25" t="s">
        <v>85</v>
      </c>
      <c r="R350" s="22" t="s">
        <v>26</v>
      </c>
      <c r="S350" s="25" t="s">
        <v>29</v>
      </c>
      <c r="T350" s="24" t="s">
        <v>30</v>
      </c>
      <c r="U350" s="31" t="s">
        <v>31</v>
      </c>
      <c r="V350" s="31" t="n">
        <v>43343</v>
      </c>
      <c r="W350" s="18"/>
      <c r="X350" s="18"/>
    </row>
    <row r="351" customFormat="false" ht="13.8" hidden="false" customHeight="false" outlineLevel="0" collapsed="false">
      <c r="A351" s="18"/>
      <c r="B351" s="19" t="n">
        <v>3223</v>
      </c>
      <c r="C351" s="20" t="n">
        <v>43188</v>
      </c>
      <c r="D351" s="21" t="s">
        <v>22</v>
      </c>
      <c r="E351" s="22" t="s">
        <v>109</v>
      </c>
      <c r="F351" s="23" t="s">
        <v>110</v>
      </c>
      <c r="G351" s="22" t="s">
        <v>200</v>
      </c>
      <c r="H351" s="24" t="s">
        <v>200</v>
      </c>
      <c r="I351" s="24" t="s">
        <v>49</v>
      </c>
      <c r="J351" s="25" t="n">
        <v>49.86</v>
      </c>
      <c r="K351" s="26" t="n">
        <v>590000</v>
      </c>
      <c r="L351" s="27" t="n">
        <f aca="false">K351/J351</f>
        <v>11833.1327717609</v>
      </c>
      <c r="M351" s="28"/>
      <c r="N351" s="29"/>
      <c r="O351" s="30" t="n">
        <f aca="false">K351+N351</f>
        <v>590000</v>
      </c>
      <c r="P351" s="30" t="n">
        <f aca="false">ROUND(O351/J351, 2)</f>
        <v>11833.13</v>
      </c>
      <c r="Q351" s="25" t="s">
        <v>232</v>
      </c>
      <c r="R351" s="22" t="s">
        <v>26</v>
      </c>
      <c r="S351" s="25" t="s">
        <v>29</v>
      </c>
      <c r="T351" s="24" t="s">
        <v>30</v>
      </c>
      <c r="U351" s="31" t="s">
        <v>31</v>
      </c>
      <c r="V351" s="31" t="n">
        <v>43343</v>
      </c>
      <c r="W351" s="18"/>
      <c r="X351" s="18"/>
    </row>
    <row r="352" customFormat="false" ht="13.8" hidden="false" customHeight="false" outlineLevel="0" collapsed="false">
      <c r="A352" s="18"/>
      <c r="B352" s="19" t="n">
        <v>128</v>
      </c>
      <c r="C352" s="20" t="n">
        <v>43188</v>
      </c>
      <c r="D352" s="21" t="s">
        <v>22</v>
      </c>
      <c r="E352" s="22" t="s">
        <v>268</v>
      </c>
      <c r="F352" s="23" t="s">
        <v>471</v>
      </c>
      <c r="G352" s="22" t="s">
        <v>49</v>
      </c>
      <c r="H352" s="24" t="s">
        <v>147</v>
      </c>
      <c r="I352" s="24" t="s">
        <v>27</v>
      </c>
      <c r="J352" s="25" t="n">
        <v>57.6</v>
      </c>
      <c r="K352" s="26" t="n">
        <v>330000</v>
      </c>
      <c r="L352" s="27" t="n">
        <f aca="false">K352/J352</f>
        <v>5729.16666666667</v>
      </c>
      <c r="M352" s="28" t="s">
        <v>64</v>
      </c>
      <c r="N352" s="29"/>
      <c r="O352" s="30" t="n">
        <f aca="false">K352+N352</f>
        <v>330000</v>
      </c>
      <c r="P352" s="30" t="n">
        <f aca="false">ROUND(O352/J352, 2)</f>
        <v>5729.17</v>
      </c>
      <c r="Q352" s="25" t="s">
        <v>85</v>
      </c>
      <c r="R352" s="22" t="s">
        <v>26</v>
      </c>
      <c r="S352" s="25" t="s">
        <v>29</v>
      </c>
      <c r="T352" s="24" t="s">
        <v>30</v>
      </c>
      <c r="U352" s="31" t="s">
        <v>31</v>
      </c>
      <c r="V352" s="31" t="n">
        <v>43343</v>
      </c>
      <c r="W352" s="18"/>
      <c r="X352" s="18"/>
      <c r="AMJ352" s="32"/>
    </row>
    <row r="353" s="32" customFormat="true" ht="13.8" hidden="false" customHeight="false" outlineLevel="0" collapsed="false">
      <c r="A353" s="18"/>
      <c r="B353" s="19" t="n">
        <v>848</v>
      </c>
      <c r="C353" s="20" t="n">
        <v>43188</v>
      </c>
      <c r="D353" s="21" t="s">
        <v>22</v>
      </c>
      <c r="E353" s="22" t="s">
        <v>302</v>
      </c>
      <c r="F353" s="23" t="s">
        <v>485</v>
      </c>
      <c r="G353" s="22" t="s">
        <v>147</v>
      </c>
      <c r="H353" s="24" t="s">
        <v>168</v>
      </c>
      <c r="I353" s="24" t="s">
        <v>49</v>
      </c>
      <c r="J353" s="25" t="n">
        <v>23.88</v>
      </c>
      <c r="K353" s="26" t="n">
        <v>300000</v>
      </c>
      <c r="L353" s="27" t="n">
        <f aca="false">K353/J353</f>
        <v>12562.8140703518</v>
      </c>
      <c r="M353" s="28"/>
      <c r="N353" s="29"/>
      <c r="O353" s="30" t="n">
        <f aca="false">K353+N353</f>
        <v>300000</v>
      </c>
      <c r="P353" s="30" t="n">
        <f aca="false">ROUND(O353/J353, 2)</f>
        <v>12562.81</v>
      </c>
      <c r="Q353" s="25" t="s">
        <v>41</v>
      </c>
      <c r="R353" s="22" t="s">
        <v>27</v>
      </c>
      <c r="S353" s="25" t="s">
        <v>29</v>
      </c>
      <c r="T353" s="24" t="s">
        <v>30</v>
      </c>
      <c r="U353" s="31" t="s">
        <v>31</v>
      </c>
      <c r="V353" s="31" t="n">
        <v>43343</v>
      </c>
      <c r="W353" s="18"/>
      <c r="X353" s="18"/>
    </row>
    <row r="354" s="32" customFormat="true" ht="13.8" hidden="false" customHeight="false" outlineLevel="0" collapsed="false">
      <c r="A354" s="18"/>
      <c r="B354" s="19" t="n">
        <v>3540</v>
      </c>
      <c r="C354" s="20" t="n">
        <v>43188</v>
      </c>
      <c r="D354" s="21" t="s">
        <v>22</v>
      </c>
      <c r="E354" s="22" t="s">
        <v>644</v>
      </c>
      <c r="F354" s="23" t="s">
        <v>485</v>
      </c>
      <c r="G354" s="22" t="s">
        <v>413</v>
      </c>
      <c r="H354" s="24" t="s">
        <v>662</v>
      </c>
      <c r="I354" s="24" t="s">
        <v>26</v>
      </c>
      <c r="J354" s="25" t="n">
        <f aca="false">93.99-1.85</f>
        <v>92.14</v>
      </c>
      <c r="K354" s="26" t="n">
        <v>1500000</v>
      </c>
      <c r="L354" s="27" t="n">
        <f aca="false">K354/J354</f>
        <v>16279.5745604515</v>
      </c>
      <c r="M354" s="28" t="s">
        <v>663</v>
      </c>
      <c r="N354" s="29" t="n">
        <v>40000</v>
      </c>
      <c r="O354" s="30" t="n">
        <f aca="false">K354+N354</f>
        <v>1540000</v>
      </c>
      <c r="P354" s="30" t="n">
        <f aca="false">ROUND(O354/J354, 2)</f>
        <v>16713.7</v>
      </c>
      <c r="Q354" s="25" t="s">
        <v>232</v>
      </c>
      <c r="R354" s="22" t="s">
        <v>26</v>
      </c>
      <c r="S354" s="25" t="s">
        <v>29</v>
      </c>
      <c r="T354" s="24" t="s">
        <v>30</v>
      </c>
      <c r="U354" s="31" t="s">
        <v>31</v>
      </c>
      <c r="V354" s="31" t="n">
        <v>43343</v>
      </c>
      <c r="W354" s="18"/>
      <c r="X354" s="18"/>
    </row>
    <row r="355" s="32" customFormat="true" ht="13.8" hidden="false" customHeight="false" outlineLevel="0" collapsed="false">
      <c r="A355" s="18"/>
      <c r="B355" s="19" t="n">
        <v>4407</v>
      </c>
      <c r="C355" s="20" t="n">
        <v>43188</v>
      </c>
      <c r="D355" s="21" t="s">
        <v>22</v>
      </c>
      <c r="E355" s="22" t="s">
        <v>45</v>
      </c>
      <c r="F355" s="23" t="s">
        <v>641</v>
      </c>
      <c r="G355" s="22" t="s">
        <v>112</v>
      </c>
      <c r="H355" s="24" t="s">
        <v>26</v>
      </c>
      <c r="I355" s="24" t="s">
        <v>36</v>
      </c>
      <c r="J355" s="25" t="n">
        <v>47.6</v>
      </c>
      <c r="K355" s="26" t="n">
        <v>523600</v>
      </c>
      <c r="L355" s="27" t="n">
        <f aca="false">K355/J355</f>
        <v>11000</v>
      </c>
      <c r="M355" s="28" t="s">
        <v>64</v>
      </c>
      <c r="N355" s="29"/>
      <c r="O355" s="30" t="n">
        <f aca="false">K355+N355</f>
        <v>523600</v>
      </c>
      <c r="P355" s="30" t="n">
        <f aca="false">ROUND(O355/J355, 2)</f>
        <v>11000</v>
      </c>
      <c r="Q355" s="25" t="s">
        <v>50</v>
      </c>
      <c r="R355" s="22" t="s">
        <v>36</v>
      </c>
      <c r="S355" s="25" t="s">
        <v>29</v>
      </c>
      <c r="T355" s="24" t="s">
        <v>30</v>
      </c>
      <c r="U355" s="31" t="s">
        <v>31</v>
      </c>
      <c r="V355" s="31" t="n">
        <v>43343</v>
      </c>
      <c r="W355" s="18"/>
      <c r="X355" s="18"/>
    </row>
    <row r="356" customFormat="false" ht="13.8" hidden="false" customHeight="false" outlineLevel="0" collapsed="false">
      <c r="A356" s="18"/>
      <c r="B356" s="19" t="n">
        <v>899</v>
      </c>
      <c r="C356" s="20" t="n">
        <v>43188</v>
      </c>
      <c r="D356" s="21" t="s">
        <v>22</v>
      </c>
      <c r="E356" s="22" t="s">
        <v>354</v>
      </c>
      <c r="F356" s="23" t="s">
        <v>565</v>
      </c>
      <c r="G356" s="22" t="s">
        <v>111</v>
      </c>
      <c r="H356" s="24" t="s">
        <v>154</v>
      </c>
      <c r="I356" s="24" t="s">
        <v>49</v>
      </c>
      <c r="J356" s="25" t="n">
        <v>24.3</v>
      </c>
      <c r="K356" s="26" t="n">
        <v>235000</v>
      </c>
      <c r="L356" s="27" t="n">
        <f aca="false">K356/J356</f>
        <v>9670.78189300412</v>
      </c>
      <c r="M356" s="28"/>
      <c r="N356" s="29"/>
      <c r="O356" s="30" t="n">
        <f aca="false">K356+N356</f>
        <v>235000</v>
      </c>
      <c r="P356" s="30" t="n">
        <f aca="false">ROUND(O356/J356, 2)</f>
        <v>9670.78</v>
      </c>
      <c r="Q356" s="25" t="s">
        <v>41</v>
      </c>
      <c r="R356" s="22" t="s">
        <v>27</v>
      </c>
      <c r="S356" s="25" t="s">
        <v>29</v>
      </c>
      <c r="T356" s="24" t="s">
        <v>30</v>
      </c>
      <c r="U356" s="31" t="s">
        <v>31</v>
      </c>
      <c r="V356" s="31" t="n">
        <v>43343</v>
      </c>
      <c r="W356" s="18"/>
      <c r="X356" s="18"/>
    </row>
    <row r="357" customFormat="false" ht="13.8" hidden="false" customHeight="false" outlineLevel="0" collapsed="false">
      <c r="A357" s="18"/>
      <c r="B357" s="19" t="n">
        <v>521</v>
      </c>
      <c r="C357" s="20" t="n">
        <v>43188</v>
      </c>
      <c r="D357" s="21" t="s">
        <v>22</v>
      </c>
      <c r="E357" s="22" t="s">
        <v>148</v>
      </c>
      <c r="F357" s="23" t="s">
        <v>340</v>
      </c>
      <c r="G357" s="22" t="s">
        <v>57</v>
      </c>
      <c r="H357" s="24" t="s">
        <v>664</v>
      </c>
      <c r="I357" s="24" t="s">
        <v>82</v>
      </c>
      <c r="J357" s="25" t="n">
        <v>31.06</v>
      </c>
      <c r="K357" s="26" t="n">
        <v>195000</v>
      </c>
      <c r="L357" s="27" t="n">
        <f aca="false">K357/J357</f>
        <v>6278.17128139086</v>
      </c>
      <c r="M357" s="28" t="s">
        <v>64</v>
      </c>
      <c r="N357" s="29"/>
      <c r="O357" s="30" t="n">
        <f aca="false">K357+N357</f>
        <v>195000</v>
      </c>
      <c r="P357" s="30" t="n">
        <f aca="false">ROUND(O357/J357, 2)</f>
        <v>6278.17</v>
      </c>
      <c r="Q357" s="25" t="s">
        <v>28</v>
      </c>
      <c r="R357" s="22" t="s">
        <v>27</v>
      </c>
      <c r="S357" s="25" t="s">
        <v>29</v>
      </c>
      <c r="T357" s="24" t="s">
        <v>30</v>
      </c>
      <c r="U357" s="31" t="s">
        <v>31</v>
      </c>
      <c r="V357" s="31" t="n">
        <v>43343</v>
      </c>
      <c r="W357" s="34"/>
      <c r="X357" s="34"/>
      <c r="AMJ357" s="32"/>
    </row>
    <row r="358" s="32" customFormat="true" ht="13.8" hidden="false" customHeight="false" outlineLevel="0" collapsed="false">
      <c r="A358" s="18"/>
      <c r="B358" s="19" t="n">
        <v>3267</v>
      </c>
      <c r="C358" s="20" t="n">
        <v>43188</v>
      </c>
      <c r="D358" s="21" t="s">
        <v>22</v>
      </c>
      <c r="E358" s="22" t="s">
        <v>118</v>
      </c>
      <c r="F358" s="23" t="s">
        <v>462</v>
      </c>
      <c r="G358" s="22" t="s">
        <v>49</v>
      </c>
      <c r="H358" s="24" t="s">
        <v>26</v>
      </c>
      <c r="I358" s="24" t="s">
        <v>27</v>
      </c>
      <c r="J358" s="25" t="n">
        <v>45.6</v>
      </c>
      <c r="K358" s="26" t="n">
        <v>327000</v>
      </c>
      <c r="L358" s="27" t="n">
        <f aca="false">K358/J358</f>
        <v>7171.05263157895</v>
      </c>
      <c r="M358" s="28" t="s">
        <v>64</v>
      </c>
      <c r="N358" s="29"/>
      <c r="O358" s="30" t="n">
        <f aca="false">K358+N358</f>
        <v>327000</v>
      </c>
      <c r="P358" s="30" t="n">
        <f aca="false">ROUND(O358/J358, 2)</f>
        <v>7171.05</v>
      </c>
      <c r="Q358" s="25" t="s">
        <v>50</v>
      </c>
      <c r="R358" s="22" t="s">
        <v>36</v>
      </c>
      <c r="S358" s="25" t="s">
        <v>29</v>
      </c>
      <c r="T358" s="24" t="s">
        <v>30</v>
      </c>
      <c r="U358" s="31" t="s">
        <v>31</v>
      </c>
      <c r="V358" s="31" t="n">
        <v>43343</v>
      </c>
      <c r="W358" s="34"/>
      <c r="X358" s="34"/>
    </row>
    <row r="359" s="32" customFormat="true" ht="13.8" hidden="false" customHeight="false" outlineLevel="0" collapsed="false">
      <c r="A359" s="18"/>
      <c r="B359" s="19" t="n">
        <v>1686</v>
      </c>
      <c r="C359" s="20" t="n">
        <v>43189</v>
      </c>
      <c r="D359" s="21" t="s">
        <v>22</v>
      </c>
      <c r="E359" s="22" t="s">
        <v>665</v>
      </c>
      <c r="F359" s="23" t="s">
        <v>666</v>
      </c>
      <c r="G359" s="22" t="s">
        <v>101</v>
      </c>
      <c r="H359" s="24" t="s">
        <v>269</v>
      </c>
      <c r="I359" s="24" t="s">
        <v>27</v>
      </c>
      <c r="J359" s="25" t="n">
        <v>40.2</v>
      </c>
      <c r="K359" s="26" t="n">
        <v>542700</v>
      </c>
      <c r="L359" s="27" t="n">
        <f aca="false">K359/J359</f>
        <v>13500</v>
      </c>
      <c r="M359" s="28"/>
      <c r="N359" s="29"/>
      <c r="O359" s="30" t="n">
        <f aca="false">K359+N359</f>
        <v>542700</v>
      </c>
      <c r="P359" s="30" t="n">
        <f aca="false">ROUND(O359/J359, 2)</f>
        <v>13500</v>
      </c>
      <c r="Q359" s="25" t="s">
        <v>161</v>
      </c>
      <c r="R359" s="22" t="s">
        <v>36</v>
      </c>
      <c r="S359" s="25" t="s">
        <v>29</v>
      </c>
      <c r="T359" s="24" t="s">
        <v>30</v>
      </c>
      <c r="U359" s="31" t="s">
        <v>31</v>
      </c>
      <c r="V359" s="31" t="n">
        <v>43343</v>
      </c>
      <c r="W359" s="34"/>
      <c r="X359" s="34"/>
    </row>
    <row r="360" s="32" customFormat="true" ht="13.8" hidden="false" customHeight="false" outlineLevel="0" collapsed="false">
      <c r="A360" s="18"/>
      <c r="B360" s="19" t="n">
        <v>14340</v>
      </c>
      <c r="C360" s="20" t="n">
        <v>43189</v>
      </c>
      <c r="D360" s="21" t="s">
        <v>22</v>
      </c>
      <c r="E360" s="22" t="s">
        <v>667</v>
      </c>
      <c r="F360" s="23" t="s">
        <v>668</v>
      </c>
      <c r="G360" s="22" t="s">
        <v>49</v>
      </c>
      <c r="H360" s="24" t="s">
        <v>246</v>
      </c>
      <c r="I360" s="24" t="s">
        <v>27</v>
      </c>
      <c r="J360" s="25" t="n">
        <v>47.1</v>
      </c>
      <c r="K360" s="26" t="n">
        <v>340000</v>
      </c>
      <c r="L360" s="27" t="n">
        <f aca="false">K360/J360</f>
        <v>7218.68365180467</v>
      </c>
      <c r="M360" s="28"/>
      <c r="N360" s="29"/>
      <c r="O360" s="30" t="n">
        <f aca="false">K360+N360</f>
        <v>340000</v>
      </c>
      <c r="P360" s="30" t="n">
        <f aca="false">ROUND(O360/J360, 2)</f>
        <v>7218.68</v>
      </c>
      <c r="Q360" s="25" t="s">
        <v>85</v>
      </c>
      <c r="R360" s="22" t="s">
        <v>26</v>
      </c>
      <c r="S360" s="25" t="s">
        <v>29</v>
      </c>
      <c r="T360" s="24" t="s">
        <v>30</v>
      </c>
      <c r="U360" s="31" t="s">
        <v>31</v>
      </c>
      <c r="V360" s="31" t="n">
        <v>43343</v>
      </c>
      <c r="W360" s="34"/>
      <c r="X360" s="34"/>
    </row>
    <row r="361" s="32" customFormat="true" ht="13.8" hidden="false" customHeight="false" outlineLevel="0" collapsed="false">
      <c r="A361" s="18"/>
      <c r="B361" s="19" t="n">
        <v>1024</v>
      </c>
      <c r="C361" s="20" t="n">
        <v>43193</v>
      </c>
      <c r="D361" s="21" t="s">
        <v>22</v>
      </c>
      <c r="E361" s="22" t="s">
        <v>652</v>
      </c>
      <c r="F361" s="23" t="s">
        <v>669</v>
      </c>
      <c r="G361" s="22" t="s">
        <v>25</v>
      </c>
      <c r="H361" s="24" t="s">
        <v>26</v>
      </c>
      <c r="I361" s="24" t="s">
        <v>670</v>
      </c>
      <c r="J361" s="25" t="n">
        <f aca="false">176.6-18.2</f>
        <v>158.4</v>
      </c>
      <c r="K361" s="26" t="n">
        <v>935000</v>
      </c>
      <c r="L361" s="27" t="n">
        <f aca="false">K361/J361</f>
        <v>5902.77777777778</v>
      </c>
      <c r="M361" s="28" t="s">
        <v>671</v>
      </c>
      <c r="N361" s="29"/>
      <c r="O361" s="30" t="n">
        <f aca="false">K361+N361</f>
        <v>935000</v>
      </c>
      <c r="P361" s="30" t="n">
        <f aca="false">ROUND(O361/J361, 2)</f>
        <v>5902.78</v>
      </c>
      <c r="Q361" s="25" t="s">
        <v>672</v>
      </c>
      <c r="R361" s="22" t="s">
        <v>49</v>
      </c>
      <c r="S361" s="25" t="s">
        <v>29</v>
      </c>
      <c r="T361" s="24" t="s">
        <v>30</v>
      </c>
      <c r="U361" s="31" t="s">
        <v>31</v>
      </c>
      <c r="V361" s="31" t="n">
        <v>43343</v>
      </c>
      <c r="W361" s="34"/>
      <c r="X361" s="34"/>
    </row>
    <row r="362" customFormat="false" ht="13.8" hidden="false" customHeight="false" outlineLevel="0" collapsed="false">
      <c r="A362" s="18"/>
      <c r="B362" s="19" t="n">
        <v>2469</v>
      </c>
      <c r="C362" s="20" t="n">
        <v>43193</v>
      </c>
      <c r="D362" s="21" t="s">
        <v>22</v>
      </c>
      <c r="E362" s="22" t="s">
        <v>543</v>
      </c>
      <c r="F362" s="23" t="s">
        <v>351</v>
      </c>
      <c r="G362" s="22" t="s">
        <v>47</v>
      </c>
      <c r="H362" s="24" t="s">
        <v>112</v>
      </c>
      <c r="I362" s="24" t="s">
        <v>36</v>
      </c>
      <c r="J362" s="25" t="n">
        <v>36.9</v>
      </c>
      <c r="K362" s="26" t="n">
        <v>352073.44</v>
      </c>
      <c r="L362" s="27" t="n">
        <f aca="false">K362/J362</f>
        <v>9541.28563685637</v>
      </c>
      <c r="M362" s="28"/>
      <c r="N362" s="29"/>
      <c r="O362" s="30" t="n">
        <f aca="false">K362+N362</f>
        <v>352073.44</v>
      </c>
      <c r="P362" s="30" t="n">
        <f aca="false">ROUND(O362/J362, 2)</f>
        <v>9541.29</v>
      </c>
      <c r="Q362" s="25" t="s">
        <v>673</v>
      </c>
      <c r="R362" s="22" t="s">
        <v>36</v>
      </c>
      <c r="S362" s="25" t="s">
        <v>29</v>
      </c>
      <c r="T362" s="24" t="s">
        <v>30</v>
      </c>
      <c r="U362" s="31" t="s">
        <v>31</v>
      </c>
      <c r="V362" s="31" t="n">
        <v>43343</v>
      </c>
      <c r="W362" s="34"/>
      <c r="X362" s="34"/>
    </row>
    <row r="363" customFormat="false" ht="13.8" hidden="false" customHeight="false" outlineLevel="0" collapsed="false">
      <c r="A363" s="18"/>
      <c r="B363" s="19" t="n">
        <v>2259</v>
      </c>
      <c r="C363" s="20" t="n">
        <v>43193</v>
      </c>
      <c r="D363" s="21" t="s">
        <v>22</v>
      </c>
      <c r="E363" s="22" t="s">
        <v>440</v>
      </c>
      <c r="F363" s="23" t="s">
        <v>544</v>
      </c>
      <c r="G363" s="22" t="s">
        <v>674</v>
      </c>
      <c r="H363" s="24" t="s">
        <v>36</v>
      </c>
      <c r="I363" s="24" t="s">
        <v>36</v>
      </c>
      <c r="J363" s="25" t="n">
        <v>47.6</v>
      </c>
      <c r="K363" s="26" t="n">
        <v>430000</v>
      </c>
      <c r="L363" s="27" t="n">
        <f aca="false">K363/J363</f>
        <v>9033.61344537815</v>
      </c>
      <c r="M363" s="28"/>
      <c r="N363" s="29"/>
      <c r="O363" s="30" t="n">
        <f aca="false">K363+N363</f>
        <v>430000</v>
      </c>
      <c r="P363" s="30" t="n">
        <f aca="false">ROUND(O363/J363, 2)</f>
        <v>9033.61</v>
      </c>
      <c r="Q363" s="25" t="s">
        <v>50</v>
      </c>
      <c r="R363" s="22" t="s">
        <v>36</v>
      </c>
      <c r="S363" s="25" t="s">
        <v>29</v>
      </c>
      <c r="T363" s="24" t="s">
        <v>30</v>
      </c>
      <c r="U363" s="31" t="s">
        <v>31</v>
      </c>
      <c r="V363" s="31" t="n">
        <v>43343</v>
      </c>
      <c r="W363" s="34"/>
      <c r="X363" s="34"/>
    </row>
    <row r="364" customFormat="false" ht="13.8" hidden="false" customHeight="false" outlineLevel="0" collapsed="false">
      <c r="A364" s="18"/>
      <c r="B364" s="19" t="n">
        <v>1844</v>
      </c>
      <c r="C364" s="20" t="n">
        <v>43194</v>
      </c>
      <c r="D364" s="21" t="s">
        <v>22</v>
      </c>
      <c r="E364" s="22" t="s">
        <v>178</v>
      </c>
      <c r="F364" s="23" t="s">
        <v>513</v>
      </c>
      <c r="G364" s="22" t="s">
        <v>57</v>
      </c>
      <c r="H364" s="24" t="s">
        <v>494</v>
      </c>
      <c r="I364" s="24" t="s">
        <v>49</v>
      </c>
      <c r="J364" s="25" t="n">
        <v>35.4</v>
      </c>
      <c r="K364" s="26" t="n">
        <v>283000</v>
      </c>
      <c r="L364" s="27" t="n">
        <f aca="false">K364/J364</f>
        <v>7994.35028248588</v>
      </c>
      <c r="M364" s="28"/>
      <c r="N364" s="29"/>
      <c r="O364" s="30" t="n">
        <f aca="false">K364+N364</f>
        <v>283000</v>
      </c>
      <c r="P364" s="30" t="n">
        <f aca="false">ROUND(O364/J364, 2)</f>
        <v>7994.35</v>
      </c>
      <c r="Q364" s="25" t="s">
        <v>41</v>
      </c>
      <c r="R364" s="22" t="s">
        <v>27</v>
      </c>
      <c r="S364" s="25" t="s">
        <v>29</v>
      </c>
      <c r="T364" s="24" t="s">
        <v>30</v>
      </c>
      <c r="U364" s="31" t="s">
        <v>31</v>
      </c>
      <c r="V364" s="31" t="n">
        <v>43343</v>
      </c>
      <c r="W364" s="18"/>
      <c r="X364" s="18"/>
    </row>
    <row r="365" customFormat="false" ht="13.8" hidden="false" customHeight="false" outlineLevel="0" collapsed="false">
      <c r="A365" s="18"/>
      <c r="B365" s="19" t="n">
        <v>4599</v>
      </c>
      <c r="C365" s="20" t="n">
        <v>43194</v>
      </c>
      <c r="D365" s="21" t="s">
        <v>22</v>
      </c>
      <c r="E365" s="22" t="s">
        <v>23</v>
      </c>
      <c r="F365" s="23" t="s">
        <v>43</v>
      </c>
      <c r="G365" s="22" t="s">
        <v>120</v>
      </c>
      <c r="H365" s="24" t="s">
        <v>197</v>
      </c>
      <c r="I365" s="24" t="s">
        <v>26</v>
      </c>
      <c r="J365" s="25" t="n">
        <v>35.22</v>
      </c>
      <c r="K365" s="26" t="n">
        <v>357000</v>
      </c>
      <c r="L365" s="27" t="n">
        <f aca="false">K365/J365</f>
        <v>10136.2862010221</v>
      </c>
      <c r="M365" s="28"/>
      <c r="N365" s="29"/>
      <c r="O365" s="30" t="n">
        <f aca="false">K365+N365</f>
        <v>357000</v>
      </c>
      <c r="P365" s="30" t="n">
        <f aca="false">ROUND(O365/J365, 2)</f>
        <v>10136.29</v>
      </c>
      <c r="Q365" s="25" t="s">
        <v>41</v>
      </c>
      <c r="R365" s="22" t="s">
        <v>27</v>
      </c>
      <c r="S365" s="25" t="s">
        <v>29</v>
      </c>
      <c r="T365" s="24" t="s">
        <v>30</v>
      </c>
      <c r="U365" s="31" t="s">
        <v>31</v>
      </c>
      <c r="V365" s="31" t="n">
        <v>43343</v>
      </c>
      <c r="W365" s="18"/>
      <c r="X365" s="18"/>
    </row>
    <row r="366" customFormat="false" ht="13.8" hidden="false" customHeight="false" outlineLevel="0" collapsed="false">
      <c r="A366" s="18"/>
      <c r="B366" s="19" t="n">
        <v>1098</v>
      </c>
      <c r="C366" s="20" t="n">
        <v>43194</v>
      </c>
      <c r="D366" s="21" t="s">
        <v>22</v>
      </c>
      <c r="E366" s="22" t="s">
        <v>175</v>
      </c>
      <c r="F366" s="23" t="s">
        <v>176</v>
      </c>
      <c r="G366" s="22" t="s">
        <v>550</v>
      </c>
      <c r="H366" s="24" t="s">
        <v>25</v>
      </c>
      <c r="I366" s="24" t="s">
        <v>27</v>
      </c>
      <c r="J366" s="25" t="n">
        <v>33.59</v>
      </c>
      <c r="K366" s="26" t="n">
        <v>300000</v>
      </c>
      <c r="L366" s="27" t="n">
        <f aca="false">K366/J366</f>
        <v>8931.22953259899</v>
      </c>
      <c r="M366" s="28"/>
      <c r="N366" s="29"/>
      <c r="O366" s="30" t="n">
        <f aca="false">K366+N366</f>
        <v>300000</v>
      </c>
      <c r="P366" s="30" t="n">
        <f aca="false">ROUND(O366/J366, 2)</f>
        <v>8931.23</v>
      </c>
      <c r="Q366" s="25" t="s">
        <v>41</v>
      </c>
      <c r="R366" s="22" t="s">
        <v>27</v>
      </c>
      <c r="S366" s="25" t="s">
        <v>29</v>
      </c>
      <c r="T366" s="24" t="s">
        <v>30</v>
      </c>
      <c r="U366" s="31" t="s">
        <v>31</v>
      </c>
      <c r="V366" s="31" t="n">
        <v>43343</v>
      </c>
      <c r="W366" s="34"/>
      <c r="X366" s="34"/>
    </row>
    <row r="367" customFormat="false" ht="13.8" hidden="false" customHeight="false" outlineLevel="0" collapsed="false">
      <c r="A367" s="18"/>
      <c r="B367" s="19" t="n">
        <v>1458</v>
      </c>
      <c r="C367" s="20" t="n">
        <v>43194</v>
      </c>
      <c r="D367" s="21" t="s">
        <v>22</v>
      </c>
      <c r="E367" s="22" t="s">
        <v>109</v>
      </c>
      <c r="F367" s="23" t="s">
        <v>404</v>
      </c>
      <c r="G367" s="22" t="s">
        <v>249</v>
      </c>
      <c r="H367" s="24" t="s">
        <v>78</v>
      </c>
      <c r="I367" s="24" t="s">
        <v>101</v>
      </c>
      <c r="J367" s="25" t="n">
        <v>55.4</v>
      </c>
      <c r="K367" s="26" t="n">
        <v>425000</v>
      </c>
      <c r="L367" s="27" t="n">
        <f aca="false">K367/J367</f>
        <v>7671.48014440433</v>
      </c>
      <c r="M367" s="28"/>
      <c r="N367" s="29"/>
      <c r="O367" s="30" t="n">
        <f aca="false">K367+N367</f>
        <v>425000</v>
      </c>
      <c r="P367" s="30" t="n">
        <f aca="false">ROUND(O367/J367, 2)</f>
        <v>7671.48</v>
      </c>
      <c r="Q367" s="25" t="s">
        <v>620</v>
      </c>
      <c r="R367" s="22" t="s">
        <v>36</v>
      </c>
      <c r="S367" s="25" t="s">
        <v>29</v>
      </c>
      <c r="T367" s="24" t="s">
        <v>30</v>
      </c>
      <c r="U367" s="31" t="s">
        <v>31</v>
      </c>
      <c r="V367" s="31" t="n">
        <v>43343</v>
      </c>
      <c r="W367" s="18"/>
      <c r="X367" s="18"/>
    </row>
    <row r="368" customFormat="false" ht="13.8" hidden="false" customHeight="false" outlineLevel="0" collapsed="false">
      <c r="A368" s="18"/>
      <c r="B368" s="19" t="n">
        <v>2005</v>
      </c>
      <c r="C368" s="20" t="n">
        <v>43194</v>
      </c>
      <c r="D368" s="21" t="s">
        <v>22</v>
      </c>
      <c r="E368" s="22" t="s">
        <v>327</v>
      </c>
      <c r="F368" s="23" t="s">
        <v>328</v>
      </c>
      <c r="G368" s="22" t="s">
        <v>57</v>
      </c>
      <c r="H368" s="24" t="s">
        <v>36</v>
      </c>
      <c r="I368" s="24" t="s">
        <v>27</v>
      </c>
      <c r="J368" s="25" t="n">
        <f aca="false">170.1</f>
        <v>170.1</v>
      </c>
      <c r="K368" s="26" t="n">
        <v>3200000</v>
      </c>
      <c r="L368" s="27" t="n">
        <f aca="false">K368/J368</f>
        <v>18812.4632569077</v>
      </c>
      <c r="M368" s="28" t="s">
        <v>675</v>
      </c>
      <c r="N368" s="29"/>
      <c r="O368" s="30" t="n">
        <f aca="false">K368+N368</f>
        <v>3200000</v>
      </c>
      <c r="P368" s="30" t="n">
        <f aca="false">ROUND(O368/J368, 2)</f>
        <v>18812.46</v>
      </c>
      <c r="Q368" s="25" t="s">
        <v>649</v>
      </c>
      <c r="R368" s="22" t="s">
        <v>57</v>
      </c>
      <c r="S368" s="25" t="s">
        <v>29</v>
      </c>
      <c r="T368" s="24" t="s">
        <v>30</v>
      </c>
      <c r="U368" s="31" t="s">
        <v>31</v>
      </c>
      <c r="V368" s="31" t="n">
        <v>43343</v>
      </c>
      <c r="W368" s="34"/>
      <c r="X368" s="34"/>
      <c r="AMJ368" s="32"/>
    </row>
    <row r="369" s="32" customFormat="true" ht="13.8" hidden="false" customHeight="false" outlineLevel="0" collapsed="false">
      <c r="A369" s="18"/>
      <c r="B369" s="19" t="n">
        <v>788</v>
      </c>
      <c r="C369" s="20" t="n">
        <v>43195</v>
      </c>
      <c r="D369" s="21" t="s">
        <v>22</v>
      </c>
      <c r="E369" s="22" t="s">
        <v>229</v>
      </c>
      <c r="F369" s="23" t="s">
        <v>357</v>
      </c>
      <c r="G369" s="22" t="s">
        <v>143</v>
      </c>
      <c r="H369" s="24" t="s">
        <v>618</v>
      </c>
      <c r="I369" s="24" t="s">
        <v>82</v>
      </c>
      <c r="J369" s="25" t="n">
        <v>66.2</v>
      </c>
      <c r="K369" s="26" t="n">
        <v>457500</v>
      </c>
      <c r="L369" s="27" t="n">
        <f aca="false">K369/J369</f>
        <v>6910.87613293051</v>
      </c>
      <c r="M369" s="28"/>
      <c r="N369" s="29"/>
      <c r="O369" s="30" t="n">
        <f aca="false">K369+N369</f>
        <v>457500</v>
      </c>
      <c r="P369" s="30" t="n">
        <f aca="false">ROUND(O369/J369, 2)</f>
        <v>6910.88</v>
      </c>
      <c r="Q369" s="25" t="s">
        <v>50</v>
      </c>
      <c r="R369" s="22" t="s">
        <v>36</v>
      </c>
      <c r="S369" s="25" t="s">
        <v>29</v>
      </c>
      <c r="T369" s="24" t="s">
        <v>30</v>
      </c>
      <c r="U369" s="31" t="s">
        <v>31</v>
      </c>
      <c r="V369" s="31" t="n">
        <v>43343</v>
      </c>
      <c r="W369" s="18"/>
      <c r="X369" s="18"/>
    </row>
    <row r="370" customFormat="false" ht="13.8" hidden="false" customHeight="false" outlineLevel="0" collapsed="false">
      <c r="A370" s="18"/>
      <c r="B370" s="19" t="n">
        <v>3379</v>
      </c>
      <c r="C370" s="20" t="n">
        <v>43195</v>
      </c>
      <c r="D370" s="21" t="s">
        <v>22</v>
      </c>
      <c r="E370" s="22" t="s">
        <v>229</v>
      </c>
      <c r="F370" s="23" t="s">
        <v>357</v>
      </c>
      <c r="G370" s="22" t="s">
        <v>143</v>
      </c>
      <c r="H370" s="24" t="s">
        <v>411</v>
      </c>
      <c r="I370" s="24" t="s">
        <v>82</v>
      </c>
      <c r="J370" s="25" t="n">
        <v>65.3</v>
      </c>
      <c r="K370" s="26" t="n">
        <v>499000</v>
      </c>
      <c r="L370" s="27" t="n">
        <f aca="false">K370/J370</f>
        <v>7641.6539050536</v>
      </c>
      <c r="M370" s="28" t="s">
        <v>234</v>
      </c>
      <c r="N370" s="29"/>
      <c r="O370" s="30" t="n">
        <f aca="false">K370+N370</f>
        <v>499000</v>
      </c>
      <c r="P370" s="30" t="n">
        <f aca="false">ROUND(O370/J370, 2)</f>
        <v>7641.65</v>
      </c>
      <c r="Q370" s="25" t="s">
        <v>50</v>
      </c>
      <c r="R370" s="22" t="s">
        <v>36</v>
      </c>
      <c r="S370" s="25" t="s">
        <v>29</v>
      </c>
      <c r="T370" s="24" t="s">
        <v>30</v>
      </c>
      <c r="U370" s="31" t="s">
        <v>31</v>
      </c>
      <c r="V370" s="31" t="n">
        <v>43343</v>
      </c>
      <c r="W370" s="34" t="s">
        <v>676</v>
      </c>
      <c r="X370" s="34"/>
      <c r="AMJ370" s="32"/>
    </row>
    <row r="371" s="32" customFormat="true" ht="13.8" hidden="false" customHeight="false" outlineLevel="0" collapsed="false">
      <c r="A371" s="18"/>
      <c r="B371" s="19" t="n">
        <v>662</v>
      </c>
      <c r="C371" s="20" t="n">
        <v>43195</v>
      </c>
      <c r="D371" s="21" t="s">
        <v>22</v>
      </c>
      <c r="E371" s="22" t="s">
        <v>677</v>
      </c>
      <c r="F371" s="23" t="s">
        <v>344</v>
      </c>
      <c r="G371" s="22" t="s">
        <v>95</v>
      </c>
      <c r="H371" s="24" t="s">
        <v>678</v>
      </c>
      <c r="I371" s="24" t="s">
        <v>49</v>
      </c>
      <c r="J371" s="25" t="n">
        <v>46.8</v>
      </c>
      <c r="K371" s="26" t="n">
        <v>320000</v>
      </c>
      <c r="L371" s="27" t="n">
        <f aca="false">K371/J371</f>
        <v>6837.60683760684</v>
      </c>
      <c r="M371" s="28"/>
      <c r="N371" s="29"/>
      <c r="O371" s="30" t="n">
        <f aca="false">K371+N371</f>
        <v>320000</v>
      </c>
      <c r="P371" s="30" t="n">
        <f aca="false">ROUND(O371/J371, 2)</f>
        <v>6837.61</v>
      </c>
      <c r="Q371" s="25" t="s">
        <v>50</v>
      </c>
      <c r="R371" s="22" t="s">
        <v>36</v>
      </c>
      <c r="S371" s="25" t="s">
        <v>29</v>
      </c>
      <c r="T371" s="24" t="s">
        <v>30</v>
      </c>
      <c r="U371" s="31" t="s">
        <v>31</v>
      </c>
      <c r="V371" s="31" t="n">
        <v>43343</v>
      </c>
      <c r="W371" s="18"/>
      <c r="X371" s="18"/>
    </row>
    <row r="372" customFormat="false" ht="13.8" hidden="false" customHeight="false" outlineLevel="0" collapsed="false">
      <c r="A372" s="18"/>
      <c r="B372" s="19" t="n">
        <v>1868</v>
      </c>
      <c r="C372" s="20" t="n">
        <v>43195</v>
      </c>
      <c r="D372" s="21" t="s">
        <v>22</v>
      </c>
      <c r="E372" s="22" t="s">
        <v>61</v>
      </c>
      <c r="F372" s="23" t="s">
        <v>62</v>
      </c>
      <c r="G372" s="22" t="s">
        <v>27</v>
      </c>
      <c r="H372" s="24" t="s">
        <v>679</v>
      </c>
      <c r="I372" s="24" t="s">
        <v>26</v>
      </c>
      <c r="J372" s="25" t="n">
        <v>31.08</v>
      </c>
      <c r="K372" s="26" t="n">
        <v>205000</v>
      </c>
      <c r="L372" s="27" t="n">
        <f aca="false">K372/J372</f>
        <v>6595.8815958816</v>
      </c>
      <c r="M372" s="28"/>
      <c r="N372" s="29"/>
      <c r="O372" s="30" t="n">
        <f aca="false">K372+N372</f>
        <v>205000</v>
      </c>
      <c r="P372" s="30" t="n">
        <f aca="false">ROUND(O372/J372, 2)</f>
        <v>6595.88</v>
      </c>
      <c r="Q372" s="25" t="s">
        <v>293</v>
      </c>
      <c r="R372" s="22" t="s">
        <v>27</v>
      </c>
      <c r="S372" s="25" t="s">
        <v>29</v>
      </c>
      <c r="T372" s="24" t="s">
        <v>30</v>
      </c>
      <c r="U372" s="31" t="s">
        <v>31</v>
      </c>
      <c r="V372" s="31" t="n">
        <v>43343</v>
      </c>
      <c r="W372" s="18"/>
      <c r="X372" s="18"/>
    </row>
    <row r="373" customFormat="false" ht="13.8" hidden="false" customHeight="false" outlineLevel="0" collapsed="false">
      <c r="A373" s="18"/>
      <c r="B373" s="19" t="n">
        <v>233</v>
      </c>
      <c r="C373" s="20" t="n">
        <v>43195</v>
      </c>
      <c r="D373" s="21" t="s">
        <v>22</v>
      </c>
      <c r="E373" s="22" t="s">
        <v>175</v>
      </c>
      <c r="F373" s="23" t="s">
        <v>176</v>
      </c>
      <c r="G373" s="22" t="s">
        <v>636</v>
      </c>
      <c r="H373" s="24" t="s">
        <v>82</v>
      </c>
      <c r="I373" s="24" t="s">
        <v>26</v>
      </c>
      <c r="J373" s="25" t="n">
        <v>31.38</v>
      </c>
      <c r="K373" s="26" t="n">
        <v>240000</v>
      </c>
      <c r="L373" s="27" t="n">
        <f aca="false">K373/J373</f>
        <v>7648.18355640535</v>
      </c>
      <c r="M373" s="28"/>
      <c r="N373" s="29"/>
      <c r="O373" s="30" t="n">
        <f aca="false">K373+N373</f>
        <v>240000</v>
      </c>
      <c r="P373" s="30" t="n">
        <f aca="false">ROUND(O373/J373, 2)</f>
        <v>7648.18</v>
      </c>
      <c r="Q373" s="25" t="s">
        <v>50</v>
      </c>
      <c r="R373" s="22" t="s">
        <v>36</v>
      </c>
      <c r="S373" s="25" t="s">
        <v>29</v>
      </c>
      <c r="T373" s="24" t="s">
        <v>30</v>
      </c>
      <c r="U373" s="31" t="s">
        <v>31</v>
      </c>
      <c r="V373" s="31" t="n">
        <v>43343</v>
      </c>
      <c r="W373" s="34"/>
      <c r="X373" s="34"/>
    </row>
    <row r="374" customFormat="false" ht="13.8" hidden="false" customHeight="false" outlineLevel="0" collapsed="false">
      <c r="A374" s="18"/>
      <c r="B374" s="19" t="n">
        <v>1275</v>
      </c>
      <c r="C374" s="20" t="n">
        <v>43195</v>
      </c>
      <c r="D374" s="21" t="s">
        <v>22</v>
      </c>
      <c r="E374" s="22" t="s">
        <v>289</v>
      </c>
      <c r="F374" s="23" t="s">
        <v>46</v>
      </c>
      <c r="G374" s="22" t="s">
        <v>177</v>
      </c>
      <c r="H374" s="24" t="s">
        <v>95</v>
      </c>
      <c r="I374" s="24" t="s">
        <v>82</v>
      </c>
      <c r="J374" s="25" t="n">
        <v>25.11</v>
      </c>
      <c r="K374" s="26" t="n">
        <v>193347</v>
      </c>
      <c r="L374" s="27" t="n">
        <f aca="false">K374/J374</f>
        <v>7700</v>
      </c>
      <c r="M374" s="28"/>
      <c r="N374" s="29"/>
      <c r="O374" s="30" t="n">
        <f aca="false">K374+N374</f>
        <v>193347</v>
      </c>
      <c r="P374" s="30" t="n">
        <f aca="false">ROUND(O374/J374, 2)</f>
        <v>7700</v>
      </c>
      <c r="Q374" s="25" t="s">
        <v>680</v>
      </c>
      <c r="R374" s="22" t="s">
        <v>27</v>
      </c>
      <c r="S374" s="25" t="s">
        <v>29</v>
      </c>
      <c r="T374" s="24" t="s">
        <v>30</v>
      </c>
      <c r="U374" s="31" t="s">
        <v>31</v>
      </c>
      <c r="V374" s="31" t="n">
        <v>43343</v>
      </c>
      <c r="W374" s="34"/>
      <c r="X374" s="34"/>
    </row>
    <row r="375" customFormat="false" ht="13.8" hidden="false" customHeight="false" outlineLevel="0" collapsed="false">
      <c r="A375" s="18"/>
      <c r="B375" s="19" t="n">
        <v>3387</v>
      </c>
      <c r="C375" s="20" t="n">
        <v>43195</v>
      </c>
      <c r="D375" s="21" t="s">
        <v>22</v>
      </c>
      <c r="E375" s="22" t="s">
        <v>681</v>
      </c>
      <c r="F375" s="23" t="s">
        <v>46</v>
      </c>
      <c r="G375" s="22" t="s">
        <v>682</v>
      </c>
      <c r="H375" s="24" t="s">
        <v>115</v>
      </c>
      <c r="I375" s="24" t="s">
        <v>49</v>
      </c>
      <c r="J375" s="25" t="n">
        <v>53</v>
      </c>
      <c r="K375" s="26" t="n">
        <v>547000</v>
      </c>
      <c r="L375" s="27" t="n">
        <f aca="false">K375/J375</f>
        <v>10320.7547169811</v>
      </c>
      <c r="M375" s="28"/>
      <c r="N375" s="29"/>
      <c r="O375" s="30" t="n">
        <f aca="false">K375+N375</f>
        <v>547000</v>
      </c>
      <c r="P375" s="30" t="n">
        <f aca="false">ROUND(O375/J375, 2)</f>
        <v>10320.75</v>
      </c>
      <c r="Q375" s="25" t="s">
        <v>161</v>
      </c>
      <c r="R375" s="22" t="s">
        <v>36</v>
      </c>
      <c r="S375" s="25" t="s">
        <v>29</v>
      </c>
      <c r="T375" s="24" t="s">
        <v>30</v>
      </c>
      <c r="U375" s="31" t="s">
        <v>31</v>
      </c>
      <c r="V375" s="31" t="n">
        <v>43343</v>
      </c>
      <c r="W375" s="34"/>
      <c r="X375" s="34"/>
    </row>
    <row r="376" customFormat="false" ht="13.8" hidden="false" customHeight="false" outlineLevel="0" collapsed="false">
      <c r="A376" s="18"/>
      <c r="B376" s="19" t="n">
        <v>472</v>
      </c>
      <c r="C376" s="20" t="n">
        <v>43196</v>
      </c>
      <c r="D376" s="21" t="s">
        <v>22</v>
      </c>
      <c r="E376" s="22" t="s">
        <v>42</v>
      </c>
      <c r="F376" s="23" t="s">
        <v>301</v>
      </c>
      <c r="G376" s="22" t="s">
        <v>395</v>
      </c>
      <c r="H376" s="24" t="s">
        <v>635</v>
      </c>
      <c r="I376" s="24" t="s">
        <v>111</v>
      </c>
      <c r="J376" s="25" t="n">
        <f aca="false">38.65-2.65</f>
        <v>36</v>
      </c>
      <c r="K376" s="26" t="n">
        <v>385000</v>
      </c>
      <c r="L376" s="27" t="n">
        <f aca="false">K376/J376</f>
        <v>10694.4444444444</v>
      </c>
      <c r="M376" s="28" t="s">
        <v>397</v>
      </c>
      <c r="N376" s="29"/>
      <c r="O376" s="30" t="n">
        <f aca="false">K376+N376</f>
        <v>385000</v>
      </c>
      <c r="P376" s="30" t="n">
        <f aca="false">ROUND(O376/J376, 2)</f>
        <v>10694.44</v>
      </c>
      <c r="Q376" s="25" t="s">
        <v>50</v>
      </c>
      <c r="R376" s="22" t="s">
        <v>36</v>
      </c>
      <c r="S376" s="25" t="s">
        <v>29</v>
      </c>
      <c r="T376" s="24" t="s">
        <v>30</v>
      </c>
      <c r="U376" s="31" t="s">
        <v>31</v>
      </c>
      <c r="V376" s="31" t="n">
        <v>43343</v>
      </c>
      <c r="W376" s="34"/>
      <c r="X376" s="34"/>
      <c r="AMJ376" s="32"/>
    </row>
    <row r="377" s="32" customFormat="true" ht="13.8" hidden="false" customHeight="false" outlineLevel="0" collapsed="false">
      <c r="A377" s="18"/>
      <c r="B377" s="19" t="n">
        <v>13996</v>
      </c>
      <c r="C377" s="20" t="n">
        <v>43196</v>
      </c>
      <c r="D377" s="21" t="s">
        <v>22</v>
      </c>
      <c r="E377" s="22" t="s">
        <v>65</v>
      </c>
      <c r="F377" s="23" t="s">
        <v>630</v>
      </c>
      <c r="G377" s="22" t="s">
        <v>82</v>
      </c>
      <c r="H377" s="24" t="s">
        <v>618</v>
      </c>
      <c r="I377" s="24" t="s">
        <v>143</v>
      </c>
      <c r="J377" s="25" t="n">
        <v>31</v>
      </c>
      <c r="K377" s="26" t="n">
        <v>256000</v>
      </c>
      <c r="L377" s="27" t="n">
        <f aca="false">K377/J377</f>
        <v>8258.06451612903</v>
      </c>
      <c r="M377" s="28"/>
      <c r="N377" s="29"/>
      <c r="O377" s="30" t="n">
        <f aca="false">K377+N377</f>
        <v>256000</v>
      </c>
      <c r="P377" s="30" t="n">
        <f aca="false">ROUND(O377/J377, 2)</f>
        <v>8258.06</v>
      </c>
      <c r="Q377" s="25" t="s">
        <v>41</v>
      </c>
      <c r="R377" s="22" t="s">
        <v>27</v>
      </c>
      <c r="S377" s="25" t="s">
        <v>29</v>
      </c>
      <c r="T377" s="24" t="s">
        <v>30</v>
      </c>
      <c r="U377" s="31" t="s">
        <v>31</v>
      </c>
      <c r="V377" s="31" t="n">
        <v>43343</v>
      </c>
      <c r="W377" s="18"/>
      <c r="X377" s="18"/>
    </row>
    <row r="378" s="32" customFormat="true" ht="13.8" hidden="false" customHeight="false" outlineLevel="0" collapsed="false">
      <c r="A378" s="18"/>
      <c r="B378" s="19" t="n">
        <v>565</v>
      </c>
      <c r="C378" s="20" t="n">
        <v>43196</v>
      </c>
      <c r="D378" s="21" t="s">
        <v>22</v>
      </c>
      <c r="E378" s="22" t="s">
        <v>93</v>
      </c>
      <c r="F378" s="23" t="s">
        <v>402</v>
      </c>
      <c r="G378" s="22" t="s">
        <v>210</v>
      </c>
      <c r="H378" s="24" t="s">
        <v>74</v>
      </c>
      <c r="I378" s="24" t="s">
        <v>57</v>
      </c>
      <c r="J378" s="25" t="n">
        <v>56.1</v>
      </c>
      <c r="K378" s="26" t="n">
        <v>485000</v>
      </c>
      <c r="L378" s="27" t="n">
        <f aca="false">K378/J378</f>
        <v>8645.27629233512</v>
      </c>
      <c r="M378" s="28"/>
      <c r="N378" s="29"/>
      <c r="O378" s="30" t="n">
        <f aca="false">K378+N378</f>
        <v>485000</v>
      </c>
      <c r="P378" s="30" t="n">
        <f aca="false">ROUND(O378/J378, 2)</f>
        <v>8645.28</v>
      </c>
      <c r="Q378" s="25" t="s">
        <v>50</v>
      </c>
      <c r="R378" s="22" t="s">
        <v>36</v>
      </c>
      <c r="S378" s="25" t="s">
        <v>29</v>
      </c>
      <c r="T378" s="24" t="s">
        <v>30</v>
      </c>
      <c r="U378" s="31" t="s">
        <v>31</v>
      </c>
      <c r="V378" s="31" t="n">
        <v>43343</v>
      </c>
      <c r="W378" s="18"/>
      <c r="X378" s="18"/>
    </row>
    <row r="379" s="32" customFormat="true" ht="13.8" hidden="false" customHeight="false" outlineLevel="0" collapsed="false">
      <c r="A379" s="18"/>
      <c r="B379" s="19" t="n">
        <v>2163</v>
      </c>
      <c r="C379" s="20" t="n">
        <v>43196</v>
      </c>
      <c r="D379" s="21" t="s">
        <v>22</v>
      </c>
      <c r="E379" s="22" t="s">
        <v>187</v>
      </c>
      <c r="F379" s="23" t="s">
        <v>127</v>
      </c>
      <c r="G379" s="22" t="s">
        <v>427</v>
      </c>
      <c r="H379" s="24" t="s">
        <v>112</v>
      </c>
      <c r="I379" s="24" t="s">
        <v>26</v>
      </c>
      <c r="J379" s="25" t="n">
        <v>35.61</v>
      </c>
      <c r="K379" s="26" t="n">
        <v>340000</v>
      </c>
      <c r="L379" s="27" t="n">
        <f aca="false">K379/J379</f>
        <v>9547.8798090424</v>
      </c>
      <c r="M379" s="28"/>
      <c r="N379" s="29"/>
      <c r="O379" s="30" t="n">
        <f aca="false">K379+N379</f>
        <v>340000</v>
      </c>
      <c r="P379" s="30" t="n">
        <f aca="false">ROUND(O379/J379, 2)</f>
        <v>9547.88</v>
      </c>
      <c r="Q379" s="25" t="s">
        <v>50</v>
      </c>
      <c r="R379" s="22" t="s">
        <v>36</v>
      </c>
      <c r="S379" s="25" t="s">
        <v>29</v>
      </c>
      <c r="T379" s="24" t="s">
        <v>30</v>
      </c>
      <c r="U379" s="31" t="s">
        <v>31</v>
      </c>
      <c r="V379" s="31" t="n">
        <v>43343</v>
      </c>
      <c r="W379" s="34"/>
      <c r="X379" s="34"/>
    </row>
    <row r="380" s="32" customFormat="true" ht="13.8" hidden="false" customHeight="false" outlineLevel="0" collapsed="false">
      <c r="A380" s="18"/>
      <c r="B380" s="19" t="n">
        <v>2527</v>
      </c>
      <c r="C380" s="20" t="n">
        <v>43199</v>
      </c>
      <c r="D380" s="21" t="s">
        <v>22</v>
      </c>
      <c r="E380" s="22" t="s">
        <v>72</v>
      </c>
      <c r="F380" s="23" t="s">
        <v>94</v>
      </c>
      <c r="G380" s="22" t="s">
        <v>683</v>
      </c>
      <c r="H380" s="24" t="s">
        <v>684</v>
      </c>
      <c r="I380" s="24" t="s">
        <v>26</v>
      </c>
      <c r="J380" s="25" t="n">
        <v>41.27</v>
      </c>
      <c r="K380" s="26" t="n">
        <v>365000</v>
      </c>
      <c r="L380" s="27" t="n">
        <f aca="false">K380/J380</f>
        <v>8844.19675308941</v>
      </c>
      <c r="M380" s="28" t="s">
        <v>64</v>
      </c>
      <c r="N380" s="29"/>
      <c r="O380" s="30" t="n">
        <f aca="false">K380+N380</f>
        <v>365000</v>
      </c>
      <c r="P380" s="30" t="n">
        <f aca="false">ROUND(O380/J380, 2)</f>
        <v>8844.2</v>
      </c>
      <c r="Q380" s="25" t="s">
        <v>41</v>
      </c>
      <c r="R380" s="22" t="s">
        <v>27</v>
      </c>
      <c r="S380" s="25" t="s">
        <v>29</v>
      </c>
      <c r="T380" s="24" t="s">
        <v>30</v>
      </c>
      <c r="U380" s="31" t="s">
        <v>31</v>
      </c>
      <c r="V380" s="31" t="n">
        <v>43343</v>
      </c>
      <c r="W380" s="34"/>
      <c r="X380" s="34"/>
    </row>
    <row r="381" s="32" customFormat="true" ht="13.8" hidden="false" customHeight="false" outlineLevel="0" collapsed="false">
      <c r="A381" s="18"/>
      <c r="B381" s="19" t="n">
        <v>1089</v>
      </c>
      <c r="C381" s="20" t="n">
        <v>43199</v>
      </c>
      <c r="D381" s="21" t="s">
        <v>22</v>
      </c>
      <c r="E381" s="22" t="s">
        <v>278</v>
      </c>
      <c r="F381" s="23" t="s">
        <v>288</v>
      </c>
      <c r="G381" s="22" t="s">
        <v>143</v>
      </c>
      <c r="H381" s="24" t="s">
        <v>74</v>
      </c>
      <c r="I381" s="24" t="s">
        <v>49</v>
      </c>
      <c r="J381" s="25" t="n">
        <v>113.2</v>
      </c>
      <c r="K381" s="26" t="n">
        <v>1250000</v>
      </c>
      <c r="L381" s="27" t="n">
        <f aca="false">K381/J381</f>
        <v>11042.4028268551</v>
      </c>
      <c r="M381" s="28" t="s">
        <v>205</v>
      </c>
      <c r="N381" s="29" t="n">
        <v>25000</v>
      </c>
      <c r="O381" s="30" t="n">
        <f aca="false">K381+N381</f>
        <v>1275000</v>
      </c>
      <c r="P381" s="30" t="n">
        <f aca="false">ROUND(O381/J381, 2)</f>
        <v>11263.25</v>
      </c>
      <c r="Q381" s="25" t="s">
        <v>91</v>
      </c>
      <c r="R381" s="22" t="s">
        <v>49</v>
      </c>
      <c r="S381" s="25" t="s">
        <v>29</v>
      </c>
      <c r="T381" s="24" t="s">
        <v>30</v>
      </c>
      <c r="U381" s="31" t="s">
        <v>31</v>
      </c>
      <c r="V381" s="31" t="n">
        <v>43343</v>
      </c>
      <c r="W381" s="34"/>
      <c r="X381" s="34"/>
    </row>
    <row r="382" s="32" customFormat="true" ht="13.8" hidden="false" customHeight="false" outlineLevel="0" collapsed="false">
      <c r="A382" s="18"/>
      <c r="B382" s="19" t="n">
        <v>1957</v>
      </c>
      <c r="C382" s="20" t="n">
        <v>43199</v>
      </c>
      <c r="D382" s="21" t="s">
        <v>22</v>
      </c>
      <c r="E382" s="22" t="s">
        <v>175</v>
      </c>
      <c r="F382" s="23" t="s">
        <v>176</v>
      </c>
      <c r="G382" s="22" t="s">
        <v>177</v>
      </c>
      <c r="H382" s="24" t="s">
        <v>55</v>
      </c>
      <c r="I382" s="24" t="s">
        <v>26</v>
      </c>
      <c r="J382" s="25" t="n">
        <v>38.94</v>
      </c>
      <c r="K382" s="26" t="n">
        <v>420000</v>
      </c>
      <c r="L382" s="27" t="n">
        <f aca="false">K382/J382</f>
        <v>10785.8243451464</v>
      </c>
      <c r="M382" s="28"/>
      <c r="N382" s="29"/>
      <c r="O382" s="30" t="n">
        <f aca="false">K382+N382</f>
        <v>420000</v>
      </c>
      <c r="P382" s="30" t="n">
        <f aca="false">ROUND(O382/J382, 2)</f>
        <v>10785.82</v>
      </c>
      <c r="Q382" s="25" t="s">
        <v>50</v>
      </c>
      <c r="R382" s="22" t="s">
        <v>36</v>
      </c>
      <c r="S382" s="25" t="s">
        <v>29</v>
      </c>
      <c r="T382" s="24" t="s">
        <v>30</v>
      </c>
      <c r="U382" s="31" t="s">
        <v>31</v>
      </c>
      <c r="V382" s="31" t="n">
        <v>43343</v>
      </c>
      <c r="W382" s="18"/>
      <c r="X382" s="18"/>
      <c r="Z382" s="33"/>
    </row>
    <row r="383" s="32" customFormat="true" ht="13.8" hidden="false" customHeight="false" outlineLevel="0" collapsed="false">
      <c r="A383" s="18"/>
      <c r="B383" s="19" t="n">
        <v>1535</v>
      </c>
      <c r="C383" s="20" t="n">
        <v>43199</v>
      </c>
      <c r="D383" s="21" t="s">
        <v>22</v>
      </c>
      <c r="E383" s="22" t="s">
        <v>148</v>
      </c>
      <c r="F383" s="23" t="s">
        <v>149</v>
      </c>
      <c r="G383" s="22" t="s">
        <v>57</v>
      </c>
      <c r="H383" s="24" t="s">
        <v>82</v>
      </c>
      <c r="I383" s="24" t="s">
        <v>36</v>
      </c>
      <c r="J383" s="25" t="n">
        <v>31.06</v>
      </c>
      <c r="K383" s="26" t="n">
        <v>276000</v>
      </c>
      <c r="L383" s="27" t="n">
        <f aca="false">K383/J383</f>
        <v>8886.02704443013</v>
      </c>
      <c r="M383" s="28" t="s">
        <v>64</v>
      </c>
      <c r="N383" s="29"/>
      <c r="O383" s="30" t="n">
        <f aca="false">K383+N383</f>
        <v>276000</v>
      </c>
      <c r="P383" s="30" t="n">
        <f aca="false">ROUND(O383/J383, 2)</f>
        <v>8886.03</v>
      </c>
      <c r="Q383" s="25" t="s">
        <v>41</v>
      </c>
      <c r="R383" s="22" t="s">
        <v>27</v>
      </c>
      <c r="S383" s="25" t="s">
        <v>29</v>
      </c>
      <c r="T383" s="24" t="s">
        <v>30</v>
      </c>
      <c r="U383" s="31" t="s">
        <v>31</v>
      </c>
      <c r="V383" s="31" t="n">
        <v>43343</v>
      </c>
      <c r="W383" s="34"/>
      <c r="X383" s="34"/>
      <c r="Z383" s="1"/>
    </row>
    <row r="384" customFormat="false" ht="13.8" hidden="false" customHeight="false" outlineLevel="0" collapsed="false">
      <c r="A384" s="18"/>
      <c r="B384" s="19" t="n">
        <v>3170</v>
      </c>
      <c r="C384" s="20" t="n">
        <v>43199</v>
      </c>
      <c r="D384" s="21" t="s">
        <v>22</v>
      </c>
      <c r="E384" s="22" t="s">
        <v>251</v>
      </c>
      <c r="F384" s="23" t="s">
        <v>535</v>
      </c>
      <c r="G384" s="22" t="s">
        <v>25</v>
      </c>
      <c r="H384" s="24" t="s">
        <v>112</v>
      </c>
      <c r="I384" s="24" t="s">
        <v>49</v>
      </c>
      <c r="J384" s="25" t="n">
        <f aca="false">52.2-1.5</f>
        <v>50.7</v>
      </c>
      <c r="K384" s="26" t="n">
        <v>428000</v>
      </c>
      <c r="L384" s="27" t="n">
        <f aca="false">K384/J384</f>
        <v>8441.81459566075</v>
      </c>
      <c r="M384" s="28" t="s">
        <v>685</v>
      </c>
      <c r="N384" s="29"/>
      <c r="O384" s="30" t="n">
        <f aca="false">K384+N384</f>
        <v>428000</v>
      </c>
      <c r="P384" s="30" t="n">
        <f aca="false">ROUND(O384/J384, 2)</f>
        <v>8441.81</v>
      </c>
      <c r="Q384" s="25" t="s">
        <v>85</v>
      </c>
      <c r="R384" s="22" t="s">
        <v>26</v>
      </c>
      <c r="S384" s="25" t="s">
        <v>29</v>
      </c>
      <c r="T384" s="24" t="s">
        <v>30</v>
      </c>
      <c r="U384" s="31" t="s">
        <v>31</v>
      </c>
      <c r="V384" s="31" t="n">
        <v>43343</v>
      </c>
      <c r="W384" s="18"/>
      <c r="X384" s="18"/>
    </row>
    <row r="385" customFormat="false" ht="13.8" hidden="false" customHeight="false" outlineLevel="0" collapsed="false">
      <c r="A385" s="18"/>
      <c r="B385" s="19" t="n">
        <v>9720</v>
      </c>
      <c r="C385" s="20" t="n">
        <v>43199</v>
      </c>
      <c r="D385" s="21" t="s">
        <v>22</v>
      </c>
      <c r="E385" s="22" t="s">
        <v>665</v>
      </c>
      <c r="F385" s="23" t="s">
        <v>544</v>
      </c>
      <c r="G385" s="22" t="s">
        <v>181</v>
      </c>
      <c r="H385" s="24" t="s">
        <v>47</v>
      </c>
      <c r="I385" s="24" t="s">
        <v>26</v>
      </c>
      <c r="J385" s="25" t="n">
        <v>54.1</v>
      </c>
      <c r="K385" s="26" t="n">
        <v>640000</v>
      </c>
      <c r="L385" s="27" t="n">
        <f aca="false">K385/J385</f>
        <v>11829.9445471349</v>
      </c>
      <c r="M385" s="28" t="s">
        <v>686</v>
      </c>
      <c r="N385" s="29"/>
      <c r="O385" s="30" t="n">
        <f aca="false">K385+N385</f>
        <v>640000</v>
      </c>
      <c r="P385" s="30" t="n">
        <f aca="false">ROUND(O385/J385, 2)</f>
        <v>11829.94</v>
      </c>
      <c r="Q385" s="25" t="s">
        <v>161</v>
      </c>
      <c r="R385" s="22" t="s">
        <v>36</v>
      </c>
      <c r="S385" s="25" t="s">
        <v>29</v>
      </c>
      <c r="T385" s="24" t="s">
        <v>30</v>
      </c>
      <c r="U385" s="31" t="s">
        <v>31</v>
      </c>
      <c r="V385" s="31" t="n">
        <v>43343</v>
      </c>
      <c r="W385" s="18"/>
      <c r="X385" s="18"/>
      <c r="AMJ385" s="32"/>
    </row>
    <row r="386" s="32" customFormat="true" ht="13.8" hidden="false" customHeight="false" outlineLevel="0" collapsed="false">
      <c r="A386" s="18"/>
      <c r="B386" s="19" t="n">
        <v>2004</v>
      </c>
      <c r="C386" s="20" t="n">
        <v>43200</v>
      </c>
      <c r="D386" s="21" t="s">
        <v>22</v>
      </c>
      <c r="E386" s="22" t="s">
        <v>148</v>
      </c>
      <c r="F386" s="23" t="s">
        <v>340</v>
      </c>
      <c r="G386" s="22" t="s">
        <v>25</v>
      </c>
      <c r="H386" s="24" t="s">
        <v>489</v>
      </c>
      <c r="I386" s="24" t="s">
        <v>26</v>
      </c>
      <c r="J386" s="25" t="n">
        <v>52.5</v>
      </c>
      <c r="K386" s="26" t="n">
        <v>400000</v>
      </c>
      <c r="L386" s="27" t="n">
        <f aca="false">K386/J386</f>
        <v>7619.04761904762</v>
      </c>
      <c r="M386" s="28"/>
      <c r="N386" s="29"/>
      <c r="O386" s="30" t="n">
        <f aca="false">K386+N386</f>
        <v>400000</v>
      </c>
      <c r="P386" s="30" t="n">
        <f aca="false">ROUND(O386/J386, 2)</f>
        <v>7619.05</v>
      </c>
      <c r="Q386" s="25" t="s">
        <v>85</v>
      </c>
      <c r="R386" s="22" t="s">
        <v>26</v>
      </c>
      <c r="S386" s="25" t="s">
        <v>29</v>
      </c>
      <c r="T386" s="24" t="s">
        <v>30</v>
      </c>
      <c r="U386" s="31" t="s">
        <v>31</v>
      </c>
      <c r="V386" s="31" t="n">
        <v>43343</v>
      </c>
      <c r="W386" s="18"/>
      <c r="X386" s="18"/>
      <c r="Z386" s="33"/>
    </row>
    <row r="387" customFormat="false" ht="13.8" hidden="false" customHeight="false" outlineLevel="0" collapsed="false">
      <c r="A387" s="18"/>
      <c r="B387" s="19" t="n">
        <v>993</v>
      </c>
      <c r="C387" s="20" t="n">
        <v>43201</v>
      </c>
      <c r="D387" s="21" t="s">
        <v>22</v>
      </c>
      <c r="E387" s="22" t="s">
        <v>644</v>
      </c>
      <c r="F387" s="23" t="s">
        <v>687</v>
      </c>
      <c r="G387" s="22" t="s">
        <v>25</v>
      </c>
      <c r="H387" s="24" t="s">
        <v>27</v>
      </c>
      <c r="I387" s="24" t="s">
        <v>27</v>
      </c>
      <c r="J387" s="25" t="n">
        <v>38.72</v>
      </c>
      <c r="K387" s="26" t="n">
        <v>420000</v>
      </c>
      <c r="L387" s="27" t="n">
        <f aca="false">K387/J387</f>
        <v>10847.1074380165</v>
      </c>
      <c r="M387" s="28"/>
      <c r="N387" s="29"/>
      <c r="O387" s="30" t="n">
        <f aca="false">K387+N387</f>
        <v>420000</v>
      </c>
      <c r="P387" s="30" t="n">
        <f aca="false">ROUND(O387/J387, 2)</f>
        <v>10847.11</v>
      </c>
      <c r="Q387" s="25" t="s">
        <v>41</v>
      </c>
      <c r="R387" s="22" t="s">
        <v>27</v>
      </c>
      <c r="S387" s="25" t="s">
        <v>29</v>
      </c>
      <c r="T387" s="24" t="s">
        <v>30</v>
      </c>
      <c r="U387" s="31" t="s">
        <v>31</v>
      </c>
      <c r="V387" s="31" t="n">
        <v>43343</v>
      </c>
      <c r="W387" s="18"/>
      <c r="X387" s="18"/>
    </row>
    <row r="388" customFormat="false" ht="13.8" hidden="false" customHeight="false" outlineLevel="0" collapsed="false">
      <c r="A388" s="18"/>
      <c r="B388" s="19" t="n">
        <v>2420</v>
      </c>
      <c r="C388" s="20" t="n">
        <v>43202</v>
      </c>
      <c r="D388" s="21" t="s">
        <v>22</v>
      </c>
      <c r="E388" s="22" t="s">
        <v>278</v>
      </c>
      <c r="F388" s="23" t="s">
        <v>688</v>
      </c>
      <c r="G388" s="22" t="s">
        <v>321</v>
      </c>
      <c r="H388" s="24" t="s">
        <v>259</v>
      </c>
      <c r="I388" s="24" t="s">
        <v>26</v>
      </c>
      <c r="J388" s="25" t="n">
        <v>35.86</v>
      </c>
      <c r="K388" s="26" t="n">
        <v>295000</v>
      </c>
      <c r="L388" s="27" t="n">
        <f aca="false">K388/J388</f>
        <v>8226.43614054657</v>
      </c>
      <c r="M388" s="28" t="s">
        <v>64</v>
      </c>
      <c r="N388" s="29"/>
      <c r="O388" s="30" t="n">
        <f aca="false">K388+N388</f>
        <v>295000</v>
      </c>
      <c r="P388" s="30" t="n">
        <f aca="false">ROUND(O388/J388, 2)</f>
        <v>8226.44</v>
      </c>
      <c r="Q388" s="25" t="s">
        <v>50</v>
      </c>
      <c r="R388" s="22" t="s">
        <v>36</v>
      </c>
      <c r="S388" s="25" t="s">
        <v>29</v>
      </c>
      <c r="T388" s="24" t="s">
        <v>30</v>
      </c>
      <c r="U388" s="31" t="s">
        <v>31</v>
      </c>
      <c r="V388" s="31" t="n">
        <v>43343</v>
      </c>
      <c r="W388" s="18"/>
      <c r="X388" s="18"/>
      <c r="AMJ388" s="32"/>
    </row>
    <row r="389" s="32" customFormat="true" ht="13.8" hidden="false" customHeight="false" outlineLevel="0" collapsed="false">
      <c r="A389" s="18"/>
      <c r="B389" s="19" t="n">
        <v>1266</v>
      </c>
      <c r="C389" s="20" t="n">
        <v>43202</v>
      </c>
      <c r="D389" s="21" t="s">
        <v>22</v>
      </c>
      <c r="E389" s="22" t="s">
        <v>522</v>
      </c>
      <c r="F389" s="23" t="s">
        <v>523</v>
      </c>
      <c r="G389" s="22" t="s">
        <v>143</v>
      </c>
      <c r="H389" s="24" t="s">
        <v>396</v>
      </c>
      <c r="I389" s="24" t="s">
        <v>25</v>
      </c>
      <c r="J389" s="25" t="n">
        <f aca="false">89.94-6.24</f>
        <v>83.7</v>
      </c>
      <c r="K389" s="26" t="n">
        <v>869000</v>
      </c>
      <c r="L389" s="27" t="n">
        <f aca="false">K389/J389</f>
        <v>10382.3178016726</v>
      </c>
      <c r="M389" s="28" t="s">
        <v>689</v>
      </c>
      <c r="N389" s="29" t="n">
        <v>31000</v>
      </c>
      <c r="O389" s="30" t="n">
        <f aca="false">K389+N389</f>
        <v>900000</v>
      </c>
      <c r="P389" s="30" t="n">
        <f aca="false">ROUND(O389/J389, 2)</f>
        <v>10752.69</v>
      </c>
      <c r="Q389" s="25" t="s">
        <v>232</v>
      </c>
      <c r="R389" s="22" t="s">
        <v>26</v>
      </c>
      <c r="S389" s="25" t="s">
        <v>29</v>
      </c>
      <c r="T389" s="24" t="s">
        <v>30</v>
      </c>
      <c r="U389" s="31" t="s">
        <v>31</v>
      </c>
      <c r="V389" s="31" t="n">
        <v>43343</v>
      </c>
      <c r="W389" s="18"/>
      <c r="X389" s="18"/>
    </row>
    <row r="390" s="32" customFormat="true" ht="13.8" hidden="false" customHeight="false" outlineLevel="0" collapsed="false">
      <c r="A390" s="18"/>
      <c r="B390" s="19" t="n">
        <v>2099</v>
      </c>
      <c r="C390" s="20" t="n">
        <v>43202</v>
      </c>
      <c r="D390" s="21" t="s">
        <v>22</v>
      </c>
      <c r="E390" s="22" t="s">
        <v>690</v>
      </c>
      <c r="F390" s="23" t="s">
        <v>691</v>
      </c>
      <c r="G390" s="22" t="s">
        <v>321</v>
      </c>
      <c r="H390" s="24" t="s">
        <v>26</v>
      </c>
      <c r="I390" s="24" t="s">
        <v>26</v>
      </c>
      <c r="J390" s="25" t="n">
        <f aca="false">168.1-62.1</f>
        <v>106</v>
      </c>
      <c r="K390" s="26" t="n">
        <v>1116000</v>
      </c>
      <c r="L390" s="27" t="n">
        <f aca="false">K390/J390</f>
        <v>10528.3018867925</v>
      </c>
      <c r="M390" s="28" t="s">
        <v>692</v>
      </c>
      <c r="N390" s="29"/>
      <c r="O390" s="30" t="n">
        <f aca="false">K390+N390</f>
        <v>1116000</v>
      </c>
      <c r="P390" s="30" t="n">
        <f aca="false">ROUND(O390/J390, 2)</f>
        <v>10528.3</v>
      </c>
      <c r="Q390" s="25" t="s">
        <v>91</v>
      </c>
      <c r="R390" s="22" t="s">
        <v>49</v>
      </c>
      <c r="S390" s="25" t="s">
        <v>29</v>
      </c>
      <c r="T390" s="24" t="s">
        <v>30</v>
      </c>
      <c r="U390" s="31" t="s">
        <v>31</v>
      </c>
      <c r="V390" s="31" t="n">
        <v>43343</v>
      </c>
      <c r="W390" s="18"/>
      <c r="X390" s="18"/>
    </row>
    <row r="391" customFormat="false" ht="13.8" hidden="false" customHeight="false" outlineLevel="0" collapsed="false">
      <c r="A391" s="18"/>
      <c r="B391" s="19" t="n">
        <v>3592</v>
      </c>
      <c r="C391" s="20" t="n">
        <v>43202</v>
      </c>
      <c r="D391" s="21" t="s">
        <v>22</v>
      </c>
      <c r="E391" s="22" t="s">
        <v>299</v>
      </c>
      <c r="F391" s="23" t="s">
        <v>271</v>
      </c>
      <c r="G391" s="22" t="s">
        <v>464</v>
      </c>
      <c r="H391" s="24" t="s">
        <v>300</v>
      </c>
      <c r="I391" s="24" t="s">
        <v>49</v>
      </c>
      <c r="J391" s="25" t="n">
        <v>50.01</v>
      </c>
      <c r="K391" s="26" t="n">
        <v>435000</v>
      </c>
      <c r="L391" s="27" t="n">
        <f aca="false">K391/J391</f>
        <v>8698.26034793041</v>
      </c>
      <c r="M391" s="28"/>
      <c r="N391" s="29"/>
      <c r="O391" s="30" t="n">
        <f aca="false">K391+N391</f>
        <v>435000</v>
      </c>
      <c r="P391" s="30" t="n">
        <f aca="false">ROUND(O391/J391, 2)</f>
        <v>8698.26</v>
      </c>
      <c r="Q391" s="25" t="s">
        <v>50</v>
      </c>
      <c r="R391" s="22" t="s">
        <v>36</v>
      </c>
      <c r="S391" s="25" t="s">
        <v>29</v>
      </c>
      <c r="T391" s="24" t="s">
        <v>30</v>
      </c>
      <c r="U391" s="31" t="s">
        <v>31</v>
      </c>
      <c r="V391" s="31" t="n">
        <v>43343</v>
      </c>
      <c r="W391" s="18"/>
      <c r="X391" s="18"/>
    </row>
    <row r="392" customFormat="false" ht="13.8" hidden="false" customHeight="false" outlineLevel="0" collapsed="false">
      <c r="A392" s="18"/>
      <c r="B392" s="19" t="n">
        <v>4095</v>
      </c>
      <c r="C392" s="20" t="n">
        <v>43203</v>
      </c>
      <c r="D392" s="21" t="s">
        <v>22</v>
      </c>
      <c r="E392" s="22" t="s">
        <v>75</v>
      </c>
      <c r="F392" s="23" t="s">
        <v>76</v>
      </c>
      <c r="G392" s="22" t="s">
        <v>693</v>
      </c>
      <c r="H392" s="24" t="s">
        <v>294</v>
      </c>
      <c r="I392" s="24" t="s">
        <v>57</v>
      </c>
      <c r="J392" s="25" t="n">
        <f aca="false">49.67-3.92</f>
        <v>45.75</v>
      </c>
      <c r="K392" s="26" t="n">
        <v>530000</v>
      </c>
      <c r="L392" s="27" t="n">
        <f aca="false">K392/J392</f>
        <v>11584.6994535519</v>
      </c>
      <c r="M392" s="28" t="s">
        <v>694</v>
      </c>
      <c r="N392" s="29"/>
      <c r="O392" s="30" t="n">
        <f aca="false">K392+N392</f>
        <v>530000</v>
      </c>
      <c r="P392" s="30" t="n">
        <f aca="false">ROUND(O392/J392, 2)</f>
        <v>11584.7</v>
      </c>
      <c r="Q392" s="25" t="s">
        <v>161</v>
      </c>
      <c r="R392" s="22" t="s">
        <v>36</v>
      </c>
      <c r="S392" s="25" t="s">
        <v>29</v>
      </c>
      <c r="T392" s="24" t="s">
        <v>30</v>
      </c>
      <c r="U392" s="31" t="s">
        <v>31</v>
      </c>
      <c r="V392" s="31" t="n">
        <v>43343</v>
      </c>
      <c r="W392" s="34"/>
      <c r="X392" s="34"/>
    </row>
    <row r="393" customFormat="false" ht="13.8" hidden="false" customHeight="false" outlineLevel="0" collapsed="false">
      <c r="A393" s="18"/>
      <c r="B393" s="19" t="n">
        <v>941</v>
      </c>
      <c r="C393" s="20" t="n">
        <v>43203</v>
      </c>
      <c r="D393" s="21" t="s">
        <v>22</v>
      </c>
      <c r="E393" s="22" t="s">
        <v>37</v>
      </c>
      <c r="F393" s="23" t="s">
        <v>38</v>
      </c>
      <c r="G393" s="22" t="s">
        <v>39</v>
      </c>
      <c r="H393" s="24" t="s">
        <v>210</v>
      </c>
      <c r="I393" s="24" t="s">
        <v>57</v>
      </c>
      <c r="J393" s="25" t="n">
        <v>47.03</v>
      </c>
      <c r="K393" s="26" t="n">
        <v>400000</v>
      </c>
      <c r="L393" s="27" t="n">
        <f aca="false">K393/J393</f>
        <v>8505.20944078248</v>
      </c>
      <c r="M393" s="28" t="s">
        <v>64</v>
      </c>
      <c r="N393" s="29"/>
      <c r="O393" s="30" t="n">
        <f aca="false">K393+N393</f>
        <v>400000</v>
      </c>
      <c r="P393" s="30" t="n">
        <f aca="false">ROUND(O393/J393, 2)</f>
        <v>8505.21</v>
      </c>
      <c r="Q393" s="25" t="s">
        <v>50</v>
      </c>
      <c r="R393" s="22" t="s">
        <v>36</v>
      </c>
      <c r="S393" s="25" t="s">
        <v>29</v>
      </c>
      <c r="T393" s="24" t="s">
        <v>30</v>
      </c>
      <c r="U393" s="31" t="s">
        <v>31</v>
      </c>
      <c r="V393" s="31" t="n">
        <v>43343</v>
      </c>
      <c r="W393" s="18"/>
      <c r="X393" s="18"/>
      <c r="AMJ393" s="32"/>
    </row>
    <row r="394" s="32" customFormat="true" ht="13.8" hidden="false" customHeight="false" outlineLevel="0" collapsed="false">
      <c r="A394" s="18"/>
      <c r="B394" s="19" t="n">
        <v>3984</v>
      </c>
      <c r="C394" s="20" t="n">
        <v>43203</v>
      </c>
      <c r="D394" s="21" t="s">
        <v>22</v>
      </c>
      <c r="E394" s="22" t="s">
        <v>86</v>
      </c>
      <c r="F394" s="23" t="s">
        <v>695</v>
      </c>
      <c r="G394" s="22" t="s">
        <v>143</v>
      </c>
      <c r="H394" s="24" t="s">
        <v>135</v>
      </c>
      <c r="I394" s="24" t="s">
        <v>26</v>
      </c>
      <c r="J394" s="25" t="n">
        <v>50.5</v>
      </c>
      <c r="K394" s="26" t="n">
        <v>350000</v>
      </c>
      <c r="L394" s="27" t="n">
        <f aca="false">K394/J394</f>
        <v>6930.69306930693</v>
      </c>
      <c r="M394" s="28" t="s">
        <v>64</v>
      </c>
      <c r="N394" s="29"/>
      <c r="O394" s="30" t="n">
        <f aca="false">K394+N394</f>
        <v>350000</v>
      </c>
      <c r="P394" s="30" t="n">
        <f aca="false">ROUND(O394/J394, 2)</f>
        <v>6930.69</v>
      </c>
      <c r="Q394" s="25" t="s">
        <v>85</v>
      </c>
      <c r="R394" s="22" t="s">
        <v>26</v>
      </c>
      <c r="S394" s="25" t="s">
        <v>29</v>
      </c>
      <c r="T394" s="24" t="s">
        <v>30</v>
      </c>
      <c r="U394" s="31" t="s">
        <v>31</v>
      </c>
      <c r="V394" s="31" t="n">
        <v>43343</v>
      </c>
      <c r="W394" s="34"/>
      <c r="X394" s="34"/>
    </row>
    <row r="395" customFormat="false" ht="13.8" hidden="false" customHeight="false" outlineLevel="0" collapsed="false">
      <c r="A395" s="18"/>
      <c r="B395" s="19" t="n">
        <v>1202</v>
      </c>
      <c r="C395" s="20" t="n">
        <v>43207</v>
      </c>
      <c r="D395" s="21" t="s">
        <v>22</v>
      </c>
      <c r="E395" s="22" t="s">
        <v>190</v>
      </c>
      <c r="F395" s="23" t="s">
        <v>591</v>
      </c>
      <c r="G395" s="22" t="s">
        <v>120</v>
      </c>
      <c r="H395" s="24" t="s">
        <v>696</v>
      </c>
      <c r="I395" s="24" t="s">
        <v>697</v>
      </c>
      <c r="J395" s="25" t="n">
        <f aca="false">71.59-4.19</f>
        <v>67.4</v>
      </c>
      <c r="K395" s="26" t="n">
        <v>950000</v>
      </c>
      <c r="L395" s="27" t="n">
        <f aca="false">K395/J395</f>
        <v>14094.9554896142</v>
      </c>
      <c r="M395" s="28" t="s">
        <v>698</v>
      </c>
      <c r="N395" s="29"/>
      <c r="O395" s="30" t="n">
        <f aca="false">K395+N395</f>
        <v>950000</v>
      </c>
      <c r="P395" s="30" t="n">
        <f aca="false">ROUND(O395/J395, 2)</f>
        <v>14094.96</v>
      </c>
      <c r="Q395" s="25" t="s">
        <v>232</v>
      </c>
      <c r="R395" s="22" t="s">
        <v>26</v>
      </c>
      <c r="S395" s="25" t="s">
        <v>29</v>
      </c>
      <c r="T395" s="24" t="s">
        <v>30</v>
      </c>
      <c r="U395" s="31" t="s">
        <v>31</v>
      </c>
      <c r="V395" s="31" t="n">
        <v>43343</v>
      </c>
      <c r="W395" s="34" t="s">
        <v>699</v>
      </c>
      <c r="X395" s="18"/>
    </row>
    <row r="396" customFormat="false" ht="13.8" hidden="false" customHeight="false" outlineLevel="0" collapsed="false">
      <c r="A396" s="18"/>
      <c r="B396" s="19" t="n">
        <v>421</v>
      </c>
      <c r="C396" s="20" t="n">
        <v>43207</v>
      </c>
      <c r="D396" s="21" t="s">
        <v>22</v>
      </c>
      <c r="E396" s="22" t="s">
        <v>235</v>
      </c>
      <c r="F396" s="23" t="s">
        <v>236</v>
      </c>
      <c r="G396" s="22" t="s">
        <v>326</v>
      </c>
      <c r="H396" s="24" t="s">
        <v>120</v>
      </c>
      <c r="I396" s="24" t="s">
        <v>36</v>
      </c>
      <c r="J396" s="25" t="n">
        <v>48.91</v>
      </c>
      <c r="K396" s="26" t="n">
        <v>580000</v>
      </c>
      <c r="L396" s="27" t="n">
        <f aca="false">K396/J396</f>
        <v>11858.5156409732</v>
      </c>
      <c r="M396" s="28"/>
      <c r="N396" s="29"/>
      <c r="O396" s="30" t="n">
        <f aca="false">K396+N396</f>
        <v>580000</v>
      </c>
      <c r="P396" s="30" t="n">
        <f aca="false">ROUND(O396/J396, 2)</f>
        <v>11858.52</v>
      </c>
      <c r="Q396" s="25" t="s">
        <v>50</v>
      </c>
      <c r="R396" s="22" t="s">
        <v>36</v>
      </c>
      <c r="S396" s="25" t="s">
        <v>29</v>
      </c>
      <c r="T396" s="24" t="s">
        <v>30</v>
      </c>
      <c r="U396" s="31" t="s">
        <v>31</v>
      </c>
      <c r="V396" s="31" t="n">
        <v>43343</v>
      </c>
      <c r="W396" s="18"/>
      <c r="X396" s="18"/>
    </row>
    <row r="397" customFormat="false" ht="13.8" hidden="false" customHeight="false" outlineLevel="0" collapsed="false">
      <c r="A397" s="18"/>
      <c r="B397" s="19" t="n">
        <v>13007</v>
      </c>
      <c r="C397" s="20" t="n">
        <v>43207</v>
      </c>
      <c r="D397" s="38" t="s">
        <v>22</v>
      </c>
      <c r="E397" s="22" t="s">
        <v>308</v>
      </c>
      <c r="F397" s="34" t="s">
        <v>46</v>
      </c>
      <c r="G397" s="19" t="s">
        <v>502</v>
      </c>
      <c r="H397" s="19" t="n">
        <v>36</v>
      </c>
      <c r="I397" s="19" t="n">
        <v>14</v>
      </c>
      <c r="J397" s="19" t="n">
        <v>44</v>
      </c>
      <c r="K397" s="39" t="n">
        <v>400000</v>
      </c>
      <c r="L397" s="39" t="n">
        <f aca="false">ROUND(K397/J397,2)</f>
        <v>9090.91</v>
      </c>
      <c r="M397" s="34" t="s">
        <v>700</v>
      </c>
      <c r="N397" s="40"/>
      <c r="O397" s="30" t="n">
        <f aca="false">K397+N397</f>
        <v>400000</v>
      </c>
      <c r="P397" s="39" t="n">
        <f aca="false">ROUND(O397/J397,2)</f>
        <v>9090.91</v>
      </c>
      <c r="Q397" s="19" t="s">
        <v>701</v>
      </c>
      <c r="R397" s="22" t="n">
        <v>3</v>
      </c>
      <c r="S397" s="19" t="s">
        <v>29</v>
      </c>
      <c r="T397" s="19" t="s">
        <v>30</v>
      </c>
      <c r="U397" s="31" t="s">
        <v>31</v>
      </c>
      <c r="V397" s="41" t="n">
        <v>43432</v>
      </c>
      <c r="W397" s="18"/>
      <c r="X397" s="18"/>
    </row>
    <row r="398" customFormat="false" ht="13.8" hidden="false" customHeight="false" outlineLevel="0" collapsed="false">
      <c r="A398" s="18"/>
      <c r="B398" s="19" t="n">
        <v>677</v>
      </c>
      <c r="C398" s="20" t="n">
        <v>43210</v>
      </c>
      <c r="D398" s="21" t="s">
        <v>22</v>
      </c>
      <c r="E398" s="22" t="s">
        <v>72</v>
      </c>
      <c r="F398" s="23" t="s">
        <v>387</v>
      </c>
      <c r="G398" s="22" t="s">
        <v>101</v>
      </c>
      <c r="H398" s="24" t="s">
        <v>112</v>
      </c>
      <c r="I398" s="24" t="s">
        <v>26</v>
      </c>
      <c r="J398" s="25" t="n">
        <v>48.3</v>
      </c>
      <c r="K398" s="26" t="n">
        <v>310000</v>
      </c>
      <c r="L398" s="27" t="n">
        <f aca="false">K398/J398</f>
        <v>6418.21946169772</v>
      </c>
      <c r="M398" s="28"/>
      <c r="N398" s="29"/>
      <c r="O398" s="30" t="n">
        <f aca="false">K398+N398</f>
        <v>310000</v>
      </c>
      <c r="P398" s="30" t="n">
        <f aca="false">ROUND(O398/J398, 2)</f>
        <v>6418.22</v>
      </c>
      <c r="Q398" s="25" t="s">
        <v>50</v>
      </c>
      <c r="R398" s="22" t="s">
        <v>36</v>
      </c>
      <c r="S398" s="25" t="s">
        <v>29</v>
      </c>
      <c r="T398" s="24" t="s">
        <v>30</v>
      </c>
      <c r="U398" s="31" t="s">
        <v>31</v>
      </c>
      <c r="V398" s="31" t="n">
        <v>43343</v>
      </c>
      <c r="W398" s="18"/>
      <c r="X398" s="18"/>
      <c r="Y398" s="35"/>
      <c r="Z398" s="36"/>
    </row>
    <row r="399" customFormat="false" ht="13.8" hidden="false" customHeight="false" outlineLevel="0" collapsed="false">
      <c r="A399" s="18"/>
      <c r="B399" s="19" t="n">
        <v>3110</v>
      </c>
      <c r="C399" s="20" t="n">
        <v>43210</v>
      </c>
      <c r="D399" s="21" t="s">
        <v>22</v>
      </c>
      <c r="E399" s="22" t="s">
        <v>201</v>
      </c>
      <c r="F399" s="23" t="s">
        <v>702</v>
      </c>
      <c r="G399" s="22" t="s">
        <v>36</v>
      </c>
      <c r="H399" s="24" t="s">
        <v>36</v>
      </c>
      <c r="I399" s="24" t="s">
        <v>27</v>
      </c>
      <c r="J399" s="25" t="n">
        <f aca="false">88.43-14</f>
        <v>74.43</v>
      </c>
      <c r="K399" s="26" t="n">
        <v>570000</v>
      </c>
      <c r="L399" s="27" t="n">
        <f aca="false">K399/J399</f>
        <v>7658.20233776703</v>
      </c>
      <c r="M399" s="28" t="s">
        <v>703</v>
      </c>
      <c r="N399" s="29"/>
      <c r="O399" s="30" t="n">
        <f aca="false">K399+N399</f>
        <v>570000</v>
      </c>
      <c r="P399" s="30" t="n">
        <f aca="false">ROUND(O399/J399, 2)</f>
        <v>7658.2</v>
      </c>
      <c r="Q399" s="25" t="s">
        <v>85</v>
      </c>
      <c r="R399" s="22" t="s">
        <v>26</v>
      </c>
      <c r="S399" s="25" t="s">
        <v>29</v>
      </c>
      <c r="T399" s="24" t="s">
        <v>30</v>
      </c>
      <c r="U399" s="31" t="s">
        <v>31</v>
      </c>
      <c r="V399" s="31" t="n">
        <v>43343</v>
      </c>
      <c r="W399" s="18"/>
      <c r="X399" s="18"/>
    </row>
    <row r="400" customFormat="false" ht="13.8" hidden="false" customHeight="false" outlineLevel="0" collapsed="false">
      <c r="A400" s="18"/>
      <c r="B400" s="19" t="n">
        <v>3164</v>
      </c>
      <c r="C400" s="20" t="n">
        <v>43214</v>
      </c>
      <c r="D400" s="21" t="s">
        <v>22</v>
      </c>
      <c r="E400" s="22" t="s">
        <v>109</v>
      </c>
      <c r="F400" s="23" t="s">
        <v>94</v>
      </c>
      <c r="G400" s="22" t="s">
        <v>339</v>
      </c>
      <c r="H400" s="24" t="s">
        <v>704</v>
      </c>
      <c r="I400" s="24" t="s">
        <v>49</v>
      </c>
      <c r="J400" s="25" t="n">
        <v>72.98</v>
      </c>
      <c r="K400" s="26" t="n">
        <v>660000</v>
      </c>
      <c r="L400" s="27" t="n">
        <f aca="false">K400/J400</f>
        <v>9043.57358180323</v>
      </c>
      <c r="M400" s="28"/>
      <c r="N400" s="29"/>
      <c r="O400" s="30" t="n">
        <f aca="false">K400+N400</f>
        <v>660000</v>
      </c>
      <c r="P400" s="30" t="n">
        <f aca="false">ROUND(O400/J400, 2)</f>
        <v>9043.57</v>
      </c>
      <c r="Q400" s="25" t="s">
        <v>85</v>
      </c>
      <c r="R400" s="22" t="s">
        <v>26</v>
      </c>
      <c r="S400" s="25" t="s">
        <v>29</v>
      </c>
      <c r="T400" s="24" t="s">
        <v>30</v>
      </c>
      <c r="U400" s="31" t="s">
        <v>31</v>
      </c>
      <c r="V400" s="31" t="n">
        <v>43343</v>
      </c>
      <c r="W400" s="34"/>
      <c r="X400" s="34"/>
    </row>
    <row r="401" customFormat="false" ht="13.8" hidden="false" customHeight="false" outlineLevel="0" collapsed="false">
      <c r="A401" s="18"/>
      <c r="B401" s="19" t="n">
        <v>11437</v>
      </c>
      <c r="C401" s="20" t="n">
        <v>43214</v>
      </c>
      <c r="D401" s="21" t="s">
        <v>22</v>
      </c>
      <c r="E401" s="22" t="s">
        <v>229</v>
      </c>
      <c r="F401" s="23" t="s">
        <v>357</v>
      </c>
      <c r="G401" s="22" t="s">
        <v>358</v>
      </c>
      <c r="H401" s="24" t="s">
        <v>705</v>
      </c>
      <c r="I401" s="24" t="s">
        <v>82</v>
      </c>
      <c r="J401" s="25" t="n">
        <v>65.96</v>
      </c>
      <c r="K401" s="26" t="n">
        <v>520000</v>
      </c>
      <c r="L401" s="27" t="n">
        <f aca="false">K401/J401</f>
        <v>7883.565797453</v>
      </c>
      <c r="M401" s="28" t="s">
        <v>234</v>
      </c>
      <c r="N401" s="29"/>
      <c r="O401" s="30" t="n">
        <f aca="false">K401+N401</f>
        <v>520000</v>
      </c>
      <c r="P401" s="30" t="n">
        <f aca="false">ROUND(O401/J401, 2)</f>
        <v>7883.57</v>
      </c>
      <c r="Q401" s="25" t="s">
        <v>706</v>
      </c>
      <c r="R401" s="22" t="s">
        <v>27</v>
      </c>
      <c r="S401" s="25" t="s">
        <v>29</v>
      </c>
      <c r="T401" s="24" t="s">
        <v>30</v>
      </c>
      <c r="U401" s="31" t="s">
        <v>31</v>
      </c>
      <c r="V401" s="31" t="n">
        <v>43343</v>
      </c>
      <c r="W401" s="34"/>
      <c r="X401" s="34"/>
    </row>
    <row r="402" customFormat="false" ht="13.8" hidden="false" customHeight="false" outlineLevel="0" collapsed="false">
      <c r="A402" s="18"/>
      <c r="B402" s="19" t="n">
        <v>17467</v>
      </c>
      <c r="C402" s="20" t="n">
        <v>43214</v>
      </c>
      <c r="D402" s="21" t="s">
        <v>22</v>
      </c>
      <c r="E402" s="22" t="s">
        <v>190</v>
      </c>
      <c r="F402" s="23" t="s">
        <v>591</v>
      </c>
      <c r="G402" s="22" t="s">
        <v>120</v>
      </c>
      <c r="H402" s="24" t="s">
        <v>707</v>
      </c>
      <c r="I402" s="24" t="s">
        <v>25</v>
      </c>
      <c r="J402" s="25" t="n">
        <v>54.35</v>
      </c>
      <c r="K402" s="26" t="n">
        <v>545000</v>
      </c>
      <c r="L402" s="27" t="n">
        <f aca="false">K402/J402</f>
        <v>10027.5988960442</v>
      </c>
      <c r="M402" s="28" t="s">
        <v>234</v>
      </c>
      <c r="N402" s="29"/>
      <c r="O402" s="30" t="n">
        <f aca="false">K402+N402</f>
        <v>545000</v>
      </c>
      <c r="P402" s="30" t="n">
        <f aca="false">ROUND(O402/J402, 2)</f>
        <v>10027.6</v>
      </c>
      <c r="Q402" s="25" t="s">
        <v>161</v>
      </c>
      <c r="R402" s="22" t="s">
        <v>36</v>
      </c>
      <c r="S402" s="25" t="s">
        <v>29</v>
      </c>
      <c r="T402" s="24" t="s">
        <v>30</v>
      </c>
      <c r="U402" s="31" t="s">
        <v>31</v>
      </c>
      <c r="V402" s="31" t="n">
        <v>43343</v>
      </c>
      <c r="W402" s="34"/>
      <c r="X402" s="34"/>
    </row>
    <row r="403" customFormat="false" ht="13.8" hidden="false" customHeight="false" outlineLevel="0" collapsed="false">
      <c r="A403" s="18"/>
      <c r="B403" s="19" t="n">
        <v>2875</v>
      </c>
      <c r="C403" s="20" t="n">
        <v>43214</v>
      </c>
      <c r="D403" s="21" t="s">
        <v>22</v>
      </c>
      <c r="E403" s="22" t="s">
        <v>235</v>
      </c>
      <c r="F403" s="23" t="s">
        <v>236</v>
      </c>
      <c r="G403" s="22" t="s">
        <v>708</v>
      </c>
      <c r="H403" s="24" t="s">
        <v>55</v>
      </c>
      <c r="I403" s="24" t="s">
        <v>49</v>
      </c>
      <c r="J403" s="25" t="n">
        <v>33.1</v>
      </c>
      <c r="K403" s="26" t="n">
        <v>235000</v>
      </c>
      <c r="L403" s="27" t="n">
        <f aca="false">K403/J403</f>
        <v>7099.69788519637</v>
      </c>
      <c r="M403" s="28" t="s">
        <v>64</v>
      </c>
      <c r="N403" s="29"/>
      <c r="O403" s="30" t="n">
        <f aca="false">K403+N403</f>
        <v>235000</v>
      </c>
      <c r="P403" s="30" t="n">
        <f aca="false">ROUND(O403/J403, 2)</f>
        <v>7099.7</v>
      </c>
      <c r="Q403" s="25" t="s">
        <v>28</v>
      </c>
      <c r="R403" s="22" t="s">
        <v>27</v>
      </c>
      <c r="S403" s="25" t="s">
        <v>29</v>
      </c>
      <c r="T403" s="24" t="s">
        <v>30</v>
      </c>
      <c r="U403" s="31" t="s">
        <v>31</v>
      </c>
      <c r="V403" s="31" t="n">
        <v>43343</v>
      </c>
      <c r="W403" s="34"/>
      <c r="X403" s="34"/>
      <c r="AMJ403" s="32"/>
    </row>
    <row r="404" s="32" customFormat="true" ht="13.8" hidden="false" customHeight="false" outlineLevel="0" collapsed="false">
      <c r="A404" s="18"/>
      <c r="B404" s="19" t="n">
        <v>1985</v>
      </c>
      <c r="C404" s="20" t="n">
        <v>43214</v>
      </c>
      <c r="D404" s="21" t="s">
        <v>22</v>
      </c>
      <c r="E404" s="22" t="s">
        <v>350</v>
      </c>
      <c r="F404" s="23" t="s">
        <v>351</v>
      </c>
      <c r="G404" s="22" t="s">
        <v>27</v>
      </c>
      <c r="H404" s="24" t="s">
        <v>709</v>
      </c>
      <c r="I404" s="24" t="s">
        <v>26</v>
      </c>
      <c r="J404" s="25" t="n">
        <f aca="false">60.07-2.99</f>
        <v>57.08</v>
      </c>
      <c r="K404" s="26" t="n">
        <v>470000</v>
      </c>
      <c r="L404" s="27" t="n">
        <f aca="false">K404/J404</f>
        <v>8234.05746320953</v>
      </c>
      <c r="M404" s="28" t="s">
        <v>710</v>
      </c>
      <c r="N404" s="29"/>
      <c r="O404" s="30" t="n">
        <f aca="false">K404+N404</f>
        <v>470000</v>
      </c>
      <c r="P404" s="30" t="n">
        <f aca="false">ROUND(O404/J404, 2)</f>
        <v>8234.06</v>
      </c>
      <c r="Q404" s="25" t="s">
        <v>50</v>
      </c>
      <c r="R404" s="22" t="s">
        <v>36</v>
      </c>
      <c r="S404" s="25" t="s">
        <v>29</v>
      </c>
      <c r="T404" s="24" t="s">
        <v>30</v>
      </c>
      <c r="U404" s="31" t="s">
        <v>31</v>
      </c>
      <c r="V404" s="31" t="n">
        <v>43343</v>
      </c>
      <c r="W404" s="34"/>
      <c r="X404" s="34"/>
      <c r="Y404" s="35"/>
      <c r="Z404" s="43"/>
    </row>
    <row r="405" customFormat="false" ht="13.8" hidden="false" customHeight="false" outlineLevel="0" collapsed="false">
      <c r="A405" s="18"/>
      <c r="B405" s="19" t="n">
        <v>2269</v>
      </c>
      <c r="C405" s="20" t="n">
        <v>43214</v>
      </c>
      <c r="D405" s="21" t="s">
        <v>22</v>
      </c>
      <c r="E405" s="22" t="s">
        <v>118</v>
      </c>
      <c r="F405" s="23" t="s">
        <v>119</v>
      </c>
      <c r="G405" s="22" t="s">
        <v>120</v>
      </c>
      <c r="H405" s="24" t="s">
        <v>280</v>
      </c>
      <c r="I405" s="24" t="s">
        <v>143</v>
      </c>
      <c r="J405" s="25" t="n">
        <f aca="false">45-2.7</f>
        <v>42.3</v>
      </c>
      <c r="K405" s="26" t="n">
        <v>325000</v>
      </c>
      <c r="L405" s="27" t="n">
        <f aca="false">K405/J405</f>
        <v>7683.21513002364</v>
      </c>
      <c r="M405" s="28" t="s">
        <v>711</v>
      </c>
      <c r="N405" s="29"/>
      <c r="O405" s="30" t="n">
        <f aca="false">K405+N405</f>
        <v>325000</v>
      </c>
      <c r="P405" s="30" t="n">
        <f aca="false">ROUND(O405/J405, 2)</f>
        <v>7683.22</v>
      </c>
      <c r="Q405" s="25" t="s">
        <v>50</v>
      </c>
      <c r="R405" s="22" t="s">
        <v>36</v>
      </c>
      <c r="S405" s="25" t="s">
        <v>29</v>
      </c>
      <c r="T405" s="24" t="s">
        <v>30</v>
      </c>
      <c r="U405" s="31" t="s">
        <v>31</v>
      </c>
      <c r="V405" s="31" t="n">
        <v>43343</v>
      </c>
      <c r="W405" s="34"/>
      <c r="X405" s="34"/>
      <c r="Z405" s="33"/>
      <c r="AB405" s="37"/>
    </row>
    <row r="406" customFormat="false" ht="13.8" hidden="false" customHeight="false" outlineLevel="0" collapsed="false">
      <c r="A406" s="18"/>
      <c r="B406" s="19" t="n">
        <v>1694</v>
      </c>
      <c r="C406" s="20" t="n">
        <v>43214</v>
      </c>
      <c r="D406" s="21" t="s">
        <v>22</v>
      </c>
      <c r="E406" s="22" t="s">
        <v>517</v>
      </c>
      <c r="F406" s="23" t="s">
        <v>712</v>
      </c>
      <c r="G406" s="22" t="s">
        <v>196</v>
      </c>
      <c r="H406" s="24" t="s">
        <v>713</v>
      </c>
      <c r="I406" s="24" t="s">
        <v>111</v>
      </c>
      <c r="J406" s="25" t="n">
        <v>37.8</v>
      </c>
      <c r="K406" s="26" t="n">
        <v>370000</v>
      </c>
      <c r="L406" s="27" t="n">
        <f aca="false">K406/J406</f>
        <v>9788.35978835979</v>
      </c>
      <c r="M406" s="28"/>
      <c r="N406" s="29"/>
      <c r="O406" s="30" t="n">
        <f aca="false">K406+N406</f>
        <v>370000</v>
      </c>
      <c r="P406" s="30" t="n">
        <f aca="false">ROUND(O406/J406, 2)</f>
        <v>9788.36</v>
      </c>
      <c r="Q406" s="25" t="s">
        <v>50</v>
      </c>
      <c r="R406" s="22" t="s">
        <v>36</v>
      </c>
      <c r="S406" s="25" t="s">
        <v>29</v>
      </c>
      <c r="T406" s="24" t="s">
        <v>30</v>
      </c>
      <c r="U406" s="31" t="s">
        <v>31</v>
      </c>
      <c r="V406" s="31" t="n">
        <v>43343</v>
      </c>
      <c r="W406" s="34"/>
      <c r="X406" s="34"/>
    </row>
    <row r="407" customFormat="false" ht="13.8" hidden="false" customHeight="false" outlineLevel="0" collapsed="false">
      <c r="A407" s="18"/>
      <c r="B407" s="19" t="n">
        <v>4917</v>
      </c>
      <c r="C407" s="20" t="n">
        <v>43215</v>
      </c>
      <c r="D407" s="21" t="s">
        <v>22</v>
      </c>
      <c r="E407" s="22" t="s">
        <v>75</v>
      </c>
      <c r="F407" s="23" t="s">
        <v>134</v>
      </c>
      <c r="G407" s="22" t="s">
        <v>112</v>
      </c>
      <c r="H407" s="24" t="s">
        <v>197</v>
      </c>
      <c r="I407" s="24" t="s">
        <v>26</v>
      </c>
      <c r="J407" s="25" t="n">
        <f aca="false">51.03-4.45</f>
        <v>46.58</v>
      </c>
      <c r="K407" s="26" t="n">
        <v>369000</v>
      </c>
      <c r="L407" s="27" t="n">
        <f aca="false">K407/J407</f>
        <v>7921.8548733362</v>
      </c>
      <c r="M407" s="28" t="s">
        <v>714</v>
      </c>
      <c r="N407" s="29"/>
      <c r="O407" s="30" t="n">
        <f aca="false">K407+N407</f>
        <v>369000</v>
      </c>
      <c r="P407" s="30" t="n">
        <f aca="false">ROUND(O407/J407, 2)</f>
        <v>7921.85</v>
      </c>
      <c r="Q407" s="25" t="s">
        <v>50</v>
      </c>
      <c r="R407" s="22" t="s">
        <v>36</v>
      </c>
      <c r="S407" s="25" t="s">
        <v>29</v>
      </c>
      <c r="T407" s="24" t="s">
        <v>30</v>
      </c>
      <c r="U407" s="31" t="s">
        <v>31</v>
      </c>
      <c r="V407" s="31" t="n">
        <v>43343</v>
      </c>
      <c r="W407" s="18"/>
      <c r="X407" s="18"/>
    </row>
    <row r="408" customFormat="false" ht="13.8" hidden="false" customHeight="false" outlineLevel="0" collapsed="false">
      <c r="A408" s="18"/>
      <c r="B408" s="19" t="n">
        <v>2058</v>
      </c>
      <c r="C408" s="20" t="n">
        <v>43215</v>
      </c>
      <c r="D408" s="21" t="s">
        <v>22</v>
      </c>
      <c r="E408" s="22" t="s">
        <v>319</v>
      </c>
      <c r="F408" s="23" t="s">
        <v>320</v>
      </c>
      <c r="G408" s="22" t="s">
        <v>321</v>
      </c>
      <c r="H408" s="24" t="s">
        <v>89</v>
      </c>
      <c r="I408" s="24" t="s">
        <v>49</v>
      </c>
      <c r="J408" s="25" t="n">
        <v>73.06</v>
      </c>
      <c r="K408" s="26" t="n">
        <v>675000</v>
      </c>
      <c r="L408" s="27" t="n">
        <f aca="false">K408/J408</f>
        <v>9238.98165891048</v>
      </c>
      <c r="M408" s="28" t="s">
        <v>205</v>
      </c>
      <c r="N408" s="29" t="n">
        <v>35000</v>
      </c>
      <c r="O408" s="30" t="n">
        <f aca="false">K408+N408</f>
        <v>710000</v>
      </c>
      <c r="P408" s="30" t="n">
        <f aca="false">ROUND(O408/J408, 2)</f>
        <v>9718.04</v>
      </c>
      <c r="Q408" s="25" t="s">
        <v>232</v>
      </c>
      <c r="R408" s="22" t="s">
        <v>26</v>
      </c>
      <c r="S408" s="25" t="s">
        <v>29</v>
      </c>
      <c r="T408" s="24" t="s">
        <v>30</v>
      </c>
      <c r="U408" s="31" t="s">
        <v>31</v>
      </c>
      <c r="V408" s="31" t="n">
        <v>43343</v>
      </c>
      <c r="W408" s="18"/>
      <c r="X408" s="18"/>
    </row>
    <row r="409" customFormat="false" ht="13.8" hidden="false" customHeight="false" outlineLevel="0" collapsed="false">
      <c r="A409" s="18"/>
      <c r="B409" s="19" t="n">
        <v>6358</v>
      </c>
      <c r="C409" s="20" t="n">
        <v>43215</v>
      </c>
      <c r="D409" s="21" t="s">
        <v>22</v>
      </c>
      <c r="E409" s="22" t="s">
        <v>171</v>
      </c>
      <c r="F409" s="23" t="s">
        <v>315</v>
      </c>
      <c r="G409" s="22" t="s">
        <v>105</v>
      </c>
      <c r="H409" s="24" t="s">
        <v>210</v>
      </c>
      <c r="I409" s="24" t="s">
        <v>26</v>
      </c>
      <c r="J409" s="25" t="n">
        <v>45.62</v>
      </c>
      <c r="K409" s="26" t="n">
        <v>365000</v>
      </c>
      <c r="L409" s="27" t="n">
        <f aca="false">K409/J409</f>
        <v>8000.87680841736</v>
      </c>
      <c r="M409" s="28" t="s">
        <v>64</v>
      </c>
      <c r="N409" s="29"/>
      <c r="O409" s="30" t="n">
        <f aca="false">K409+N409</f>
        <v>365000</v>
      </c>
      <c r="P409" s="30" t="n">
        <f aca="false">ROUND(O409/J409, 2)</f>
        <v>8000.88</v>
      </c>
      <c r="Q409" s="25" t="s">
        <v>85</v>
      </c>
      <c r="R409" s="22" t="s">
        <v>26</v>
      </c>
      <c r="S409" s="25" t="s">
        <v>29</v>
      </c>
      <c r="T409" s="24" t="s">
        <v>30</v>
      </c>
      <c r="U409" s="31" t="s">
        <v>31</v>
      </c>
      <c r="V409" s="31" t="n">
        <v>43343</v>
      </c>
      <c r="W409" s="34"/>
      <c r="X409" s="34"/>
    </row>
    <row r="410" customFormat="false" ht="13.8" hidden="false" customHeight="false" outlineLevel="0" collapsed="false">
      <c r="A410" s="18"/>
      <c r="B410" s="19" t="n">
        <v>2156</v>
      </c>
      <c r="C410" s="20" t="n">
        <v>43215</v>
      </c>
      <c r="D410" s="21" t="s">
        <v>22</v>
      </c>
      <c r="E410" s="22" t="s">
        <v>350</v>
      </c>
      <c r="F410" s="23" t="s">
        <v>323</v>
      </c>
      <c r="G410" s="22" t="s">
        <v>715</v>
      </c>
      <c r="H410" s="24" t="s">
        <v>196</v>
      </c>
      <c r="I410" s="24" t="s">
        <v>49</v>
      </c>
      <c r="J410" s="25" t="n">
        <v>37.34</v>
      </c>
      <c r="K410" s="26" t="n">
        <v>428000</v>
      </c>
      <c r="L410" s="27" t="n">
        <f aca="false">K410/J410</f>
        <v>11462.2388859132</v>
      </c>
      <c r="M410" s="28" t="s">
        <v>716</v>
      </c>
      <c r="N410" s="29" t="n">
        <v>45000</v>
      </c>
      <c r="O410" s="30" t="n">
        <f aca="false">K410+N410</f>
        <v>473000</v>
      </c>
      <c r="P410" s="30" t="n">
        <f aca="false">ROUND(O410/J410, 2)</f>
        <v>12667.38</v>
      </c>
      <c r="Q410" s="25" t="s">
        <v>41</v>
      </c>
      <c r="R410" s="22" t="s">
        <v>27</v>
      </c>
      <c r="S410" s="25" t="s">
        <v>29</v>
      </c>
      <c r="T410" s="24" t="s">
        <v>30</v>
      </c>
      <c r="U410" s="31" t="s">
        <v>31</v>
      </c>
      <c r="V410" s="31" t="n">
        <v>43343</v>
      </c>
      <c r="W410" s="18"/>
      <c r="X410" s="18"/>
    </row>
    <row r="411" customFormat="false" ht="13.8" hidden="false" customHeight="false" outlineLevel="0" collapsed="false">
      <c r="A411" s="18"/>
      <c r="B411" s="19" t="n">
        <v>2908</v>
      </c>
      <c r="C411" s="20" t="n">
        <v>43215</v>
      </c>
      <c r="D411" s="21" t="s">
        <v>22</v>
      </c>
      <c r="E411" s="22" t="s">
        <v>717</v>
      </c>
      <c r="F411" s="23" t="s">
        <v>718</v>
      </c>
      <c r="G411" s="22" t="s">
        <v>25</v>
      </c>
      <c r="H411" s="24" t="s">
        <v>174</v>
      </c>
      <c r="I411" s="24" t="s">
        <v>200</v>
      </c>
      <c r="J411" s="25" t="n">
        <v>56.8</v>
      </c>
      <c r="K411" s="26" t="n">
        <v>381000</v>
      </c>
      <c r="L411" s="27" t="n">
        <f aca="false">K411/J411</f>
        <v>6707.74647887324</v>
      </c>
      <c r="M411" s="28"/>
      <c r="N411" s="29"/>
      <c r="O411" s="30" t="n">
        <f aca="false">K411+N411</f>
        <v>381000</v>
      </c>
      <c r="P411" s="30" t="n">
        <f aca="false">ROUND(O411/J411, 2)</f>
        <v>6707.75</v>
      </c>
      <c r="Q411" s="25" t="s">
        <v>85</v>
      </c>
      <c r="R411" s="22" t="s">
        <v>26</v>
      </c>
      <c r="S411" s="25" t="s">
        <v>29</v>
      </c>
      <c r="T411" s="24" t="s">
        <v>30</v>
      </c>
      <c r="U411" s="31" t="s">
        <v>31</v>
      </c>
      <c r="V411" s="31" t="n">
        <v>43343</v>
      </c>
      <c r="W411" s="18"/>
      <c r="X411" s="18"/>
      <c r="AMJ411" s="32"/>
    </row>
    <row r="412" s="32" customFormat="true" ht="13.8" hidden="false" customHeight="false" outlineLevel="0" collapsed="false">
      <c r="A412" s="18"/>
      <c r="B412" s="19" t="n">
        <v>2908</v>
      </c>
      <c r="C412" s="20" t="n">
        <v>43215</v>
      </c>
      <c r="D412" s="21" t="s">
        <v>22</v>
      </c>
      <c r="E412" s="22" t="s">
        <v>717</v>
      </c>
      <c r="F412" s="23" t="s">
        <v>718</v>
      </c>
      <c r="G412" s="22" t="s">
        <v>25</v>
      </c>
      <c r="H412" s="24" t="s">
        <v>174</v>
      </c>
      <c r="I412" s="24" t="s">
        <v>200</v>
      </c>
      <c r="J412" s="25" t="n">
        <v>56.8</v>
      </c>
      <c r="K412" s="26" t="n">
        <v>381000</v>
      </c>
      <c r="L412" s="27" t="n">
        <f aca="false">K412/J412</f>
        <v>6707.74647887324</v>
      </c>
      <c r="M412" s="28"/>
      <c r="N412" s="29"/>
      <c r="O412" s="30" t="n">
        <f aca="false">K412+N412</f>
        <v>381000</v>
      </c>
      <c r="P412" s="30" t="n">
        <f aca="false">ROUND(O412/J412, 2)</f>
        <v>6707.75</v>
      </c>
      <c r="Q412" s="25" t="s">
        <v>85</v>
      </c>
      <c r="R412" s="22" t="s">
        <v>26</v>
      </c>
      <c r="S412" s="25" t="s">
        <v>29</v>
      </c>
      <c r="T412" s="24" t="s">
        <v>30</v>
      </c>
      <c r="U412" s="31" t="s">
        <v>31</v>
      </c>
      <c r="V412" s="31" t="n">
        <v>43343</v>
      </c>
      <c r="W412" s="18"/>
      <c r="X412" s="18"/>
    </row>
    <row r="413" customFormat="false" ht="13.8" hidden="false" customHeight="false" outlineLevel="0" collapsed="false">
      <c r="A413" s="18"/>
      <c r="B413" s="19" t="n">
        <v>856</v>
      </c>
      <c r="C413" s="20" t="n">
        <v>43215</v>
      </c>
      <c r="D413" s="21" t="s">
        <v>22</v>
      </c>
      <c r="E413" s="22" t="s">
        <v>369</v>
      </c>
      <c r="F413" s="23" t="s">
        <v>370</v>
      </c>
      <c r="G413" s="22" t="s">
        <v>68</v>
      </c>
      <c r="H413" s="24" t="s">
        <v>82</v>
      </c>
      <c r="I413" s="24" t="s">
        <v>36</v>
      </c>
      <c r="J413" s="25" t="n">
        <v>17.66</v>
      </c>
      <c r="K413" s="26" t="n">
        <v>162500</v>
      </c>
      <c r="L413" s="27" t="n">
        <f aca="false">K413/J413</f>
        <v>9201.58550396376</v>
      </c>
      <c r="M413" s="28"/>
      <c r="N413" s="29"/>
      <c r="O413" s="30" t="n">
        <f aca="false">K413+N413</f>
        <v>162500</v>
      </c>
      <c r="P413" s="30" t="n">
        <f aca="false">ROUND(O413/J413, 2)</f>
        <v>9201.59</v>
      </c>
      <c r="Q413" s="25" t="s">
        <v>182</v>
      </c>
      <c r="R413" s="22" t="s">
        <v>27</v>
      </c>
      <c r="S413" s="25" t="s">
        <v>29</v>
      </c>
      <c r="T413" s="24" t="s">
        <v>30</v>
      </c>
      <c r="U413" s="31" t="s">
        <v>31</v>
      </c>
      <c r="V413" s="31" t="n">
        <v>43343</v>
      </c>
      <c r="W413" s="34"/>
      <c r="X413" s="34"/>
      <c r="Y413" s="35"/>
      <c r="Z413" s="43"/>
    </row>
    <row r="414" customFormat="false" ht="13.8" hidden="false" customHeight="false" outlineLevel="0" collapsed="false">
      <c r="A414" s="18"/>
      <c r="B414" s="19" t="n">
        <v>2934</v>
      </c>
      <c r="C414" s="20" t="n">
        <v>43216</v>
      </c>
      <c r="D414" s="21" t="s">
        <v>22</v>
      </c>
      <c r="E414" s="22" t="s">
        <v>80</v>
      </c>
      <c r="F414" s="23" t="s">
        <v>81</v>
      </c>
      <c r="G414" s="22" t="s">
        <v>26</v>
      </c>
      <c r="H414" s="24" t="s">
        <v>336</v>
      </c>
      <c r="I414" s="24" t="s">
        <v>719</v>
      </c>
      <c r="J414" s="25" t="n">
        <v>195.89</v>
      </c>
      <c r="K414" s="26" t="n">
        <v>4440000</v>
      </c>
      <c r="L414" s="27" t="n">
        <f aca="false">K414/J414</f>
        <v>22665.7818163255</v>
      </c>
      <c r="M414" s="28" t="s">
        <v>720</v>
      </c>
      <c r="N414" s="29" t="n">
        <v>80000</v>
      </c>
      <c r="O414" s="30" t="n">
        <f aca="false">K414+N414</f>
        <v>4520000</v>
      </c>
      <c r="P414" s="30" t="n">
        <f aca="false">ROUND(O414/J414, 2)</f>
        <v>23074.17</v>
      </c>
      <c r="Q414" s="25" t="s">
        <v>721</v>
      </c>
      <c r="R414" s="22" t="s">
        <v>57</v>
      </c>
      <c r="S414" s="25" t="s">
        <v>29</v>
      </c>
      <c r="T414" s="24" t="s">
        <v>30</v>
      </c>
      <c r="U414" s="31" t="s">
        <v>31</v>
      </c>
      <c r="V414" s="31" t="n">
        <v>43343</v>
      </c>
      <c r="W414" s="34"/>
      <c r="X414" s="34"/>
    </row>
    <row r="415" customFormat="false" ht="13.8" hidden="false" customHeight="false" outlineLevel="0" collapsed="false">
      <c r="A415" s="18"/>
      <c r="B415" s="19" t="n">
        <v>1118</v>
      </c>
      <c r="C415" s="20" t="n">
        <v>43216</v>
      </c>
      <c r="D415" s="21" t="s">
        <v>22</v>
      </c>
      <c r="E415" s="22" t="s">
        <v>178</v>
      </c>
      <c r="F415" s="23" t="s">
        <v>722</v>
      </c>
      <c r="G415" s="22" t="s">
        <v>336</v>
      </c>
      <c r="H415" s="24" t="s">
        <v>49</v>
      </c>
      <c r="I415" s="24" t="s">
        <v>27</v>
      </c>
      <c r="J415" s="25" t="n">
        <v>47.5</v>
      </c>
      <c r="K415" s="26" t="n">
        <v>355000</v>
      </c>
      <c r="L415" s="27" t="n">
        <f aca="false">K415/J415</f>
        <v>7473.68421052632</v>
      </c>
      <c r="M415" s="28"/>
      <c r="N415" s="29"/>
      <c r="O415" s="30" t="n">
        <f aca="false">K415+N415</f>
        <v>355000</v>
      </c>
      <c r="P415" s="30" t="n">
        <f aca="false">ROUND(O415/J415, 2)</f>
        <v>7473.68</v>
      </c>
      <c r="Q415" s="25" t="s">
        <v>50</v>
      </c>
      <c r="R415" s="22" t="s">
        <v>36</v>
      </c>
      <c r="S415" s="25" t="s">
        <v>29</v>
      </c>
      <c r="T415" s="24" t="s">
        <v>30</v>
      </c>
      <c r="U415" s="31" t="s">
        <v>31</v>
      </c>
      <c r="V415" s="31" t="n">
        <v>43343</v>
      </c>
      <c r="W415" s="18"/>
      <c r="X415" s="18"/>
    </row>
    <row r="416" customFormat="false" ht="13.8" hidden="false" customHeight="false" outlineLevel="0" collapsed="false">
      <c r="A416" s="18"/>
      <c r="B416" s="19" t="n">
        <v>915</v>
      </c>
      <c r="C416" s="20" t="n">
        <v>43216</v>
      </c>
      <c r="D416" s="21" t="s">
        <v>22</v>
      </c>
      <c r="E416" s="22" t="s">
        <v>122</v>
      </c>
      <c r="F416" s="23" t="s">
        <v>723</v>
      </c>
      <c r="G416" s="22" t="s">
        <v>26</v>
      </c>
      <c r="H416" s="24" t="s">
        <v>36</v>
      </c>
      <c r="I416" s="24" t="s">
        <v>27</v>
      </c>
      <c r="J416" s="25" t="n">
        <v>56.4</v>
      </c>
      <c r="K416" s="26" t="n">
        <v>280000</v>
      </c>
      <c r="L416" s="27" t="n">
        <f aca="false">K416/J416</f>
        <v>4964.5390070922</v>
      </c>
      <c r="M416" s="28"/>
      <c r="N416" s="29"/>
      <c r="O416" s="30" t="n">
        <f aca="false">K416+N416</f>
        <v>280000</v>
      </c>
      <c r="P416" s="30" t="n">
        <f aca="false">ROUND(O416/J416, 2)</f>
        <v>4964.54</v>
      </c>
      <c r="Q416" s="25" t="s">
        <v>724</v>
      </c>
      <c r="R416" s="22" t="s">
        <v>26</v>
      </c>
      <c r="S416" s="25" t="s">
        <v>29</v>
      </c>
      <c r="T416" s="24" t="s">
        <v>30</v>
      </c>
      <c r="U416" s="31" t="s">
        <v>31</v>
      </c>
      <c r="V416" s="31" t="n">
        <v>43343</v>
      </c>
      <c r="W416" s="18"/>
      <c r="X416" s="18"/>
    </row>
    <row r="417" customFormat="false" ht="13.8" hidden="false" customHeight="false" outlineLevel="0" collapsed="false">
      <c r="A417" s="18"/>
      <c r="B417" s="19" t="n">
        <v>6623</v>
      </c>
      <c r="C417" s="20" t="n">
        <v>43216</v>
      </c>
      <c r="D417" s="21" t="s">
        <v>22</v>
      </c>
      <c r="E417" s="22" t="s">
        <v>265</v>
      </c>
      <c r="F417" s="23" t="s">
        <v>152</v>
      </c>
      <c r="G417" s="22" t="s">
        <v>202</v>
      </c>
      <c r="H417" s="24" t="s">
        <v>27</v>
      </c>
      <c r="I417" s="24" t="s">
        <v>27</v>
      </c>
      <c r="J417" s="25" t="n">
        <f aca="false">102.83-9.3</f>
        <v>93.53</v>
      </c>
      <c r="K417" s="26" t="n">
        <f aca="false">2*470000</f>
        <v>940000</v>
      </c>
      <c r="L417" s="27" t="n">
        <f aca="false">K417/J417</f>
        <v>10050.2512562814</v>
      </c>
      <c r="M417" s="28" t="s">
        <v>725</v>
      </c>
      <c r="N417" s="29"/>
      <c r="O417" s="30" t="n">
        <f aca="false">K417+N417</f>
        <v>940000</v>
      </c>
      <c r="P417" s="30" t="n">
        <f aca="false">ROUND(O417/J417, 2)</f>
        <v>10050.25</v>
      </c>
      <c r="Q417" s="25" t="s">
        <v>91</v>
      </c>
      <c r="R417" s="22" t="s">
        <v>49</v>
      </c>
      <c r="S417" s="25" t="s">
        <v>29</v>
      </c>
      <c r="T417" s="24" t="s">
        <v>30</v>
      </c>
      <c r="U417" s="31" t="s">
        <v>31</v>
      </c>
      <c r="V417" s="31" t="n">
        <v>43343</v>
      </c>
      <c r="W417" s="18"/>
      <c r="X417" s="18"/>
      <c r="AMJ417" s="32"/>
    </row>
    <row r="418" s="32" customFormat="true" ht="13.8" hidden="false" customHeight="false" outlineLevel="0" collapsed="false">
      <c r="A418" s="18"/>
      <c r="B418" s="19" t="n">
        <v>6561</v>
      </c>
      <c r="C418" s="20" t="n">
        <v>43216</v>
      </c>
      <c r="D418" s="21" t="s">
        <v>22</v>
      </c>
      <c r="E418" s="22" t="s">
        <v>389</v>
      </c>
      <c r="F418" s="23" t="s">
        <v>46</v>
      </c>
      <c r="G418" s="22" t="s">
        <v>458</v>
      </c>
      <c r="H418" s="24" t="s">
        <v>515</v>
      </c>
      <c r="I418" s="24" t="s">
        <v>26</v>
      </c>
      <c r="J418" s="25" t="n">
        <v>52.87</v>
      </c>
      <c r="K418" s="26" t="n">
        <v>530000</v>
      </c>
      <c r="L418" s="27" t="n">
        <f aca="false">K418/J418</f>
        <v>10024.5886135805</v>
      </c>
      <c r="M418" s="28" t="s">
        <v>64</v>
      </c>
      <c r="N418" s="29"/>
      <c r="O418" s="30" t="n">
        <f aca="false">K418+N418</f>
        <v>530000</v>
      </c>
      <c r="P418" s="30" t="n">
        <f aca="false">ROUND(O418/J418, 2)</f>
        <v>10024.59</v>
      </c>
      <c r="Q418" s="25" t="s">
        <v>50</v>
      </c>
      <c r="R418" s="22" t="s">
        <v>36</v>
      </c>
      <c r="S418" s="25" t="s">
        <v>29</v>
      </c>
      <c r="T418" s="24" t="s">
        <v>30</v>
      </c>
      <c r="U418" s="31" t="s">
        <v>31</v>
      </c>
      <c r="V418" s="31" t="n">
        <v>43343</v>
      </c>
      <c r="W418" s="34"/>
      <c r="X418" s="34"/>
    </row>
    <row r="419" s="32" customFormat="true" ht="13.8" hidden="false" customHeight="false" outlineLevel="0" collapsed="false">
      <c r="A419" s="18"/>
      <c r="B419" s="19" t="n">
        <v>2417</v>
      </c>
      <c r="C419" s="20" t="n">
        <v>43217</v>
      </c>
      <c r="D419" s="21" t="s">
        <v>22</v>
      </c>
      <c r="E419" s="22" t="s">
        <v>229</v>
      </c>
      <c r="F419" s="23" t="s">
        <v>357</v>
      </c>
      <c r="G419" s="22" t="s">
        <v>143</v>
      </c>
      <c r="H419" s="24" t="s">
        <v>210</v>
      </c>
      <c r="I419" s="24" t="s">
        <v>57</v>
      </c>
      <c r="J419" s="25" t="n">
        <v>93.3</v>
      </c>
      <c r="K419" s="26" t="n">
        <v>592000</v>
      </c>
      <c r="L419" s="27" t="n">
        <f aca="false">K419/J419</f>
        <v>6345.12325830654</v>
      </c>
      <c r="M419" s="28" t="s">
        <v>234</v>
      </c>
      <c r="N419" s="29"/>
      <c r="O419" s="30" t="n">
        <f aca="false">K419+N419</f>
        <v>592000</v>
      </c>
      <c r="P419" s="30" t="n">
        <f aca="false">ROUND(O419/J419, 2)</f>
        <v>6345.12</v>
      </c>
      <c r="Q419" s="25" t="s">
        <v>85</v>
      </c>
      <c r="R419" s="22" t="s">
        <v>26</v>
      </c>
      <c r="S419" s="25" t="s">
        <v>29</v>
      </c>
      <c r="T419" s="24" t="s">
        <v>30</v>
      </c>
      <c r="U419" s="31" t="s">
        <v>31</v>
      </c>
      <c r="V419" s="31" t="n">
        <v>43343</v>
      </c>
      <c r="W419" s="18"/>
      <c r="X419" s="18"/>
    </row>
    <row r="420" customFormat="false" ht="13.8" hidden="false" customHeight="false" outlineLevel="0" collapsed="false">
      <c r="A420" s="18"/>
      <c r="B420" s="19" t="n">
        <v>6375</v>
      </c>
      <c r="C420" s="20" t="n">
        <v>43217</v>
      </c>
      <c r="D420" s="21" t="s">
        <v>22</v>
      </c>
      <c r="E420" s="22" t="s">
        <v>375</v>
      </c>
      <c r="F420" s="23" t="s">
        <v>376</v>
      </c>
      <c r="G420" s="22" t="s">
        <v>25</v>
      </c>
      <c r="H420" s="24" t="s">
        <v>49</v>
      </c>
      <c r="I420" s="24" t="s">
        <v>27</v>
      </c>
      <c r="J420" s="25" t="n">
        <v>91.75</v>
      </c>
      <c r="K420" s="26" t="n">
        <v>820000</v>
      </c>
      <c r="L420" s="27" t="n">
        <f aca="false">K420/J420</f>
        <v>8937.32970027248</v>
      </c>
      <c r="M420" s="28" t="s">
        <v>64</v>
      </c>
      <c r="N420" s="29"/>
      <c r="O420" s="30" t="n">
        <f aca="false">K420+N420</f>
        <v>820000</v>
      </c>
      <c r="P420" s="30" t="n">
        <f aca="false">ROUND(O420/J420, 2)</f>
        <v>8937.33</v>
      </c>
      <c r="Q420" s="25" t="s">
        <v>85</v>
      </c>
      <c r="R420" s="22" t="s">
        <v>26</v>
      </c>
      <c r="S420" s="25" t="s">
        <v>29</v>
      </c>
      <c r="T420" s="24" t="s">
        <v>30</v>
      </c>
      <c r="U420" s="31" t="s">
        <v>31</v>
      </c>
      <c r="V420" s="31" t="n">
        <v>43343</v>
      </c>
      <c r="W420" s="18"/>
      <c r="X420" s="18"/>
      <c r="AMJ420" s="32"/>
    </row>
    <row r="421" s="32" customFormat="true" ht="13.8" hidden="false" customHeight="false" outlineLevel="0" collapsed="false">
      <c r="A421" s="18"/>
      <c r="B421" s="19" t="n">
        <v>862</v>
      </c>
      <c r="C421" s="20" t="n">
        <v>43217</v>
      </c>
      <c r="D421" s="21" t="s">
        <v>22</v>
      </c>
      <c r="E421" s="22" t="s">
        <v>343</v>
      </c>
      <c r="F421" s="23" t="s">
        <v>344</v>
      </c>
      <c r="G421" s="22" t="s">
        <v>726</v>
      </c>
      <c r="H421" s="24" t="s">
        <v>111</v>
      </c>
      <c r="I421" s="24" t="s">
        <v>36</v>
      </c>
      <c r="J421" s="25" t="n">
        <v>47.3</v>
      </c>
      <c r="K421" s="26" t="n">
        <v>375000</v>
      </c>
      <c r="L421" s="27" t="n">
        <f aca="false">K421/J421</f>
        <v>7928.11839323467</v>
      </c>
      <c r="M421" s="28" t="s">
        <v>727</v>
      </c>
      <c r="N421" s="29" t="n">
        <v>2000</v>
      </c>
      <c r="O421" s="30" t="n">
        <f aca="false">K421+N421</f>
        <v>377000</v>
      </c>
      <c r="P421" s="30" t="n">
        <f aca="false">ROUND(O421/J421, 2)</f>
        <v>7970.4</v>
      </c>
      <c r="Q421" s="25" t="s">
        <v>50</v>
      </c>
      <c r="R421" s="22" t="s">
        <v>36</v>
      </c>
      <c r="S421" s="25" t="s">
        <v>29</v>
      </c>
      <c r="T421" s="24" t="s">
        <v>30</v>
      </c>
      <c r="U421" s="31" t="s">
        <v>31</v>
      </c>
      <c r="V421" s="31" t="n">
        <v>43343</v>
      </c>
      <c r="W421" s="18"/>
      <c r="X421" s="18"/>
    </row>
    <row r="422" customFormat="false" ht="13.8" hidden="false" customHeight="false" outlineLevel="0" collapsed="false">
      <c r="A422" s="18"/>
      <c r="B422" s="19" t="n">
        <v>1030</v>
      </c>
      <c r="C422" s="20" t="n">
        <v>43217</v>
      </c>
      <c r="D422" s="21" t="s">
        <v>22</v>
      </c>
      <c r="E422" s="22" t="s">
        <v>190</v>
      </c>
      <c r="F422" s="23" t="s">
        <v>191</v>
      </c>
      <c r="G422" s="22" t="s">
        <v>95</v>
      </c>
      <c r="H422" s="24" t="s">
        <v>141</v>
      </c>
      <c r="I422" s="24" t="s">
        <v>36</v>
      </c>
      <c r="J422" s="25" t="n">
        <v>14.43</v>
      </c>
      <c r="K422" s="26" t="n">
        <v>176400</v>
      </c>
      <c r="L422" s="27" t="n">
        <f aca="false">K422/J422</f>
        <v>12224.5322245322</v>
      </c>
      <c r="M422" s="28"/>
      <c r="N422" s="29"/>
      <c r="O422" s="30" t="n">
        <f aca="false">K422+N422</f>
        <v>176400</v>
      </c>
      <c r="P422" s="30" t="n">
        <f aca="false">ROUND(O422/J422, 2)</f>
        <v>12224.53</v>
      </c>
      <c r="Q422" s="25" t="s">
        <v>479</v>
      </c>
      <c r="R422" s="22" t="s">
        <v>27</v>
      </c>
      <c r="S422" s="25" t="s">
        <v>29</v>
      </c>
      <c r="T422" s="24" t="s">
        <v>30</v>
      </c>
      <c r="U422" s="31" t="s">
        <v>31</v>
      </c>
      <c r="V422" s="31" t="n">
        <v>43343</v>
      </c>
      <c r="W422" s="18"/>
      <c r="X422" s="18"/>
    </row>
    <row r="423" customFormat="false" ht="13.8" hidden="false" customHeight="false" outlineLevel="0" collapsed="false">
      <c r="A423" s="18"/>
      <c r="B423" s="19" t="n">
        <v>6855</v>
      </c>
      <c r="C423" s="20" t="n">
        <v>43217</v>
      </c>
      <c r="D423" s="21" t="s">
        <v>22</v>
      </c>
      <c r="E423" s="22" t="s">
        <v>350</v>
      </c>
      <c r="F423" s="23" t="s">
        <v>351</v>
      </c>
      <c r="G423" s="22" t="s">
        <v>283</v>
      </c>
      <c r="H423" s="24" t="s">
        <v>408</v>
      </c>
      <c r="I423" s="24" t="s">
        <v>57</v>
      </c>
      <c r="J423" s="25" t="n">
        <f aca="false">52.65-5.42</f>
        <v>47.23</v>
      </c>
      <c r="K423" s="26" t="n">
        <v>580000</v>
      </c>
      <c r="L423" s="27" t="n">
        <f aca="false">K423/J423</f>
        <v>12280.3302985391</v>
      </c>
      <c r="M423" s="28" t="s">
        <v>728</v>
      </c>
      <c r="N423" s="29" t="n">
        <v>27000</v>
      </c>
      <c r="O423" s="30" t="n">
        <f aca="false">K423+N423</f>
        <v>607000</v>
      </c>
      <c r="P423" s="30" t="n">
        <f aca="false">ROUND(O423/J423, 2)</f>
        <v>12852</v>
      </c>
      <c r="Q423" s="25" t="s">
        <v>161</v>
      </c>
      <c r="R423" s="22" t="s">
        <v>36</v>
      </c>
      <c r="S423" s="25" t="s">
        <v>29</v>
      </c>
      <c r="T423" s="24" t="s">
        <v>30</v>
      </c>
      <c r="U423" s="31" t="s">
        <v>31</v>
      </c>
      <c r="V423" s="31" t="n">
        <v>43343</v>
      </c>
      <c r="W423" s="18"/>
      <c r="X423" s="18"/>
      <c r="AMJ423" s="32"/>
    </row>
    <row r="424" s="32" customFormat="true" ht="13.8" hidden="false" customHeight="false" outlineLevel="0" collapsed="false">
      <c r="A424" s="18"/>
      <c r="B424" s="19" t="n">
        <v>737</v>
      </c>
      <c r="C424" s="20" t="n">
        <v>43217</v>
      </c>
      <c r="D424" s="21" t="s">
        <v>22</v>
      </c>
      <c r="E424" s="22" t="s">
        <v>284</v>
      </c>
      <c r="F424" s="23" t="s">
        <v>46</v>
      </c>
      <c r="G424" s="22" t="s">
        <v>181</v>
      </c>
      <c r="H424" s="24" t="s">
        <v>77</v>
      </c>
      <c r="I424" s="24" t="s">
        <v>26</v>
      </c>
      <c r="J424" s="25" t="n">
        <v>31.17</v>
      </c>
      <c r="K424" s="26" t="n">
        <v>310000</v>
      </c>
      <c r="L424" s="27" t="n">
        <f aca="false">K424/J424</f>
        <v>9945.46037856914</v>
      </c>
      <c r="M424" s="28" t="s">
        <v>64</v>
      </c>
      <c r="N424" s="29"/>
      <c r="O424" s="30" t="n">
        <f aca="false">K424+N424</f>
        <v>310000</v>
      </c>
      <c r="P424" s="30" t="n">
        <f aca="false">ROUND(O424/J424, 2)</f>
        <v>9945.46</v>
      </c>
      <c r="Q424" s="25" t="s">
        <v>41</v>
      </c>
      <c r="R424" s="22" t="s">
        <v>27</v>
      </c>
      <c r="S424" s="25" t="s">
        <v>29</v>
      </c>
      <c r="T424" s="24" t="s">
        <v>30</v>
      </c>
      <c r="U424" s="31" t="s">
        <v>31</v>
      </c>
      <c r="V424" s="31" t="n">
        <v>43343</v>
      </c>
      <c r="W424" s="34"/>
      <c r="X424" s="18"/>
    </row>
    <row r="425" s="32" customFormat="true" ht="13.8" hidden="false" customHeight="false" outlineLevel="0" collapsed="false">
      <c r="A425" s="18"/>
      <c r="B425" s="19" t="n">
        <v>6778</v>
      </c>
      <c r="C425" s="20" t="n">
        <v>43220</v>
      </c>
      <c r="D425" s="21" t="s">
        <v>22</v>
      </c>
      <c r="E425" s="22" t="s">
        <v>667</v>
      </c>
      <c r="F425" s="23" t="s">
        <v>729</v>
      </c>
      <c r="G425" s="22" t="s">
        <v>730</v>
      </c>
      <c r="H425" s="24" t="s">
        <v>115</v>
      </c>
      <c r="I425" s="24" t="s">
        <v>26</v>
      </c>
      <c r="J425" s="25" t="n">
        <v>64.07</v>
      </c>
      <c r="K425" s="26" t="n">
        <v>520000</v>
      </c>
      <c r="L425" s="27" t="n">
        <f aca="false">K425/J425</f>
        <v>8116.12299047916</v>
      </c>
      <c r="M425" s="28" t="s">
        <v>64</v>
      </c>
      <c r="N425" s="29"/>
      <c r="O425" s="30" t="n">
        <f aca="false">K425+N425</f>
        <v>520000</v>
      </c>
      <c r="P425" s="30" t="n">
        <f aca="false">ROUND(O425/J425, 2)</f>
        <v>8116.12</v>
      </c>
      <c r="Q425" s="25" t="s">
        <v>85</v>
      </c>
      <c r="R425" s="22" t="s">
        <v>26</v>
      </c>
      <c r="S425" s="25" t="s">
        <v>29</v>
      </c>
      <c r="T425" s="24" t="s">
        <v>30</v>
      </c>
      <c r="U425" s="31" t="s">
        <v>31</v>
      </c>
      <c r="V425" s="31" t="n">
        <v>43343</v>
      </c>
      <c r="W425" s="18"/>
      <c r="X425" s="18"/>
    </row>
    <row r="426" customFormat="false" ht="13.8" hidden="false" customHeight="false" outlineLevel="0" collapsed="false">
      <c r="A426" s="18"/>
      <c r="B426" s="19" t="n">
        <v>1491</v>
      </c>
      <c r="C426" s="20" t="n">
        <v>43220</v>
      </c>
      <c r="D426" s="21" t="s">
        <v>22</v>
      </c>
      <c r="E426" s="22" t="s">
        <v>278</v>
      </c>
      <c r="F426" s="23" t="s">
        <v>688</v>
      </c>
      <c r="G426" s="22" t="s">
        <v>731</v>
      </c>
      <c r="H426" s="24" t="s">
        <v>730</v>
      </c>
      <c r="I426" s="24" t="s">
        <v>27</v>
      </c>
      <c r="J426" s="25" t="n">
        <v>47.3</v>
      </c>
      <c r="K426" s="26" t="n">
        <v>325000</v>
      </c>
      <c r="L426" s="27" t="n">
        <f aca="false">K426/J426</f>
        <v>6871.03594080338</v>
      </c>
      <c r="M426" s="28" t="s">
        <v>64</v>
      </c>
      <c r="N426" s="29"/>
      <c r="O426" s="30" t="n">
        <f aca="false">K426+N426</f>
        <v>325000</v>
      </c>
      <c r="P426" s="30" t="n">
        <f aca="false">ROUND(O426/J426, 2)</f>
        <v>6871.04</v>
      </c>
      <c r="Q426" s="25" t="s">
        <v>85</v>
      </c>
      <c r="R426" s="22" t="s">
        <v>26</v>
      </c>
      <c r="S426" s="25" t="s">
        <v>29</v>
      </c>
      <c r="T426" s="24" t="s">
        <v>30</v>
      </c>
      <c r="U426" s="31" t="s">
        <v>31</v>
      </c>
      <c r="V426" s="31" t="n">
        <v>43343</v>
      </c>
      <c r="W426" s="18"/>
      <c r="X426" s="18"/>
      <c r="AMJ426" s="32"/>
    </row>
    <row r="427" s="32" customFormat="true" ht="13.8" hidden="false" customHeight="false" outlineLevel="0" collapsed="false">
      <c r="A427" s="18" t="n">
        <v>103240</v>
      </c>
      <c r="B427" s="19" t="n">
        <v>3651</v>
      </c>
      <c r="C427" s="20" t="n">
        <v>43224</v>
      </c>
      <c r="D427" s="21" t="s">
        <v>22</v>
      </c>
      <c r="E427" s="22" t="s">
        <v>251</v>
      </c>
      <c r="F427" s="23" t="s">
        <v>252</v>
      </c>
      <c r="G427" s="22" t="s">
        <v>26</v>
      </c>
      <c r="H427" s="24" t="s">
        <v>732</v>
      </c>
      <c r="I427" s="24" t="s">
        <v>27</v>
      </c>
      <c r="J427" s="25" t="n">
        <v>31.54</v>
      </c>
      <c r="K427" s="26" t="n">
        <v>268000</v>
      </c>
      <c r="L427" s="27" t="n">
        <f aca="false">K427/J427</f>
        <v>8497.14648065948</v>
      </c>
      <c r="M427" s="28"/>
      <c r="N427" s="29"/>
      <c r="O427" s="30" t="n">
        <f aca="false">K427+N427</f>
        <v>268000</v>
      </c>
      <c r="P427" s="30" t="n">
        <f aca="false">ROUND(O427/J427, 2)</f>
        <v>8497.15</v>
      </c>
      <c r="Q427" s="25" t="s">
        <v>41</v>
      </c>
      <c r="R427" s="22" t="s">
        <v>27</v>
      </c>
      <c r="S427" s="25" t="s">
        <v>29</v>
      </c>
      <c r="T427" s="24" t="s">
        <v>30</v>
      </c>
      <c r="U427" s="31" t="s">
        <v>31</v>
      </c>
      <c r="V427" s="31" t="n">
        <v>43343</v>
      </c>
      <c r="W427" s="18"/>
      <c r="X427" s="18"/>
    </row>
    <row r="428" customFormat="false" ht="13.8" hidden="false" customHeight="false" outlineLevel="0" collapsed="false">
      <c r="A428" s="18"/>
      <c r="B428" s="19" t="n">
        <v>1673</v>
      </c>
      <c r="C428" s="20" t="n">
        <v>43227</v>
      </c>
      <c r="D428" s="21" t="s">
        <v>22</v>
      </c>
      <c r="E428" s="22" t="s">
        <v>72</v>
      </c>
      <c r="F428" s="23" t="s">
        <v>733</v>
      </c>
      <c r="G428" s="22" t="s">
        <v>112</v>
      </c>
      <c r="H428" s="24" t="s">
        <v>36</v>
      </c>
      <c r="I428" s="24" t="s">
        <v>27</v>
      </c>
      <c r="J428" s="25" t="n">
        <v>30.7</v>
      </c>
      <c r="K428" s="26" t="n">
        <v>405000</v>
      </c>
      <c r="L428" s="27" t="n">
        <f aca="false">K428/J428</f>
        <v>13192.1824104235</v>
      </c>
      <c r="M428" s="28"/>
      <c r="N428" s="29"/>
      <c r="O428" s="30" t="n">
        <f aca="false">K428+N428</f>
        <v>405000</v>
      </c>
      <c r="P428" s="30" t="n">
        <f aca="false">ROUND(O428/J428, 2)</f>
        <v>13192.18</v>
      </c>
      <c r="Q428" s="25" t="s">
        <v>383</v>
      </c>
      <c r="R428" s="22" t="s">
        <v>27</v>
      </c>
      <c r="S428" s="25" t="s">
        <v>29</v>
      </c>
      <c r="T428" s="24" t="s">
        <v>30</v>
      </c>
      <c r="U428" s="31" t="s">
        <v>31</v>
      </c>
      <c r="V428" s="31" t="n">
        <v>43343</v>
      </c>
      <c r="W428" s="34"/>
      <c r="X428" s="34"/>
    </row>
    <row r="429" customFormat="false" ht="13.8" hidden="false" customHeight="false" outlineLevel="0" collapsed="false">
      <c r="A429" s="18"/>
      <c r="B429" s="19" t="n">
        <v>928</v>
      </c>
      <c r="C429" s="20" t="n">
        <v>43227</v>
      </c>
      <c r="D429" s="21" t="s">
        <v>22</v>
      </c>
      <c r="E429" s="22" t="s">
        <v>287</v>
      </c>
      <c r="F429" s="23" t="s">
        <v>734</v>
      </c>
      <c r="G429" s="22" t="s">
        <v>180</v>
      </c>
      <c r="H429" s="24" t="s">
        <v>27</v>
      </c>
      <c r="I429" s="24" t="s">
        <v>27</v>
      </c>
      <c r="J429" s="25" t="n">
        <v>30.4</v>
      </c>
      <c r="K429" s="26" t="n">
        <v>245000</v>
      </c>
      <c r="L429" s="27" t="n">
        <f aca="false">K429/J429</f>
        <v>8059.21052631579</v>
      </c>
      <c r="M429" s="28"/>
      <c r="N429" s="29"/>
      <c r="O429" s="30" t="n">
        <f aca="false">K429+N429</f>
        <v>245000</v>
      </c>
      <c r="P429" s="30" t="n">
        <f aca="false">ROUND(O429/J429, 2)</f>
        <v>8059.21</v>
      </c>
      <c r="Q429" s="25" t="s">
        <v>41</v>
      </c>
      <c r="R429" s="22" t="s">
        <v>27</v>
      </c>
      <c r="S429" s="25" t="s">
        <v>29</v>
      </c>
      <c r="T429" s="24" t="s">
        <v>30</v>
      </c>
      <c r="U429" s="31" t="s">
        <v>31</v>
      </c>
      <c r="V429" s="31" t="n">
        <v>43343</v>
      </c>
      <c r="W429" s="34"/>
      <c r="X429" s="34"/>
    </row>
    <row r="430" customFormat="false" ht="13.8" hidden="false" customHeight="false" outlineLevel="0" collapsed="false">
      <c r="A430" s="18"/>
      <c r="B430" s="19" t="n">
        <v>872</v>
      </c>
      <c r="C430" s="20" t="n">
        <v>43227</v>
      </c>
      <c r="D430" s="21" t="s">
        <v>22</v>
      </c>
      <c r="E430" s="22" t="s">
        <v>187</v>
      </c>
      <c r="F430" s="23" t="s">
        <v>271</v>
      </c>
      <c r="G430" s="22" t="s">
        <v>105</v>
      </c>
      <c r="H430" s="24" t="s">
        <v>226</v>
      </c>
      <c r="I430" s="24" t="s">
        <v>26</v>
      </c>
      <c r="J430" s="25" t="n">
        <v>48.05</v>
      </c>
      <c r="K430" s="26" t="n">
        <v>410000</v>
      </c>
      <c r="L430" s="27" t="n">
        <f aca="false">K430/J430</f>
        <v>8532.77835587929</v>
      </c>
      <c r="M430" s="28" t="s">
        <v>64</v>
      </c>
      <c r="N430" s="29"/>
      <c r="O430" s="30" t="n">
        <f aca="false">K430+N430</f>
        <v>410000</v>
      </c>
      <c r="P430" s="30" t="n">
        <f aca="false">ROUND(O430/J430, 2)</f>
        <v>8532.78</v>
      </c>
      <c r="Q430" s="25" t="s">
        <v>50</v>
      </c>
      <c r="R430" s="22" t="s">
        <v>36</v>
      </c>
      <c r="S430" s="25" t="s">
        <v>29</v>
      </c>
      <c r="T430" s="24" t="s">
        <v>30</v>
      </c>
      <c r="U430" s="31" t="s">
        <v>31</v>
      </c>
      <c r="V430" s="31" t="n">
        <v>43343</v>
      </c>
      <c r="W430" s="18"/>
      <c r="X430" s="18"/>
    </row>
    <row r="431" customFormat="false" ht="13.8" hidden="false" customHeight="false" outlineLevel="0" collapsed="false">
      <c r="A431" s="18"/>
      <c r="B431" s="19" t="n">
        <v>1721</v>
      </c>
      <c r="C431" s="20" t="n">
        <v>43227</v>
      </c>
      <c r="D431" s="21" t="s">
        <v>22</v>
      </c>
      <c r="E431" s="22" t="s">
        <v>354</v>
      </c>
      <c r="F431" s="23" t="s">
        <v>565</v>
      </c>
      <c r="G431" s="22" t="s">
        <v>147</v>
      </c>
      <c r="H431" s="24" t="s">
        <v>111</v>
      </c>
      <c r="I431" s="24" t="s">
        <v>49</v>
      </c>
      <c r="J431" s="25" t="n">
        <v>30.47</v>
      </c>
      <c r="K431" s="26" t="n">
        <v>349000</v>
      </c>
      <c r="L431" s="27" t="n">
        <f aca="false">K431/J431</f>
        <v>11453.8890712176</v>
      </c>
      <c r="M431" s="28" t="s">
        <v>64</v>
      </c>
      <c r="N431" s="29"/>
      <c r="O431" s="30" t="n">
        <f aca="false">K431+N431</f>
        <v>349000</v>
      </c>
      <c r="P431" s="30" t="n">
        <f aca="false">ROUND(O431/J431, 2)</f>
        <v>11453.89</v>
      </c>
      <c r="Q431" s="25" t="s">
        <v>41</v>
      </c>
      <c r="R431" s="22" t="s">
        <v>27</v>
      </c>
      <c r="S431" s="25" t="s">
        <v>29</v>
      </c>
      <c r="T431" s="24" t="s">
        <v>30</v>
      </c>
      <c r="U431" s="31" t="s">
        <v>31</v>
      </c>
      <c r="V431" s="31" t="n">
        <v>43343</v>
      </c>
      <c r="W431" s="18"/>
      <c r="X431" s="18"/>
    </row>
    <row r="432" customFormat="false" ht="13.8" hidden="false" customHeight="false" outlineLevel="0" collapsed="false">
      <c r="A432" s="18"/>
      <c r="B432" s="19" t="n">
        <v>482</v>
      </c>
      <c r="C432" s="20" t="n">
        <v>43228</v>
      </c>
      <c r="D432" s="21" t="s">
        <v>22</v>
      </c>
      <c r="E432" s="22" t="s">
        <v>125</v>
      </c>
      <c r="F432" s="23" t="s">
        <v>94</v>
      </c>
      <c r="G432" s="22" t="s">
        <v>735</v>
      </c>
      <c r="H432" s="24" t="s">
        <v>473</v>
      </c>
      <c r="I432" s="24" t="s">
        <v>49</v>
      </c>
      <c r="J432" s="25" t="n">
        <v>66.27</v>
      </c>
      <c r="K432" s="26" t="n">
        <v>660000</v>
      </c>
      <c r="L432" s="27" t="n">
        <f aca="false">K432/J432</f>
        <v>9959.25758261657</v>
      </c>
      <c r="M432" s="28"/>
      <c r="N432" s="29"/>
      <c r="O432" s="30" t="n">
        <f aca="false">K432+N432</f>
        <v>660000</v>
      </c>
      <c r="P432" s="30" t="n">
        <f aca="false">ROUND(O432/J432, 2)</f>
        <v>9959.26</v>
      </c>
      <c r="Q432" s="25" t="s">
        <v>50</v>
      </c>
      <c r="R432" s="22" t="s">
        <v>36</v>
      </c>
      <c r="S432" s="25" t="s">
        <v>29</v>
      </c>
      <c r="T432" s="24" t="s">
        <v>30</v>
      </c>
      <c r="U432" s="31" t="s">
        <v>31</v>
      </c>
      <c r="V432" s="31" t="n">
        <v>43343</v>
      </c>
      <c r="W432" s="18"/>
      <c r="X432" s="18"/>
      <c r="AMJ432" s="32"/>
    </row>
    <row r="433" s="32" customFormat="true" ht="13.8" hidden="false" customHeight="false" outlineLevel="0" collapsed="false">
      <c r="A433" s="18"/>
      <c r="B433" s="19" t="n">
        <v>462</v>
      </c>
      <c r="C433" s="20" t="n">
        <v>43228</v>
      </c>
      <c r="D433" s="21" t="s">
        <v>22</v>
      </c>
      <c r="E433" s="22" t="s">
        <v>452</v>
      </c>
      <c r="F433" s="23" t="s">
        <v>199</v>
      </c>
      <c r="G433" s="22" t="s">
        <v>294</v>
      </c>
      <c r="H433" s="24" t="s">
        <v>55</v>
      </c>
      <c r="I433" s="24" t="s">
        <v>26</v>
      </c>
      <c r="J433" s="25" t="n">
        <v>54.7</v>
      </c>
      <c r="K433" s="26" t="n">
        <v>375000</v>
      </c>
      <c r="L433" s="27" t="n">
        <f aca="false">K433/J433</f>
        <v>6855.57586837294</v>
      </c>
      <c r="M433" s="28"/>
      <c r="N433" s="29"/>
      <c r="O433" s="30" t="n">
        <f aca="false">K433+N433</f>
        <v>375000</v>
      </c>
      <c r="P433" s="30" t="n">
        <f aca="false">ROUND(O433/J433, 2)</f>
        <v>6855.58</v>
      </c>
      <c r="Q433" s="25" t="s">
        <v>85</v>
      </c>
      <c r="R433" s="22" t="s">
        <v>26</v>
      </c>
      <c r="S433" s="25" t="s">
        <v>29</v>
      </c>
      <c r="T433" s="24" t="s">
        <v>30</v>
      </c>
      <c r="U433" s="31" t="s">
        <v>31</v>
      </c>
      <c r="V433" s="31" t="n">
        <v>43343</v>
      </c>
      <c r="W433" s="18"/>
      <c r="X433" s="18"/>
      <c r="Y433" s="35"/>
      <c r="Z433" s="36"/>
    </row>
    <row r="434" s="32" customFormat="true" ht="13.8" hidden="false" customHeight="false" outlineLevel="0" collapsed="false">
      <c r="A434" s="18"/>
      <c r="B434" s="19" t="n">
        <v>1449</v>
      </c>
      <c r="C434" s="20" t="n">
        <v>43228</v>
      </c>
      <c r="D434" s="21" t="s">
        <v>22</v>
      </c>
      <c r="E434" s="22" t="s">
        <v>140</v>
      </c>
      <c r="F434" s="23" t="s">
        <v>138</v>
      </c>
      <c r="G434" s="22" t="s">
        <v>141</v>
      </c>
      <c r="H434" s="24" t="s">
        <v>736</v>
      </c>
      <c r="I434" s="24" t="s">
        <v>82</v>
      </c>
      <c r="J434" s="25" t="n">
        <v>66.47</v>
      </c>
      <c r="K434" s="26" t="n">
        <v>580000</v>
      </c>
      <c r="L434" s="27" t="n">
        <f aca="false">K434/J434</f>
        <v>8725.74093576049</v>
      </c>
      <c r="M434" s="28" t="s">
        <v>205</v>
      </c>
      <c r="N434" s="29" t="n">
        <v>30000</v>
      </c>
      <c r="O434" s="30" t="n">
        <f aca="false">K434+N434</f>
        <v>610000</v>
      </c>
      <c r="P434" s="30" t="n">
        <f aca="false">ROUND(O434/J434, 2)</f>
        <v>9177.07</v>
      </c>
      <c r="Q434" s="25" t="s">
        <v>50</v>
      </c>
      <c r="R434" s="22" t="s">
        <v>36</v>
      </c>
      <c r="S434" s="25" t="s">
        <v>29</v>
      </c>
      <c r="T434" s="24" t="s">
        <v>30</v>
      </c>
      <c r="U434" s="31" t="s">
        <v>31</v>
      </c>
      <c r="V434" s="31" t="n">
        <v>43343</v>
      </c>
      <c r="W434" s="18"/>
      <c r="X434" s="18"/>
      <c r="Y434" s="1"/>
      <c r="Z434" s="1"/>
    </row>
    <row r="435" customFormat="false" ht="13.8" hidden="false" customHeight="false" outlineLevel="0" collapsed="false">
      <c r="A435" s="18"/>
      <c r="B435" s="19" t="n">
        <v>1091</v>
      </c>
      <c r="C435" s="20" t="n">
        <v>43228</v>
      </c>
      <c r="D435" s="21" t="s">
        <v>22</v>
      </c>
      <c r="E435" s="22" t="s">
        <v>522</v>
      </c>
      <c r="F435" s="23" t="s">
        <v>523</v>
      </c>
      <c r="G435" s="22" t="s">
        <v>146</v>
      </c>
      <c r="H435" s="24" t="s">
        <v>116</v>
      </c>
      <c r="I435" s="24" t="s">
        <v>82</v>
      </c>
      <c r="J435" s="25" t="n">
        <f aca="false">105.51</f>
        <v>105.51</v>
      </c>
      <c r="K435" s="26" t="n">
        <v>1065000</v>
      </c>
      <c r="L435" s="27" t="n">
        <f aca="false">K435/J435</f>
        <v>10093.8299687233</v>
      </c>
      <c r="M435" s="28" t="s">
        <v>737</v>
      </c>
      <c r="N435" s="29" t="n">
        <v>35000</v>
      </c>
      <c r="O435" s="30" t="n">
        <f aca="false">K435+N435</f>
        <v>1100000</v>
      </c>
      <c r="P435" s="30" t="n">
        <f aca="false">ROUND(O435/J435, 2)</f>
        <v>10425.55</v>
      </c>
      <c r="Q435" s="25" t="s">
        <v>738</v>
      </c>
      <c r="R435" s="22" t="s">
        <v>49</v>
      </c>
      <c r="S435" s="25" t="s">
        <v>29</v>
      </c>
      <c r="T435" s="24" t="s">
        <v>30</v>
      </c>
      <c r="U435" s="31" t="s">
        <v>31</v>
      </c>
      <c r="V435" s="31" t="n">
        <v>43343</v>
      </c>
      <c r="W435" s="34" t="s">
        <v>739</v>
      </c>
      <c r="X435" s="18"/>
    </row>
    <row r="436" customFormat="false" ht="13.8" hidden="false" customHeight="false" outlineLevel="0" collapsed="false">
      <c r="A436" s="18"/>
      <c r="B436" s="19" t="n">
        <v>6806</v>
      </c>
      <c r="C436" s="20" t="n">
        <v>43228</v>
      </c>
      <c r="D436" s="21" t="s">
        <v>22</v>
      </c>
      <c r="E436" s="22" t="s">
        <v>299</v>
      </c>
      <c r="F436" s="23" t="s">
        <v>271</v>
      </c>
      <c r="G436" s="22" t="s">
        <v>455</v>
      </c>
      <c r="H436" s="24" t="s">
        <v>48</v>
      </c>
      <c r="I436" s="24" t="s">
        <v>49</v>
      </c>
      <c r="J436" s="25" t="n">
        <v>48.66</v>
      </c>
      <c r="K436" s="26" t="n">
        <v>427500</v>
      </c>
      <c r="L436" s="27" t="n">
        <f aca="false">K436/J436</f>
        <v>8785.45006165228</v>
      </c>
      <c r="M436" s="28" t="s">
        <v>64</v>
      </c>
      <c r="N436" s="29"/>
      <c r="O436" s="30" t="n">
        <f aca="false">K436+N436</f>
        <v>427500</v>
      </c>
      <c r="P436" s="30" t="n">
        <f aca="false">ROUND(O436/J436, 2)</f>
        <v>8785.45</v>
      </c>
      <c r="Q436" s="25" t="s">
        <v>620</v>
      </c>
      <c r="R436" s="22" t="s">
        <v>36</v>
      </c>
      <c r="S436" s="25" t="s">
        <v>29</v>
      </c>
      <c r="T436" s="24" t="s">
        <v>30</v>
      </c>
      <c r="U436" s="31" t="s">
        <v>31</v>
      </c>
      <c r="V436" s="31" t="n">
        <v>43343</v>
      </c>
      <c r="W436" s="34"/>
      <c r="X436" s="34"/>
      <c r="Y436" s="35"/>
      <c r="Z436" s="36"/>
      <c r="AB436" s="37"/>
    </row>
    <row r="437" customFormat="false" ht="13.8" hidden="false" customHeight="false" outlineLevel="0" collapsed="false">
      <c r="A437" s="18"/>
      <c r="B437" s="19" t="n">
        <v>4038</v>
      </c>
      <c r="C437" s="20" t="n">
        <v>43228</v>
      </c>
      <c r="D437" s="21" t="s">
        <v>22</v>
      </c>
      <c r="E437" s="22" t="s">
        <v>72</v>
      </c>
      <c r="F437" s="23" t="s">
        <v>73</v>
      </c>
      <c r="G437" s="22" t="s">
        <v>74</v>
      </c>
      <c r="H437" s="24" t="s">
        <v>111</v>
      </c>
      <c r="I437" s="24" t="s">
        <v>49</v>
      </c>
      <c r="J437" s="25" t="n">
        <v>28.04</v>
      </c>
      <c r="K437" s="26" t="n">
        <v>325000</v>
      </c>
      <c r="L437" s="27" t="n">
        <f aca="false">K437/J437</f>
        <v>11590.5848787447</v>
      </c>
      <c r="M437" s="28"/>
      <c r="N437" s="29"/>
      <c r="O437" s="30" t="n">
        <f aca="false">K437+N437</f>
        <v>325000</v>
      </c>
      <c r="P437" s="30" t="n">
        <f aca="false">ROUND(O437/J437, 2)</f>
        <v>11590.58</v>
      </c>
      <c r="Q437" s="25" t="s">
        <v>41</v>
      </c>
      <c r="R437" s="22" t="s">
        <v>27</v>
      </c>
      <c r="S437" s="25" t="s">
        <v>29</v>
      </c>
      <c r="T437" s="24" t="s">
        <v>30</v>
      </c>
      <c r="U437" s="31" t="s">
        <v>31</v>
      </c>
      <c r="V437" s="31" t="n">
        <v>43343</v>
      </c>
      <c r="W437" s="18"/>
      <c r="X437" s="18"/>
    </row>
    <row r="438" customFormat="false" ht="13.8" hidden="false" customHeight="false" outlineLevel="0" collapsed="false">
      <c r="A438" s="18"/>
      <c r="B438" s="19" t="n">
        <v>1765</v>
      </c>
      <c r="C438" s="20" t="n">
        <v>43229</v>
      </c>
      <c r="D438" s="21" t="s">
        <v>22</v>
      </c>
      <c r="E438" s="22" t="s">
        <v>129</v>
      </c>
      <c r="F438" s="23" t="s">
        <v>130</v>
      </c>
      <c r="G438" s="22" t="s">
        <v>223</v>
      </c>
      <c r="H438" s="24" t="s">
        <v>460</v>
      </c>
      <c r="I438" s="24" t="s">
        <v>143</v>
      </c>
      <c r="J438" s="25" t="n">
        <v>50.9</v>
      </c>
      <c r="K438" s="26" t="n">
        <v>520000</v>
      </c>
      <c r="L438" s="27" t="n">
        <f aca="false">K438/J438</f>
        <v>10216.1100196464</v>
      </c>
      <c r="M438" s="28" t="s">
        <v>205</v>
      </c>
      <c r="N438" s="29"/>
      <c r="O438" s="30" t="n">
        <f aca="false">K438+N438</f>
        <v>520000</v>
      </c>
      <c r="P438" s="30" t="n">
        <f aca="false">ROUND(O438/J438, 2)</f>
        <v>10216.11</v>
      </c>
      <c r="Q438" s="25" t="s">
        <v>161</v>
      </c>
      <c r="R438" s="22" t="s">
        <v>36</v>
      </c>
      <c r="S438" s="25" t="s">
        <v>29</v>
      </c>
      <c r="T438" s="24" t="s">
        <v>30</v>
      </c>
      <c r="U438" s="31" t="s">
        <v>31</v>
      </c>
      <c r="V438" s="31" t="n">
        <v>43343</v>
      </c>
      <c r="W438" s="18"/>
      <c r="X438" s="18"/>
    </row>
    <row r="439" customFormat="false" ht="13.8" hidden="false" customHeight="false" outlineLevel="0" collapsed="false">
      <c r="A439" s="18"/>
      <c r="B439" s="19" t="n">
        <v>1544</v>
      </c>
      <c r="C439" s="20" t="n">
        <v>43229</v>
      </c>
      <c r="D439" s="21" t="s">
        <v>22</v>
      </c>
      <c r="E439" s="22" t="s">
        <v>42</v>
      </c>
      <c r="F439" s="23" t="s">
        <v>740</v>
      </c>
      <c r="G439" s="22" t="s">
        <v>112</v>
      </c>
      <c r="H439" s="24" t="s">
        <v>294</v>
      </c>
      <c r="I439" s="24" t="s">
        <v>26</v>
      </c>
      <c r="J439" s="25" t="n">
        <v>49.8</v>
      </c>
      <c r="K439" s="26" t="n">
        <v>350000</v>
      </c>
      <c r="L439" s="27" t="n">
        <f aca="false">K439/J439</f>
        <v>7028.1124497992</v>
      </c>
      <c r="M439" s="28"/>
      <c r="N439" s="29"/>
      <c r="O439" s="30" t="n">
        <f aca="false">K439+N439</f>
        <v>350000</v>
      </c>
      <c r="P439" s="30" t="n">
        <f aca="false">ROUND(O439/J439, 2)</f>
        <v>7028.11</v>
      </c>
      <c r="Q439" s="25" t="s">
        <v>50</v>
      </c>
      <c r="R439" s="22" t="s">
        <v>36</v>
      </c>
      <c r="S439" s="25" t="s">
        <v>29</v>
      </c>
      <c r="T439" s="24" t="s">
        <v>30</v>
      </c>
      <c r="U439" s="31" t="s">
        <v>31</v>
      </c>
      <c r="V439" s="31" t="n">
        <v>43343</v>
      </c>
      <c r="W439" s="18"/>
      <c r="X439" s="18"/>
    </row>
    <row r="440" customFormat="false" ht="13.8" hidden="false" customHeight="false" outlineLevel="0" collapsed="false">
      <c r="A440" s="18"/>
      <c r="B440" s="19" t="n">
        <v>3182</v>
      </c>
      <c r="C440" s="20" t="n">
        <v>43229</v>
      </c>
      <c r="D440" s="21" t="s">
        <v>22</v>
      </c>
      <c r="E440" s="22" t="s">
        <v>23</v>
      </c>
      <c r="F440" s="23" t="s">
        <v>361</v>
      </c>
      <c r="G440" s="22" t="s">
        <v>554</v>
      </c>
      <c r="H440" s="24" t="s">
        <v>396</v>
      </c>
      <c r="I440" s="24" t="s">
        <v>82</v>
      </c>
      <c r="J440" s="25" t="n">
        <v>36.7</v>
      </c>
      <c r="K440" s="26" t="n">
        <v>312000</v>
      </c>
      <c r="L440" s="27" t="n">
        <f aca="false">K440/J440</f>
        <v>8501.36239782016</v>
      </c>
      <c r="M440" s="28"/>
      <c r="N440" s="29"/>
      <c r="O440" s="30" t="n">
        <f aca="false">K440+N440</f>
        <v>312000</v>
      </c>
      <c r="P440" s="30" t="n">
        <f aca="false">ROUND(O440/J440, 2)</f>
        <v>8501.36</v>
      </c>
      <c r="Q440" s="25" t="s">
        <v>50</v>
      </c>
      <c r="R440" s="22" t="s">
        <v>36</v>
      </c>
      <c r="S440" s="25" t="s">
        <v>29</v>
      </c>
      <c r="T440" s="24" t="s">
        <v>30</v>
      </c>
      <c r="U440" s="31" t="s">
        <v>31</v>
      </c>
      <c r="V440" s="31" t="n">
        <v>43343</v>
      </c>
      <c r="W440" s="18"/>
      <c r="X440" s="18"/>
    </row>
    <row r="441" customFormat="false" ht="13.8" hidden="false" customHeight="false" outlineLevel="0" collapsed="false">
      <c r="A441" s="18"/>
      <c r="B441" s="19" t="n">
        <v>1148</v>
      </c>
      <c r="C441" s="20" t="n">
        <v>43229</v>
      </c>
      <c r="D441" s="21" t="s">
        <v>22</v>
      </c>
      <c r="E441" s="22" t="s">
        <v>350</v>
      </c>
      <c r="F441" s="23" t="s">
        <v>351</v>
      </c>
      <c r="G441" s="22" t="s">
        <v>283</v>
      </c>
      <c r="H441" s="24" t="s">
        <v>741</v>
      </c>
      <c r="I441" s="24" t="s">
        <v>82</v>
      </c>
      <c r="J441" s="25" t="n">
        <f aca="false">143.47-3.64-5.39</f>
        <v>134.44</v>
      </c>
      <c r="K441" s="26" t="n">
        <v>1334000</v>
      </c>
      <c r="L441" s="27" t="n">
        <f aca="false">K441/J441</f>
        <v>9922.64207081226</v>
      </c>
      <c r="M441" s="28" t="s">
        <v>742</v>
      </c>
      <c r="N441" s="29" t="n">
        <v>90000</v>
      </c>
      <c r="O441" s="30" t="n">
        <f aca="false">K441+N441</f>
        <v>1424000</v>
      </c>
      <c r="P441" s="30" t="n">
        <f aca="false">ROUND(O441/J441, 2)</f>
        <v>10592.09</v>
      </c>
      <c r="Q441" s="25" t="s">
        <v>491</v>
      </c>
      <c r="R441" s="22" t="s">
        <v>49</v>
      </c>
      <c r="S441" s="25" t="s">
        <v>29</v>
      </c>
      <c r="T441" s="24" t="s">
        <v>30</v>
      </c>
      <c r="U441" s="31" t="s">
        <v>31</v>
      </c>
      <c r="V441" s="31" t="n">
        <v>43343</v>
      </c>
      <c r="W441" s="18"/>
      <c r="X441" s="18"/>
      <c r="AMJ441" s="32"/>
    </row>
    <row r="442" s="32" customFormat="true" ht="13.8" hidden="false" customHeight="false" outlineLevel="0" collapsed="false">
      <c r="A442" s="18"/>
      <c r="B442" s="19" t="n">
        <v>1302</v>
      </c>
      <c r="C442" s="20" t="n">
        <v>43229</v>
      </c>
      <c r="D442" s="21" t="s">
        <v>22</v>
      </c>
      <c r="E442" s="22" t="s">
        <v>109</v>
      </c>
      <c r="F442" s="23" t="s">
        <v>271</v>
      </c>
      <c r="G442" s="22" t="s">
        <v>210</v>
      </c>
      <c r="H442" s="24" t="s">
        <v>743</v>
      </c>
      <c r="I442" s="24" t="s">
        <v>49</v>
      </c>
      <c r="J442" s="25" t="n">
        <v>45.59</v>
      </c>
      <c r="K442" s="26" t="n">
        <v>400000</v>
      </c>
      <c r="L442" s="27" t="n">
        <f aca="false">K442/J442</f>
        <v>8773.85391533231</v>
      </c>
      <c r="M442" s="28" t="s">
        <v>64</v>
      </c>
      <c r="N442" s="29"/>
      <c r="O442" s="30" t="n">
        <f aca="false">K442+N442</f>
        <v>400000</v>
      </c>
      <c r="P442" s="30" t="n">
        <f aca="false">ROUND(O442/J442, 2)</f>
        <v>8773.85</v>
      </c>
      <c r="Q442" s="25" t="s">
        <v>50</v>
      </c>
      <c r="R442" s="22" t="s">
        <v>36</v>
      </c>
      <c r="S442" s="25" t="s">
        <v>29</v>
      </c>
      <c r="T442" s="24" t="s">
        <v>30</v>
      </c>
      <c r="U442" s="31" t="s">
        <v>31</v>
      </c>
      <c r="V442" s="31" t="n">
        <v>43343</v>
      </c>
      <c r="W442" s="34"/>
      <c r="X442" s="34"/>
    </row>
    <row r="443" customFormat="false" ht="13.8" hidden="false" customHeight="false" outlineLevel="0" collapsed="false">
      <c r="A443" s="18"/>
      <c r="B443" s="19" t="n">
        <v>6708</v>
      </c>
      <c r="C443" s="20" t="n">
        <v>43229</v>
      </c>
      <c r="D443" s="21" t="s">
        <v>22</v>
      </c>
      <c r="E443" s="22" t="s">
        <v>109</v>
      </c>
      <c r="F443" s="23" t="s">
        <v>744</v>
      </c>
      <c r="G443" s="22" t="s">
        <v>246</v>
      </c>
      <c r="H443" s="24" t="s">
        <v>745</v>
      </c>
      <c r="I443" s="24" t="s">
        <v>49</v>
      </c>
      <c r="J443" s="25" t="n">
        <v>44.22</v>
      </c>
      <c r="K443" s="26" t="n">
        <v>440000</v>
      </c>
      <c r="L443" s="27" t="n">
        <f aca="false">K443/J443</f>
        <v>9950.2487562189</v>
      </c>
      <c r="M443" s="28"/>
      <c r="N443" s="29"/>
      <c r="O443" s="30" t="n">
        <f aca="false">K443+N443</f>
        <v>440000</v>
      </c>
      <c r="P443" s="30" t="n">
        <f aca="false">ROUND(O443/J443, 2)</f>
        <v>9950.25</v>
      </c>
      <c r="Q443" s="25" t="s">
        <v>161</v>
      </c>
      <c r="R443" s="22" t="s">
        <v>36</v>
      </c>
      <c r="S443" s="25" t="s">
        <v>29</v>
      </c>
      <c r="T443" s="24" t="s">
        <v>30</v>
      </c>
      <c r="U443" s="31" t="s">
        <v>31</v>
      </c>
      <c r="V443" s="31" t="n">
        <v>43343</v>
      </c>
      <c r="W443" s="34"/>
      <c r="X443" s="34"/>
    </row>
    <row r="444" customFormat="false" ht="13.8" hidden="false" customHeight="false" outlineLevel="0" collapsed="false">
      <c r="A444" s="18"/>
      <c r="B444" s="19" t="n">
        <v>6017</v>
      </c>
      <c r="C444" s="20" t="n">
        <v>43230</v>
      </c>
      <c r="D444" s="21" t="s">
        <v>22</v>
      </c>
      <c r="E444" s="22" t="s">
        <v>125</v>
      </c>
      <c r="F444" s="23" t="s">
        <v>94</v>
      </c>
      <c r="G444" s="22" t="s">
        <v>746</v>
      </c>
      <c r="H444" s="24" t="s">
        <v>126</v>
      </c>
      <c r="I444" s="24" t="s">
        <v>49</v>
      </c>
      <c r="J444" s="25" t="n">
        <v>43.31</v>
      </c>
      <c r="K444" s="26" t="n">
        <v>410000</v>
      </c>
      <c r="L444" s="27" t="n">
        <f aca="false">K444/J444</f>
        <v>9466.63588085892</v>
      </c>
      <c r="M444" s="28"/>
      <c r="N444" s="29"/>
      <c r="O444" s="30" t="n">
        <f aca="false">K444+N444</f>
        <v>410000</v>
      </c>
      <c r="P444" s="30" t="n">
        <f aca="false">ROUND(O444/J444, 2)</f>
        <v>9466.64</v>
      </c>
      <c r="Q444" s="25" t="s">
        <v>50</v>
      </c>
      <c r="R444" s="22" t="s">
        <v>36</v>
      </c>
      <c r="S444" s="25" t="s">
        <v>29</v>
      </c>
      <c r="T444" s="24" t="s">
        <v>30</v>
      </c>
      <c r="U444" s="31" t="s">
        <v>31</v>
      </c>
      <c r="V444" s="31" t="n">
        <v>43343</v>
      </c>
      <c r="W444" s="18"/>
      <c r="X444" s="18"/>
      <c r="AMJ444" s="32"/>
    </row>
    <row r="445" s="32" customFormat="true" ht="13.8" hidden="false" customHeight="false" outlineLevel="0" collapsed="false">
      <c r="A445" s="18"/>
      <c r="B445" s="19" t="n">
        <v>75</v>
      </c>
      <c r="C445" s="20" t="n">
        <v>43230</v>
      </c>
      <c r="D445" s="21" t="s">
        <v>22</v>
      </c>
      <c r="E445" s="22" t="s">
        <v>354</v>
      </c>
      <c r="F445" s="23" t="s">
        <v>386</v>
      </c>
      <c r="G445" s="22" t="s">
        <v>115</v>
      </c>
      <c r="H445" s="24" t="s">
        <v>105</v>
      </c>
      <c r="I445" s="24" t="s">
        <v>26</v>
      </c>
      <c r="J445" s="25" t="n">
        <v>50.73</v>
      </c>
      <c r="K445" s="26" t="n">
        <v>403000</v>
      </c>
      <c r="L445" s="27" t="n">
        <f aca="false">K445/J445</f>
        <v>7944.01734673763</v>
      </c>
      <c r="M445" s="28" t="s">
        <v>64</v>
      </c>
      <c r="N445" s="29"/>
      <c r="O445" s="30" t="n">
        <f aca="false">K445+N445</f>
        <v>403000</v>
      </c>
      <c r="P445" s="30" t="n">
        <f aca="false">ROUND(O445/J445, 2)</f>
        <v>7944.02</v>
      </c>
      <c r="Q445" s="25" t="s">
        <v>50</v>
      </c>
      <c r="R445" s="22" t="s">
        <v>36</v>
      </c>
      <c r="S445" s="25" t="s">
        <v>29</v>
      </c>
      <c r="T445" s="24" t="s">
        <v>30</v>
      </c>
      <c r="U445" s="31" t="s">
        <v>31</v>
      </c>
      <c r="V445" s="31" t="n">
        <v>43343</v>
      </c>
      <c r="W445" s="34"/>
      <c r="X445" s="34"/>
    </row>
    <row r="446" customFormat="false" ht="13.8" hidden="false" customHeight="false" outlineLevel="0" collapsed="false">
      <c r="A446" s="18"/>
      <c r="B446" s="19" t="n">
        <v>4956</v>
      </c>
      <c r="C446" s="20" t="n">
        <v>43230</v>
      </c>
      <c r="D446" s="21" t="s">
        <v>22</v>
      </c>
      <c r="E446" s="22" t="s">
        <v>235</v>
      </c>
      <c r="F446" s="23" t="s">
        <v>236</v>
      </c>
      <c r="G446" s="22" t="s">
        <v>747</v>
      </c>
      <c r="H446" s="24" t="s">
        <v>269</v>
      </c>
      <c r="I446" s="24" t="s">
        <v>27</v>
      </c>
      <c r="J446" s="25" t="n">
        <v>31.7</v>
      </c>
      <c r="K446" s="26" t="n">
        <v>330000</v>
      </c>
      <c r="L446" s="27" t="n">
        <f aca="false">K446/J446</f>
        <v>10410.094637224</v>
      </c>
      <c r="M446" s="28" t="s">
        <v>64</v>
      </c>
      <c r="N446" s="29"/>
      <c r="O446" s="30" t="n">
        <f aca="false">K446+N446</f>
        <v>330000</v>
      </c>
      <c r="P446" s="30" t="n">
        <f aca="false">ROUND(O446/J446, 2)</f>
        <v>10410.09</v>
      </c>
      <c r="Q446" s="25" t="s">
        <v>41</v>
      </c>
      <c r="R446" s="22" t="s">
        <v>27</v>
      </c>
      <c r="S446" s="25" t="s">
        <v>29</v>
      </c>
      <c r="T446" s="24" t="s">
        <v>30</v>
      </c>
      <c r="U446" s="31" t="s">
        <v>31</v>
      </c>
      <c r="V446" s="31" t="n">
        <v>43343</v>
      </c>
      <c r="W446" s="18"/>
      <c r="X446" s="18"/>
      <c r="Y446" s="35"/>
      <c r="Z446" s="43"/>
    </row>
    <row r="447" customFormat="false" ht="13.8" hidden="false" customHeight="false" outlineLevel="0" collapsed="false">
      <c r="A447" s="18"/>
      <c r="B447" s="19" t="n">
        <v>5409</v>
      </c>
      <c r="C447" s="20" t="n">
        <v>43231</v>
      </c>
      <c r="D447" s="21" t="s">
        <v>22</v>
      </c>
      <c r="E447" s="22" t="s">
        <v>156</v>
      </c>
      <c r="F447" s="23" t="s">
        <v>157</v>
      </c>
      <c r="G447" s="22" t="s">
        <v>748</v>
      </c>
      <c r="H447" s="24" t="s">
        <v>49</v>
      </c>
      <c r="I447" s="24" t="s">
        <v>36</v>
      </c>
      <c r="J447" s="25" t="n">
        <v>50.89</v>
      </c>
      <c r="K447" s="26" t="n">
        <v>399486.58</v>
      </c>
      <c r="L447" s="27" t="n">
        <f aca="false">K447/J447</f>
        <v>7850.00157201808</v>
      </c>
      <c r="M447" s="28" t="s">
        <v>205</v>
      </c>
      <c r="N447" s="29" t="n">
        <v>17513.42</v>
      </c>
      <c r="O447" s="30" t="n">
        <f aca="false">K447+N447</f>
        <v>417000</v>
      </c>
      <c r="P447" s="30" t="n">
        <f aca="false">ROUND(O447/J447, 2)</f>
        <v>8194.14</v>
      </c>
      <c r="Q447" s="25" t="s">
        <v>749</v>
      </c>
      <c r="R447" s="22" t="s">
        <v>36</v>
      </c>
      <c r="S447" s="25" t="s">
        <v>29</v>
      </c>
      <c r="T447" s="24" t="s">
        <v>30</v>
      </c>
      <c r="U447" s="31" t="s">
        <v>31</v>
      </c>
      <c r="V447" s="31" t="n">
        <v>43343</v>
      </c>
      <c r="W447" s="18"/>
      <c r="X447" s="18"/>
    </row>
    <row r="448" customFormat="false" ht="13.8" hidden="false" customHeight="false" outlineLevel="0" collapsed="false">
      <c r="A448" s="18"/>
      <c r="B448" s="19" t="n">
        <v>1882</v>
      </c>
      <c r="C448" s="20" t="n">
        <v>43231</v>
      </c>
      <c r="D448" s="21" t="s">
        <v>22</v>
      </c>
      <c r="E448" s="22" t="s">
        <v>289</v>
      </c>
      <c r="F448" s="23" t="s">
        <v>750</v>
      </c>
      <c r="G448" s="22" t="s">
        <v>101</v>
      </c>
      <c r="H448" s="24" t="s">
        <v>751</v>
      </c>
      <c r="I448" s="24" t="s">
        <v>57</v>
      </c>
      <c r="J448" s="25" t="n">
        <v>75.23</v>
      </c>
      <c r="K448" s="26" t="n">
        <v>650000</v>
      </c>
      <c r="L448" s="27" t="n">
        <f aca="false">K448/J448</f>
        <v>8640.17014488901</v>
      </c>
      <c r="M448" s="28" t="s">
        <v>64</v>
      </c>
      <c r="N448" s="29"/>
      <c r="O448" s="30" t="n">
        <f aca="false">K448+N448</f>
        <v>650000</v>
      </c>
      <c r="P448" s="30" t="n">
        <f aca="false">ROUND(O448/J448, 2)</f>
        <v>8640.17</v>
      </c>
      <c r="Q448" s="25" t="s">
        <v>91</v>
      </c>
      <c r="R448" s="22" t="s">
        <v>49</v>
      </c>
      <c r="S448" s="25" t="s">
        <v>29</v>
      </c>
      <c r="T448" s="24" t="s">
        <v>30</v>
      </c>
      <c r="U448" s="31" t="s">
        <v>31</v>
      </c>
      <c r="V448" s="31" t="n">
        <v>43343</v>
      </c>
      <c r="W448" s="34"/>
      <c r="X448" s="34"/>
    </row>
    <row r="449" customFormat="false" ht="13.8" hidden="false" customHeight="false" outlineLevel="0" collapsed="false">
      <c r="A449" s="18"/>
      <c r="B449" s="19" t="n">
        <v>2563</v>
      </c>
      <c r="C449" s="20" t="n">
        <v>43231</v>
      </c>
      <c r="D449" s="21" t="s">
        <v>22</v>
      </c>
      <c r="E449" s="22" t="s">
        <v>37</v>
      </c>
      <c r="F449" s="23" t="s">
        <v>38</v>
      </c>
      <c r="G449" s="22" t="s">
        <v>39</v>
      </c>
      <c r="H449" s="24" t="s">
        <v>752</v>
      </c>
      <c r="I449" s="24" t="s">
        <v>49</v>
      </c>
      <c r="J449" s="25" t="n">
        <v>61.05</v>
      </c>
      <c r="K449" s="26" t="n">
        <v>452000</v>
      </c>
      <c r="L449" s="27" t="n">
        <f aca="false">K449/J449</f>
        <v>7403.7674037674</v>
      </c>
      <c r="M449" s="28"/>
      <c r="N449" s="29"/>
      <c r="O449" s="30" t="n">
        <f aca="false">K449+N449</f>
        <v>452000</v>
      </c>
      <c r="P449" s="30" t="n">
        <f aca="false">ROUND(O449/J449, 2)</f>
        <v>7403.77</v>
      </c>
      <c r="Q449" s="25" t="s">
        <v>465</v>
      </c>
      <c r="R449" s="22" t="s">
        <v>36</v>
      </c>
      <c r="S449" s="25" t="s">
        <v>29</v>
      </c>
      <c r="T449" s="24" t="s">
        <v>30</v>
      </c>
      <c r="U449" s="31" t="s">
        <v>31</v>
      </c>
      <c r="V449" s="31" t="n">
        <v>43343</v>
      </c>
      <c r="W449" s="34"/>
      <c r="X449" s="34"/>
    </row>
    <row r="450" customFormat="false" ht="13.8" hidden="false" customHeight="false" outlineLevel="0" collapsed="false">
      <c r="A450" s="18"/>
      <c r="B450" s="19" t="n">
        <v>5982</v>
      </c>
      <c r="C450" s="20" t="n">
        <v>43231</v>
      </c>
      <c r="D450" s="21" t="s">
        <v>22</v>
      </c>
      <c r="E450" s="22" t="s">
        <v>369</v>
      </c>
      <c r="F450" s="23" t="s">
        <v>661</v>
      </c>
      <c r="G450" s="22" t="s">
        <v>563</v>
      </c>
      <c r="H450" s="24" t="s">
        <v>295</v>
      </c>
      <c r="I450" s="24" t="s">
        <v>57</v>
      </c>
      <c r="J450" s="25" t="n">
        <v>34.53</v>
      </c>
      <c r="K450" s="26" t="n">
        <v>425000</v>
      </c>
      <c r="L450" s="27" t="n">
        <f aca="false">K450/J450</f>
        <v>12308.1378511439</v>
      </c>
      <c r="M450" s="28"/>
      <c r="N450" s="29"/>
      <c r="O450" s="30" t="n">
        <f aca="false">K450+N450</f>
        <v>425000</v>
      </c>
      <c r="P450" s="30" t="n">
        <f aca="false">ROUND(O450/J450, 2)</f>
        <v>12308.14</v>
      </c>
      <c r="Q450" s="25" t="s">
        <v>41</v>
      </c>
      <c r="R450" s="22" t="s">
        <v>27</v>
      </c>
      <c r="S450" s="25" t="s">
        <v>29</v>
      </c>
      <c r="T450" s="24" t="s">
        <v>30</v>
      </c>
      <c r="U450" s="31" t="s">
        <v>31</v>
      </c>
      <c r="V450" s="31" t="n">
        <v>43343</v>
      </c>
      <c r="W450" s="18"/>
      <c r="X450" s="18"/>
    </row>
    <row r="451" customFormat="false" ht="13.8" hidden="false" customHeight="false" outlineLevel="0" collapsed="false">
      <c r="A451" s="18"/>
      <c r="B451" s="19" t="n">
        <v>1446</v>
      </c>
      <c r="C451" s="20" t="n">
        <v>43231</v>
      </c>
      <c r="D451" s="21" t="s">
        <v>22</v>
      </c>
      <c r="E451" s="22" t="s">
        <v>517</v>
      </c>
      <c r="F451" s="23" t="s">
        <v>592</v>
      </c>
      <c r="G451" s="22" t="s">
        <v>36</v>
      </c>
      <c r="H451" s="24" t="s">
        <v>411</v>
      </c>
      <c r="I451" s="24" t="s">
        <v>111</v>
      </c>
      <c r="J451" s="25" t="n">
        <v>50.6</v>
      </c>
      <c r="K451" s="26" t="n">
        <v>327400</v>
      </c>
      <c r="L451" s="27" t="n">
        <f aca="false">K451/J451</f>
        <v>6470.3557312253</v>
      </c>
      <c r="M451" s="28"/>
      <c r="N451" s="29"/>
      <c r="O451" s="30" t="n">
        <f aca="false">K451+N451</f>
        <v>327400</v>
      </c>
      <c r="P451" s="30" t="n">
        <f aca="false">ROUND(O451/J451, 2)</f>
        <v>6470.36</v>
      </c>
      <c r="Q451" s="25" t="s">
        <v>50</v>
      </c>
      <c r="R451" s="22" t="s">
        <v>36</v>
      </c>
      <c r="S451" s="25" t="s">
        <v>29</v>
      </c>
      <c r="T451" s="24" t="s">
        <v>30</v>
      </c>
      <c r="U451" s="31" t="s">
        <v>31</v>
      </c>
      <c r="V451" s="31" t="n">
        <v>43343</v>
      </c>
      <c r="W451" s="34"/>
      <c r="X451" s="34"/>
      <c r="AMJ451" s="32"/>
    </row>
    <row r="452" s="32" customFormat="true" ht="13.8" hidden="false" customHeight="false" outlineLevel="0" collapsed="false">
      <c r="A452" s="18"/>
      <c r="B452" s="19" t="n">
        <v>1602</v>
      </c>
      <c r="C452" s="20" t="n">
        <v>43231</v>
      </c>
      <c r="D452" s="21" t="s">
        <v>22</v>
      </c>
      <c r="E452" s="22" t="s">
        <v>42</v>
      </c>
      <c r="F452" s="23" t="s">
        <v>43</v>
      </c>
      <c r="G452" s="22" t="s">
        <v>82</v>
      </c>
      <c r="H452" s="24" t="s">
        <v>154</v>
      </c>
      <c r="I452" s="24" t="s">
        <v>49</v>
      </c>
      <c r="J452" s="25" t="n">
        <v>36.6</v>
      </c>
      <c r="K452" s="26" t="n">
        <v>375000</v>
      </c>
      <c r="L452" s="27" t="n">
        <f aca="false">K452/J452</f>
        <v>10245.9016393443</v>
      </c>
      <c r="M452" s="28" t="s">
        <v>64</v>
      </c>
      <c r="N452" s="29"/>
      <c r="O452" s="30" t="n">
        <f aca="false">K452+N452</f>
        <v>375000</v>
      </c>
      <c r="P452" s="30" t="n">
        <f aca="false">ROUND(O452/J452, 2)</f>
        <v>10245.9</v>
      </c>
      <c r="Q452" s="25" t="s">
        <v>41</v>
      </c>
      <c r="R452" s="22" t="s">
        <v>27</v>
      </c>
      <c r="S452" s="25" t="s">
        <v>29</v>
      </c>
      <c r="T452" s="24" t="s">
        <v>30</v>
      </c>
      <c r="U452" s="31" t="s">
        <v>31</v>
      </c>
      <c r="V452" s="31" t="n">
        <v>43343</v>
      </c>
      <c r="W452" s="18"/>
      <c r="X452" s="18"/>
    </row>
    <row r="453" customFormat="false" ht="13.8" hidden="false" customHeight="false" outlineLevel="0" collapsed="false">
      <c r="A453" s="18"/>
      <c r="B453" s="19" t="n">
        <v>1566</v>
      </c>
      <c r="C453" s="20" t="n">
        <v>43231</v>
      </c>
      <c r="D453" s="21" t="s">
        <v>22</v>
      </c>
      <c r="E453" s="22" t="s">
        <v>42</v>
      </c>
      <c r="F453" s="23" t="s">
        <v>740</v>
      </c>
      <c r="G453" s="22" t="s">
        <v>26</v>
      </c>
      <c r="H453" s="24" t="s">
        <v>48</v>
      </c>
      <c r="I453" s="24" t="s">
        <v>36</v>
      </c>
      <c r="J453" s="25" t="n">
        <v>48.2</v>
      </c>
      <c r="K453" s="26" t="n">
        <v>516000</v>
      </c>
      <c r="L453" s="27" t="n">
        <f aca="false">K453/J453</f>
        <v>10705.3941908714</v>
      </c>
      <c r="M453" s="28" t="s">
        <v>64</v>
      </c>
      <c r="N453" s="29"/>
      <c r="O453" s="30" t="n">
        <f aca="false">K453+N453</f>
        <v>516000</v>
      </c>
      <c r="P453" s="30" t="n">
        <f aca="false">ROUND(O453/J453, 2)</f>
        <v>10705.39</v>
      </c>
      <c r="Q453" s="25" t="s">
        <v>50</v>
      </c>
      <c r="R453" s="22" t="s">
        <v>36</v>
      </c>
      <c r="S453" s="25" t="s">
        <v>29</v>
      </c>
      <c r="T453" s="24" t="s">
        <v>30</v>
      </c>
      <c r="U453" s="31" t="s">
        <v>31</v>
      </c>
      <c r="V453" s="31" t="n">
        <v>43343</v>
      </c>
      <c r="W453" s="18"/>
      <c r="X453" s="18"/>
    </row>
    <row r="454" customFormat="false" ht="13.8" hidden="false" customHeight="false" outlineLevel="0" collapsed="false">
      <c r="A454" s="18"/>
      <c r="B454" s="19" t="n">
        <v>1605</v>
      </c>
      <c r="C454" s="20" t="n">
        <v>43231</v>
      </c>
      <c r="D454" s="21" t="s">
        <v>22</v>
      </c>
      <c r="E454" s="22" t="s">
        <v>278</v>
      </c>
      <c r="F454" s="23" t="s">
        <v>688</v>
      </c>
      <c r="G454" s="22" t="s">
        <v>274</v>
      </c>
      <c r="H454" s="24" t="s">
        <v>413</v>
      </c>
      <c r="I454" s="24" t="s">
        <v>57</v>
      </c>
      <c r="J454" s="25" t="n">
        <v>22.99</v>
      </c>
      <c r="K454" s="26" t="n">
        <v>195000</v>
      </c>
      <c r="L454" s="27" t="n">
        <f aca="false">K454/J454</f>
        <v>8481.94867333623</v>
      </c>
      <c r="M454" s="28"/>
      <c r="N454" s="29"/>
      <c r="O454" s="30" t="n">
        <f aca="false">K454+N454</f>
        <v>195000</v>
      </c>
      <c r="P454" s="30" t="n">
        <f aca="false">ROUND(O454/J454, 2)</f>
        <v>8481.95</v>
      </c>
      <c r="Q454" s="25" t="s">
        <v>41</v>
      </c>
      <c r="R454" s="22" t="s">
        <v>27</v>
      </c>
      <c r="S454" s="25" t="s">
        <v>29</v>
      </c>
      <c r="T454" s="24" t="s">
        <v>30</v>
      </c>
      <c r="U454" s="31" t="s">
        <v>31</v>
      </c>
      <c r="V454" s="31" t="n">
        <v>43343</v>
      </c>
      <c r="W454" s="18"/>
      <c r="X454" s="18"/>
    </row>
    <row r="455" customFormat="false" ht="13.8" hidden="false" customHeight="false" outlineLevel="0" collapsed="false">
      <c r="A455" s="18"/>
      <c r="B455" s="19" t="n">
        <v>1219</v>
      </c>
      <c r="C455" s="20" t="n">
        <v>43231</v>
      </c>
      <c r="D455" s="21" t="s">
        <v>22</v>
      </c>
      <c r="E455" s="22" t="s">
        <v>178</v>
      </c>
      <c r="F455" s="23" t="s">
        <v>387</v>
      </c>
      <c r="G455" s="22" t="s">
        <v>177</v>
      </c>
      <c r="H455" s="24" t="s">
        <v>77</v>
      </c>
      <c r="I455" s="24" t="s">
        <v>49</v>
      </c>
      <c r="J455" s="25" t="n">
        <v>49.05</v>
      </c>
      <c r="K455" s="26" t="n">
        <v>455000</v>
      </c>
      <c r="L455" s="27" t="n">
        <f aca="false">K455/J455</f>
        <v>9276.24872579001</v>
      </c>
      <c r="M455" s="28" t="s">
        <v>64</v>
      </c>
      <c r="N455" s="29"/>
      <c r="O455" s="30" t="n">
        <f aca="false">K455+N455</f>
        <v>455000</v>
      </c>
      <c r="P455" s="30" t="n">
        <f aca="false">ROUND(O455/J455, 2)</f>
        <v>9276.25</v>
      </c>
      <c r="Q455" s="25" t="s">
        <v>50</v>
      </c>
      <c r="R455" s="22" t="s">
        <v>36</v>
      </c>
      <c r="S455" s="25" t="s">
        <v>29</v>
      </c>
      <c r="T455" s="24" t="s">
        <v>30</v>
      </c>
      <c r="U455" s="31" t="s">
        <v>31</v>
      </c>
      <c r="V455" s="31" t="n">
        <v>43343</v>
      </c>
      <c r="W455" s="18"/>
      <c r="X455" s="18"/>
    </row>
    <row r="456" customFormat="false" ht="13.8" hidden="false" customHeight="false" outlineLevel="0" collapsed="false">
      <c r="A456" s="18"/>
      <c r="B456" s="19" t="n">
        <v>2168</v>
      </c>
      <c r="C456" s="20" t="n">
        <v>43231</v>
      </c>
      <c r="D456" s="21" t="s">
        <v>22</v>
      </c>
      <c r="E456" s="22" t="s">
        <v>289</v>
      </c>
      <c r="F456" s="23" t="s">
        <v>46</v>
      </c>
      <c r="G456" s="22" t="s">
        <v>177</v>
      </c>
      <c r="H456" s="24" t="s">
        <v>135</v>
      </c>
      <c r="I456" s="24" t="s">
        <v>25</v>
      </c>
      <c r="J456" s="25" t="n">
        <v>20.05</v>
      </c>
      <c r="K456" s="26" t="n">
        <v>265000</v>
      </c>
      <c r="L456" s="27" t="n">
        <f aca="false">K456/J456</f>
        <v>13216.957605985</v>
      </c>
      <c r="M456" s="28" t="s">
        <v>64</v>
      </c>
      <c r="N456" s="29"/>
      <c r="O456" s="30" t="n">
        <f aca="false">K456+N456</f>
        <v>265000</v>
      </c>
      <c r="P456" s="30" t="n">
        <f aca="false">ROUND(O456/J456, 2)</f>
        <v>13216.96</v>
      </c>
      <c r="Q456" s="25" t="s">
        <v>182</v>
      </c>
      <c r="R456" s="22" t="s">
        <v>27</v>
      </c>
      <c r="S456" s="25" t="s">
        <v>29</v>
      </c>
      <c r="T456" s="24" t="s">
        <v>30</v>
      </c>
      <c r="U456" s="31" t="s">
        <v>31</v>
      </c>
      <c r="V456" s="31" t="n">
        <v>43343</v>
      </c>
      <c r="W456" s="18"/>
      <c r="X456" s="18"/>
    </row>
    <row r="457" customFormat="false" ht="13.8" hidden="false" customHeight="false" outlineLevel="0" collapsed="false">
      <c r="A457" s="18"/>
      <c r="B457" s="19" t="n">
        <v>5426</v>
      </c>
      <c r="C457" s="20" t="n">
        <v>43231</v>
      </c>
      <c r="D457" s="21" t="s">
        <v>22</v>
      </c>
      <c r="E457" s="22" t="s">
        <v>369</v>
      </c>
      <c r="F457" s="23" t="s">
        <v>271</v>
      </c>
      <c r="G457" s="22" t="s">
        <v>112</v>
      </c>
      <c r="H457" s="24" t="s">
        <v>217</v>
      </c>
      <c r="I457" s="24" t="s">
        <v>57</v>
      </c>
      <c r="J457" s="25" t="n">
        <f aca="false">28.5-0.87</f>
        <v>27.63</v>
      </c>
      <c r="K457" s="26" t="n">
        <v>322000</v>
      </c>
      <c r="L457" s="27" t="n">
        <f aca="false">K457/J457</f>
        <v>11653.9992761491</v>
      </c>
      <c r="M457" s="28" t="s">
        <v>753</v>
      </c>
      <c r="N457" s="29"/>
      <c r="O457" s="30" t="n">
        <f aca="false">K457+N457</f>
        <v>322000</v>
      </c>
      <c r="P457" s="30" t="n">
        <f aca="false">ROUND(O457/J457, 2)</f>
        <v>11654</v>
      </c>
      <c r="Q457" s="25" t="s">
        <v>41</v>
      </c>
      <c r="R457" s="22" t="s">
        <v>27</v>
      </c>
      <c r="S457" s="25" t="s">
        <v>29</v>
      </c>
      <c r="T457" s="24" t="s">
        <v>30</v>
      </c>
      <c r="U457" s="31" t="s">
        <v>31</v>
      </c>
      <c r="V457" s="31" t="n">
        <v>43343</v>
      </c>
      <c r="W457" s="34"/>
      <c r="X457" s="34"/>
    </row>
    <row r="458" customFormat="false" ht="13.8" hidden="false" customHeight="false" outlineLevel="0" collapsed="false">
      <c r="A458" s="18"/>
      <c r="B458" s="19" t="n">
        <v>1595</v>
      </c>
      <c r="C458" s="20" t="n">
        <v>43231</v>
      </c>
      <c r="D458" s="21" t="s">
        <v>22</v>
      </c>
      <c r="E458" s="22" t="s">
        <v>80</v>
      </c>
      <c r="F458" s="23" t="s">
        <v>754</v>
      </c>
      <c r="G458" s="22" t="s">
        <v>57</v>
      </c>
      <c r="H458" s="24" t="s">
        <v>533</v>
      </c>
      <c r="I458" s="24" t="s">
        <v>26</v>
      </c>
      <c r="J458" s="25" t="n">
        <v>31.73</v>
      </c>
      <c r="K458" s="26" t="n">
        <v>442000</v>
      </c>
      <c r="L458" s="27" t="n">
        <f aca="false">K458/J458</f>
        <v>13930.0346675071</v>
      </c>
      <c r="M458" s="28"/>
      <c r="N458" s="29"/>
      <c r="O458" s="30" t="n">
        <f aca="false">K458+N458</f>
        <v>442000</v>
      </c>
      <c r="P458" s="30" t="n">
        <f aca="false">ROUND(O458/J458, 2)</f>
        <v>13930.03</v>
      </c>
      <c r="Q458" s="25" t="s">
        <v>41</v>
      </c>
      <c r="R458" s="22" t="s">
        <v>27</v>
      </c>
      <c r="S458" s="25" t="s">
        <v>29</v>
      </c>
      <c r="T458" s="24" t="s">
        <v>30</v>
      </c>
      <c r="U458" s="31" t="s">
        <v>31</v>
      </c>
      <c r="V458" s="31" t="n">
        <v>43343</v>
      </c>
      <c r="W458" s="34"/>
      <c r="X458" s="34"/>
    </row>
    <row r="459" customFormat="false" ht="13.8" hidden="false" customHeight="false" outlineLevel="0" collapsed="false">
      <c r="A459" s="18"/>
      <c r="B459" s="19" t="n">
        <v>1323</v>
      </c>
      <c r="C459" s="20" t="n">
        <v>43234</v>
      </c>
      <c r="D459" s="21" t="s">
        <v>22</v>
      </c>
      <c r="E459" s="22" t="s">
        <v>378</v>
      </c>
      <c r="F459" s="23" t="s">
        <v>402</v>
      </c>
      <c r="G459" s="22" t="s">
        <v>111</v>
      </c>
      <c r="H459" s="24" t="s">
        <v>115</v>
      </c>
      <c r="I459" s="24" t="s">
        <v>36</v>
      </c>
      <c r="J459" s="25" t="n">
        <v>48.6</v>
      </c>
      <c r="K459" s="26" t="n">
        <v>445000</v>
      </c>
      <c r="L459" s="27" t="n">
        <f aca="false">K459/J459</f>
        <v>9156.37860082305</v>
      </c>
      <c r="M459" s="28"/>
      <c r="N459" s="29"/>
      <c r="O459" s="30" t="n">
        <f aca="false">K459+N459</f>
        <v>445000</v>
      </c>
      <c r="P459" s="30" t="n">
        <f aca="false">ROUND(O459/J459, 2)</f>
        <v>9156.38</v>
      </c>
      <c r="Q459" s="25" t="s">
        <v>50</v>
      </c>
      <c r="R459" s="22" t="s">
        <v>36</v>
      </c>
      <c r="S459" s="25" t="s">
        <v>29</v>
      </c>
      <c r="T459" s="24" t="s">
        <v>30</v>
      </c>
      <c r="U459" s="31" t="s">
        <v>31</v>
      </c>
      <c r="V459" s="31" t="n">
        <v>43343</v>
      </c>
      <c r="W459" s="18"/>
      <c r="X459" s="18"/>
    </row>
    <row r="460" customFormat="false" ht="13.8" hidden="false" customHeight="false" outlineLevel="0" collapsed="false">
      <c r="A460" s="18"/>
      <c r="B460" s="19" t="n">
        <v>4636</v>
      </c>
      <c r="C460" s="20" t="n">
        <v>43234</v>
      </c>
      <c r="D460" s="21" t="s">
        <v>22</v>
      </c>
      <c r="E460" s="22" t="s">
        <v>665</v>
      </c>
      <c r="F460" s="23" t="s">
        <v>544</v>
      </c>
      <c r="G460" s="22" t="s">
        <v>755</v>
      </c>
      <c r="H460" s="24" t="s">
        <v>300</v>
      </c>
      <c r="I460" s="24" t="s">
        <v>26</v>
      </c>
      <c r="J460" s="25" t="n">
        <v>75.5</v>
      </c>
      <c r="K460" s="26" t="n">
        <v>1165000</v>
      </c>
      <c r="L460" s="27" t="n">
        <f aca="false">K460/J460</f>
        <v>15430.4635761589</v>
      </c>
      <c r="M460" s="28" t="s">
        <v>205</v>
      </c>
      <c r="N460" s="29" t="n">
        <v>35000</v>
      </c>
      <c r="O460" s="30" t="n">
        <f aca="false">K460+N460</f>
        <v>1200000</v>
      </c>
      <c r="P460" s="30" t="n">
        <f aca="false">ROUND(O460/J460, 2)</f>
        <v>15894.04</v>
      </c>
      <c r="Q460" s="25" t="s">
        <v>232</v>
      </c>
      <c r="R460" s="22" t="s">
        <v>26</v>
      </c>
      <c r="S460" s="25" t="s">
        <v>29</v>
      </c>
      <c r="T460" s="24" t="s">
        <v>30</v>
      </c>
      <c r="U460" s="31" t="s">
        <v>31</v>
      </c>
      <c r="V460" s="31" t="n">
        <v>43343</v>
      </c>
      <c r="W460" s="18"/>
      <c r="X460" s="18"/>
    </row>
    <row r="461" customFormat="false" ht="13.8" hidden="false" customHeight="false" outlineLevel="0" collapsed="false">
      <c r="A461" s="18"/>
      <c r="B461" s="19" t="n">
        <v>21456</v>
      </c>
      <c r="C461" s="20" t="n">
        <v>43234</v>
      </c>
      <c r="D461" s="21" t="s">
        <v>22</v>
      </c>
      <c r="E461" s="22" t="s">
        <v>354</v>
      </c>
      <c r="F461" s="23" t="s">
        <v>565</v>
      </c>
      <c r="G461" s="22" t="s">
        <v>147</v>
      </c>
      <c r="H461" s="24" t="s">
        <v>200</v>
      </c>
      <c r="I461" s="24" t="s">
        <v>49</v>
      </c>
      <c r="J461" s="25" t="n">
        <v>54.4</v>
      </c>
      <c r="K461" s="26" t="n">
        <v>470000</v>
      </c>
      <c r="L461" s="27" t="n">
        <f aca="false">K461/J461</f>
        <v>8639.70588235294</v>
      </c>
      <c r="M461" s="28" t="s">
        <v>64</v>
      </c>
      <c r="N461" s="29"/>
      <c r="O461" s="30" t="n">
        <f aca="false">K461+N461</f>
        <v>470000</v>
      </c>
      <c r="P461" s="30" t="n">
        <f aca="false">ROUND(O461/J461, 2)</f>
        <v>8639.71</v>
      </c>
      <c r="Q461" s="25" t="s">
        <v>50</v>
      </c>
      <c r="R461" s="22" t="s">
        <v>36</v>
      </c>
      <c r="S461" s="25" t="s">
        <v>29</v>
      </c>
      <c r="T461" s="24" t="s">
        <v>30</v>
      </c>
      <c r="U461" s="31" t="s">
        <v>31</v>
      </c>
      <c r="V461" s="31" t="n">
        <v>43343</v>
      </c>
      <c r="W461" s="18"/>
      <c r="X461" s="18"/>
      <c r="Z461" s="33"/>
    </row>
    <row r="462" customFormat="false" ht="13.8" hidden="false" customHeight="false" outlineLevel="0" collapsed="false">
      <c r="A462" s="18"/>
      <c r="B462" s="19" t="n">
        <v>5441</v>
      </c>
      <c r="C462" s="20" t="n">
        <v>43234</v>
      </c>
      <c r="D462" s="21" t="s">
        <v>22</v>
      </c>
      <c r="E462" s="22" t="s">
        <v>178</v>
      </c>
      <c r="F462" s="23" t="s">
        <v>219</v>
      </c>
      <c r="G462" s="22" t="s">
        <v>26</v>
      </c>
      <c r="H462" s="24" t="s">
        <v>105</v>
      </c>
      <c r="I462" s="24" t="s">
        <v>25</v>
      </c>
      <c r="J462" s="25" t="n">
        <f aca="false">176.91-2.4-13.67-13.37-13.67</f>
        <v>133.8</v>
      </c>
      <c r="K462" s="26" t="n">
        <v>1850000</v>
      </c>
      <c r="L462" s="27" t="n">
        <f aca="false">K462/J462</f>
        <v>13826.6068759342</v>
      </c>
      <c r="M462" s="28" t="s">
        <v>756</v>
      </c>
      <c r="N462" s="29"/>
      <c r="O462" s="30" t="n">
        <f aca="false">K462+N462</f>
        <v>1850000</v>
      </c>
      <c r="P462" s="30" t="n">
        <f aca="false">ROUND(O462/J462, 2)</f>
        <v>13826.61</v>
      </c>
      <c r="Q462" s="25" t="s">
        <v>757</v>
      </c>
      <c r="R462" s="22" t="s">
        <v>49</v>
      </c>
      <c r="S462" s="25" t="s">
        <v>29</v>
      </c>
      <c r="T462" s="24" t="s">
        <v>30</v>
      </c>
      <c r="U462" s="31" t="s">
        <v>31</v>
      </c>
      <c r="V462" s="31" t="n">
        <v>43343</v>
      </c>
      <c r="W462" s="18"/>
      <c r="X462" s="18"/>
    </row>
    <row r="463" customFormat="false" ht="13.8" hidden="false" customHeight="false" outlineLevel="0" collapsed="false">
      <c r="A463" s="18"/>
      <c r="B463" s="19" t="n">
        <v>5441</v>
      </c>
      <c r="C463" s="20" t="n">
        <v>43234</v>
      </c>
      <c r="D463" s="21" t="s">
        <v>22</v>
      </c>
      <c r="E463" s="22" t="s">
        <v>178</v>
      </c>
      <c r="F463" s="23" t="s">
        <v>219</v>
      </c>
      <c r="G463" s="22" t="s">
        <v>26</v>
      </c>
      <c r="H463" s="24" t="s">
        <v>163</v>
      </c>
      <c r="I463" s="24" t="s">
        <v>25</v>
      </c>
      <c r="J463" s="25" t="n">
        <v>30.6</v>
      </c>
      <c r="K463" s="26" t="n">
        <v>450000</v>
      </c>
      <c r="L463" s="27" t="n">
        <f aca="false">K463/J463</f>
        <v>14705.8823529412</v>
      </c>
      <c r="M463" s="28"/>
      <c r="N463" s="29"/>
      <c r="O463" s="30" t="n">
        <f aca="false">K463+N463</f>
        <v>450000</v>
      </c>
      <c r="P463" s="30" t="n">
        <f aca="false">ROUND(O463/J463, 2)</f>
        <v>14705.88</v>
      </c>
      <c r="Q463" s="25" t="s">
        <v>758</v>
      </c>
      <c r="R463" s="22" t="s">
        <v>27</v>
      </c>
      <c r="S463" s="25" t="s">
        <v>29</v>
      </c>
      <c r="T463" s="24" t="s">
        <v>30</v>
      </c>
      <c r="U463" s="31" t="s">
        <v>31</v>
      </c>
      <c r="V463" s="31" t="n">
        <v>43343</v>
      </c>
      <c r="W463" s="18"/>
      <c r="X463" s="18"/>
      <c r="AMJ463" s="32"/>
    </row>
    <row r="464" s="32" customFormat="true" ht="13.8" hidden="false" customHeight="false" outlineLevel="0" collapsed="false">
      <c r="A464" s="18"/>
      <c r="B464" s="19" t="n">
        <v>659</v>
      </c>
      <c r="C464" s="20" t="n">
        <v>43235</v>
      </c>
      <c r="D464" s="21" t="s">
        <v>22</v>
      </c>
      <c r="E464" s="22" t="s">
        <v>175</v>
      </c>
      <c r="F464" s="23" t="s">
        <v>94</v>
      </c>
      <c r="G464" s="22" t="s">
        <v>759</v>
      </c>
      <c r="H464" s="24" t="s">
        <v>473</v>
      </c>
      <c r="I464" s="24" t="s">
        <v>49</v>
      </c>
      <c r="J464" s="25" t="n">
        <v>118.12</v>
      </c>
      <c r="K464" s="26" t="n">
        <v>1060000</v>
      </c>
      <c r="L464" s="27" t="n">
        <f aca="false">K464/J464</f>
        <v>8973.9248222147</v>
      </c>
      <c r="M464" s="28" t="s">
        <v>64</v>
      </c>
      <c r="N464" s="29"/>
      <c r="O464" s="30" t="n">
        <f aca="false">K464+N464</f>
        <v>1060000</v>
      </c>
      <c r="P464" s="30" t="n">
        <f aca="false">ROUND(O464/J464, 2)</f>
        <v>8973.92</v>
      </c>
      <c r="Q464" s="25" t="s">
        <v>760</v>
      </c>
      <c r="R464" s="22" t="s">
        <v>57</v>
      </c>
      <c r="S464" s="25" t="s">
        <v>29</v>
      </c>
      <c r="T464" s="24" t="s">
        <v>30</v>
      </c>
      <c r="U464" s="31" t="s">
        <v>31</v>
      </c>
      <c r="V464" s="31" t="n">
        <v>43343</v>
      </c>
      <c r="W464" s="18"/>
      <c r="X464" s="18"/>
    </row>
    <row r="465" s="32" customFormat="true" ht="13.8" hidden="false" customHeight="false" outlineLevel="0" collapsed="false">
      <c r="A465" s="18"/>
      <c r="B465" s="19" t="n">
        <v>6767</v>
      </c>
      <c r="C465" s="20" t="n">
        <v>43235</v>
      </c>
      <c r="D465" s="21" t="s">
        <v>22</v>
      </c>
      <c r="E465" s="22" t="s">
        <v>75</v>
      </c>
      <c r="F465" s="23" t="s">
        <v>76</v>
      </c>
      <c r="G465" s="22" t="s">
        <v>196</v>
      </c>
      <c r="H465" s="24" t="s">
        <v>95</v>
      </c>
      <c r="I465" s="24" t="s">
        <v>36</v>
      </c>
      <c r="J465" s="25" t="n">
        <f aca="false">81.04-3.17</f>
        <v>77.87</v>
      </c>
      <c r="K465" s="26" t="n">
        <v>784000</v>
      </c>
      <c r="L465" s="27" t="n">
        <f aca="false">K465/J465</f>
        <v>10068.0621548735</v>
      </c>
      <c r="M465" s="28" t="s">
        <v>761</v>
      </c>
      <c r="N465" s="29" t="n">
        <v>30000</v>
      </c>
      <c r="O465" s="30" t="n">
        <f aca="false">K465+N465</f>
        <v>814000</v>
      </c>
      <c r="P465" s="30" t="n">
        <f aca="false">ROUND(O465/J465, 2)</f>
        <v>10453.32</v>
      </c>
      <c r="Q465" s="25" t="s">
        <v>232</v>
      </c>
      <c r="R465" s="22" t="s">
        <v>26</v>
      </c>
      <c r="S465" s="25" t="s">
        <v>29</v>
      </c>
      <c r="T465" s="24" t="s">
        <v>30</v>
      </c>
      <c r="U465" s="31" t="s">
        <v>31</v>
      </c>
      <c r="V465" s="31" t="n">
        <v>43343</v>
      </c>
      <c r="W465" s="34" t="s">
        <v>762</v>
      </c>
      <c r="X465" s="18"/>
    </row>
    <row r="466" s="32" customFormat="true" ht="13.8" hidden="false" customHeight="false" outlineLevel="0" collapsed="false">
      <c r="A466" s="18"/>
      <c r="B466" s="19" t="n">
        <v>2772</v>
      </c>
      <c r="C466" s="20" t="n">
        <v>43235</v>
      </c>
      <c r="D466" s="21" t="s">
        <v>22</v>
      </c>
      <c r="E466" s="22" t="s">
        <v>61</v>
      </c>
      <c r="F466" s="23" t="s">
        <v>62</v>
      </c>
      <c r="G466" s="22" t="s">
        <v>27</v>
      </c>
      <c r="H466" s="24" t="s">
        <v>763</v>
      </c>
      <c r="I466" s="24" t="s">
        <v>26</v>
      </c>
      <c r="J466" s="25" t="n">
        <v>42.86</v>
      </c>
      <c r="K466" s="26" t="n">
        <v>300000</v>
      </c>
      <c r="L466" s="27" t="n">
        <f aca="false">K466/J466</f>
        <v>6999.53336444237</v>
      </c>
      <c r="M466" s="28"/>
      <c r="N466" s="29"/>
      <c r="O466" s="30" t="n">
        <f aca="false">K466+N466</f>
        <v>300000</v>
      </c>
      <c r="P466" s="30" t="n">
        <f aca="false">ROUND(O466/J466, 2)</f>
        <v>6999.53</v>
      </c>
      <c r="Q466" s="25" t="s">
        <v>50</v>
      </c>
      <c r="R466" s="22" t="s">
        <v>36</v>
      </c>
      <c r="S466" s="25" t="s">
        <v>29</v>
      </c>
      <c r="T466" s="24" t="s">
        <v>30</v>
      </c>
      <c r="U466" s="31" t="s">
        <v>31</v>
      </c>
      <c r="V466" s="31" t="n">
        <v>43343</v>
      </c>
      <c r="W466" s="34"/>
      <c r="X466" s="34"/>
    </row>
    <row r="467" s="32" customFormat="true" ht="13.8" hidden="false" customHeight="false" outlineLevel="0" collapsed="false">
      <c r="A467" s="18"/>
      <c r="B467" s="19" t="n">
        <v>1160</v>
      </c>
      <c r="C467" s="20" t="n">
        <v>43235</v>
      </c>
      <c r="D467" s="21" t="s">
        <v>22</v>
      </c>
      <c r="E467" s="22" t="s">
        <v>65</v>
      </c>
      <c r="F467" s="23" t="s">
        <v>764</v>
      </c>
      <c r="G467" s="22" t="s">
        <v>143</v>
      </c>
      <c r="H467" s="24" t="s">
        <v>464</v>
      </c>
      <c r="I467" s="24" t="s">
        <v>25</v>
      </c>
      <c r="J467" s="25" t="n">
        <v>56.8</v>
      </c>
      <c r="K467" s="26" t="n">
        <v>370000</v>
      </c>
      <c r="L467" s="27" t="n">
        <f aca="false">K467/J467</f>
        <v>6514.08450704225</v>
      </c>
      <c r="M467" s="28"/>
      <c r="N467" s="29"/>
      <c r="O467" s="30" t="n">
        <f aca="false">K467+N467</f>
        <v>370000</v>
      </c>
      <c r="P467" s="30" t="n">
        <f aca="false">ROUND(O467/J467, 2)</f>
        <v>6514.08</v>
      </c>
      <c r="Q467" s="25" t="s">
        <v>85</v>
      </c>
      <c r="R467" s="22" t="s">
        <v>26</v>
      </c>
      <c r="S467" s="25" t="s">
        <v>29</v>
      </c>
      <c r="T467" s="24" t="s">
        <v>30</v>
      </c>
      <c r="U467" s="31" t="s">
        <v>31</v>
      </c>
      <c r="V467" s="31" t="n">
        <v>43343</v>
      </c>
      <c r="W467" s="18"/>
      <c r="X467" s="18"/>
    </row>
    <row r="468" customFormat="false" ht="13.8" hidden="false" customHeight="false" outlineLevel="0" collapsed="false">
      <c r="A468" s="18"/>
      <c r="B468" s="19" t="n">
        <v>1630</v>
      </c>
      <c r="C468" s="20" t="n">
        <v>43235</v>
      </c>
      <c r="D468" s="21" t="s">
        <v>22</v>
      </c>
      <c r="E468" s="22" t="s">
        <v>23</v>
      </c>
      <c r="F468" s="23" t="s">
        <v>195</v>
      </c>
      <c r="G468" s="22" t="s">
        <v>88</v>
      </c>
      <c r="H468" s="24" t="s">
        <v>111</v>
      </c>
      <c r="I468" s="24" t="s">
        <v>36</v>
      </c>
      <c r="J468" s="25" t="n">
        <v>28.21</v>
      </c>
      <c r="K468" s="26" t="n">
        <v>330000</v>
      </c>
      <c r="L468" s="27" t="n">
        <f aca="false">K468/J468</f>
        <v>11697.9794399149</v>
      </c>
      <c r="M468" s="28"/>
      <c r="N468" s="29"/>
      <c r="O468" s="30" t="n">
        <f aca="false">K468+N468</f>
        <v>330000</v>
      </c>
      <c r="P468" s="30" t="n">
        <f aca="false">ROUND(O468/J468, 2)</f>
        <v>11697.98</v>
      </c>
      <c r="Q468" s="25" t="s">
        <v>41</v>
      </c>
      <c r="R468" s="22" t="s">
        <v>27</v>
      </c>
      <c r="S468" s="25" t="s">
        <v>29</v>
      </c>
      <c r="T468" s="24" t="s">
        <v>30</v>
      </c>
      <c r="U468" s="31" t="s">
        <v>31</v>
      </c>
      <c r="V468" s="31" t="n">
        <v>43343</v>
      </c>
      <c r="W468" s="18"/>
      <c r="X468" s="18"/>
    </row>
    <row r="469" customFormat="false" ht="13.8" hidden="false" customHeight="false" outlineLevel="0" collapsed="false">
      <c r="A469" s="18"/>
      <c r="B469" s="19" t="n">
        <v>1022</v>
      </c>
      <c r="C469" s="20" t="n">
        <v>43235</v>
      </c>
      <c r="D469" s="21" t="s">
        <v>22</v>
      </c>
      <c r="E469" s="22" t="s">
        <v>118</v>
      </c>
      <c r="F469" s="23" t="s">
        <v>119</v>
      </c>
      <c r="G469" s="22" t="s">
        <v>25</v>
      </c>
      <c r="H469" s="24" t="s">
        <v>120</v>
      </c>
      <c r="I469" s="24" t="s">
        <v>25</v>
      </c>
      <c r="J469" s="25" t="n">
        <v>80.8</v>
      </c>
      <c r="K469" s="26" t="n">
        <v>650000</v>
      </c>
      <c r="L469" s="27" t="n">
        <f aca="false">K469/J469</f>
        <v>8044.55445544554</v>
      </c>
      <c r="M469" s="28" t="s">
        <v>205</v>
      </c>
      <c r="N469" s="29" t="n">
        <v>34000</v>
      </c>
      <c r="O469" s="30" t="n">
        <f aca="false">K469+N469</f>
        <v>684000</v>
      </c>
      <c r="P469" s="30" t="n">
        <f aca="false">ROUND(O469/J469, 2)</f>
        <v>8465.35</v>
      </c>
      <c r="Q469" s="25" t="s">
        <v>85</v>
      </c>
      <c r="R469" s="22" t="s">
        <v>26</v>
      </c>
      <c r="S469" s="25" t="s">
        <v>29</v>
      </c>
      <c r="T469" s="24" t="s">
        <v>30</v>
      </c>
      <c r="U469" s="31" t="s">
        <v>31</v>
      </c>
      <c r="V469" s="31" t="n">
        <v>43343</v>
      </c>
      <c r="W469" s="34"/>
      <c r="X469" s="34"/>
    </row>
    <row r="470" customFormat="false" ht="13.8" hidden="false" customHeight="false" outlineLevel="0" collapsed="false">
      <c r="A470" s="18"/>
      <c r="B470" s="19" t="n">
        <v>5306</v>
      </c>
      <c r="C470" s="20" t="n">
        <v>43235</v>
      </c>
      <c r="D470" s="21" t="s">
        <v>22</v>
      </c>
      <c r="E470" s="22" t="s">
        <v>375</v>
      </c>
      <c r="F470" s="23" t="s">
        <v>544</v>
      </c>
      <c r="G470" s="22" t="s">
        <v>78</v>
      </c>
      <c r="H470" s="24" t="s">
        <v>180</v>
      </c>
      <c r="I470" s="24" t="s">
        <v>26</v>
      </c>
      <c r="J470" s="25" t="n">
        <v>82.17</v>
      </c>
      <c r="K470" s="26" t="n">
        <v>1130000</v>
      </c>
      <c r="L470" s="27" t="n">
        <f aca="false">K470/J470</f>
        <v>13751.9776073993</v>
      </c>
      <c r="M470" s="28"/>
      <c r="N470" s="29"/>
      <c r="O470" s="30" t="n">
        <f aca="false">K470+N470</f>
        <v>1130000</v>
      </c>
      <c r="P470" s="30" t="n">
        <f aca="false">ROUND(O470/J470, 2)</f>
        <v>13751.98</v>
      </c>
      <c r="Q470" s="25" t="s">
        <v>491</v>
      </c>
      <c r="R470" s="22" t="s">
        <v>49</v>
      </c>
      <c r="S470" s="25" t="s">
        <v>29</v>
      </c>
      <c r="T470" s="24" t="s">
        <v>30</v>
      </c>
      <c r="U470" s="31" t="s">
        <v>31</v>
      </c>
      <c r="V470" s="31" t="n">
        <v>43343</v>
      </c>
      <c r="W470" s="34"/>
      <c r="X470" s="34"/>
      <c r="AMJ470" s="32"/>
    </row>
    <row r="471" s="32" customFormat="true" ht="13.8" hidden="false" customHeight="false" outlineLevel="0" collapsed="false">
      <c r="A471" s="18"/>
      <c r="B471" s="19" t="n">
        <v>1552</v>
      </c>
      <c r="C471" s="20" t="n">
        <v>43236</v>
      </c>
      <c r="D471" s="21" t="s">
        <v>22</v>
      </c>
      <c r="E471" s="22" t="s">
        <v>37</v>
      </c>
      <c r="F471" s="23" t="s">
        <v>591</v>
      </c>
      <c r="G471" s="22" t="s">
        <v>68</v>
      </c>
      <c r="H471" s="24" t="s">
        <v>473</v>
      </c>
      <c r="I471" s="24" t="s">
        <v>49</v>
      </c>
      <c r="J471" s="25" t="n">
        <f aca="false">39.5-2.23</f>
        <v>37.27</v>
      </c>
      <c r="K471" s="26" t="n">
        <v>335000</v>
      </c>
      <c r="L471" s="27" t="n">
        <f aca="false">K471/J471</f>
        <v>8988.46257043198</v>
      </c>
      <c r="M471" s="28" t="s">
        <v>765</v>
      </c>
      <c r="N471" s="29"/>
      <c r="O471" s="30" t="n">
        <f aca="false">K471+N471</f>
        <v>335000</v>
      </c>
      <c r="P471" s="30" t="n">
        <f aca="false">ROUND(O471/J471, 2)</f>
        <v>8988.46</v>
      </c>
      <c r="Q471" s="25" t="s">
        <v>766</v>
      </c>
      <c r="R471" s="22" t="s">
        <v>36</v>
      </c>
      <c r="S471" s="25" t="s">
        <v>29</v>
      </c>
      <c r="T471" s="24" t="s">
        <v>30</v>
      </c>
      <c r="U471" s="31" t="s">
        <v>31</v>
      </c>
      <c r="V471" s="31" t="n">
        <v>43343</v>
      </c>
      <c r="W471" s="18"/>
      <c r="X471" s="18"/>
    </row>
    <row r="472" customFormat="false" ht="13.8" hidden="false" customHeight="false" outlineLevel="0" collapsed="false">
      <c r="A472" s="18"/>
      <c r="B472" s="19" t="n">
        <v>3126</v>
      </c>
      <c r="C472" s="20" t="n">
        <v>43236</v>
      </c>
      <c r="D472" s="21" t="s">
        <v>22</v>
      </c>
      <c r="E472" s="22" t="s">
        <v>148</v>
      </c>
      <c r="F472" s="23" t="s">
        <v>195</v>
      </c>
      <c r="G472" s="22" t="s">
        <v>154</v>
      </c>
      <c r="H472" s="24" t="s">
        <v>767</v>
      </c>
      <c r="I472" s="24" t="s">
        <v>26</v>
      </c>
      <c r="J472" s="25" t="n">
        <v>31.06</v>
      </c>
      <c r="K472" s="26" t="n">
        <v>210000</v>
      </c>
      <c r="L472" s="27" t="n">
        <f aca="false">K472/J472</f>
        <v>6761.10753380554</v>
      </c>
      <c r="M472" s="28"/>
      <c r="N472" s="29"/>
      <c r="O472" s="30" t="n">
        <f aca="false">K472+N472</f>
        <v>210000</v>
      </c>
      <c r="P472" s="30" t="n">
        <f aca="false">ROUND(O472/J472, 2)</f>
        <v>6761.11</v>
      </c>
      <c r="Q472" s="25" t="s">
        <v>41</v>
      </c>
      <c r="R472" s="22" t="s">
        <v>27</v>
      </c>
      <c r="S472" s="25" t="s">
        <v>29</v>
      </c>
      <c r="T472" s="24" t="s">
        <v>30</v>
      </c>
      <c r="U472" s="31" t="s">
        <v>31</v>
      </c>
      <c r="V472" s="31" t="n">
        <v>43343</v>
      </c>
      <c r="W472" s="18"/>
      <c r="X472" s="18"/>
    </row>
    <row r="473" customFormat="false" ht="13.8" hidden="false" customHeight="false" outlineLevel="0" collapsed="false">
      <c r="A473" s="18"/>
      <c r="B473" s="19" t="n">
        <v>1244</v>
      </c>
      <c r="C473" s="20" t="n">
        <v>43236</v>
      </c>
      <c r="D473" s="21" t="s">
        <v>22</v>
      </c>
      <c r="E473" s="22" t="s">
        <v>178</v>
      </c>
      <c r="F473" s="23" t="s">
        <v>387</v>
      </c>
      <c r="G473" s="22" t="s">
        <v>345</v>
      </c>
      <c r="H473" s="24" t="s">
        <v>193</v>
      </c>
      <c r="I473" s="24" t="s">
        <v>49</v>
      </c>
      <c r="J473" s="25" t="n">
        <v>51.5</v>
      </c>
      <c r="K473" s="26" t="n">
        <v>422500</v>
      </c>
      <c r="L473" s="27" t="n">
        <f aca="false">K473/J473</f>
        <v>8203.88349514563</v>
      </c>
      <c r="M473" s="28" t="s">
        <v>64</v>
      </c>
      <c r="N473" s="29"/>
      <c r="O473" s="30" t="n">
        <f aca="false">K473+N473</f>
        <v>422500</v>
      </c>
      <c r="P473" s="30" t="n">
        <f aca="false">ROUND(O473/J473, 2)</f>
        <v>8203.88</v>
      </c>
      <c r="Q473" s="25" t="s">
        <v>50</v>
      </c>
      <c r="R473" s="22" t="s">
        <v>36</v>
      </c>
      <c r="S473" s="25" t="s">
        <v>29</v>
      </c>
      <c r="T473" s="24" t="s">
        <v>30</v>
      </c>
      <c r="U473" s="31" t="s">
        <v>31</v>
      </c>
      <c r="V473" s="31" t="n">
        <v>43343</v>
      </c>
      <c r="W473" s="18"/>
      <c r="X473" s="18"/>
      <c r="AMJ473" s="32"/>
    </row>
    <row r="474" s="32" customFormat="true" ht="13.8" hidden="false" customHeight="false" outlineLevel="0" collapsed="false">
      <c r="A474" s="18"/>
      <c r="B474" s="19" t="n">
        <v>386</v>
      </c>
      <c r="C474" s="20" t="n">
        <v>43236</v>
      </c>
      <c r="D474" s="21" t="s">
        <v>22</v>
      </c>
      <c r="E474" s="22" t="s">
        <v>681</v>
      </c>
      <c r="F474" s="23" t="s">
        <v>46</v>
      </c>
      <c r="G474" s="22" t="s">
        <v>197</v>
      </c>
      <c r="H474" s="24" t="s">
        <v>25</v>
      </c>
      <c r="I474" s="24" t="s">
        <v>26</v>
      </c>
      <c r="J474" s="25" t="n">
        <v>78.74</v>
      </c>
      <c r="K474" s="26" t="n">
        <v>810000</v>
      </c>
      <c r="L474" s="27" t="n">
        <f aca="false">K474/J474</f>
        <v>10287.0205740412</v>
      </c>
      <c r="M474" s="28" t="s">
        <v>64</v>
      </c>
      <c r="N474" s="29"/>
      <c r="O474" s="30" t="n">
        <f aca="false">K474+N474</f>
        <v>810000</v>
      </c>
      <c r="P474" s="30" t="n">
        <f aca="false">ROUND(O474/J474, 2)</f>
        <v>10287.02</v>
      </c>
      <c r="Q474" s="25" t="s">
        <v>91</v>
      </c>
      <c r="R474" s="22" t="s">
        <v>49</v>
      </c>
      <c r="S474" s="25" t="s">
        <v>29</v>
      </c>
      <c r="T474" s="24" t="s">
        <v>30</v>
      </c>
      <c r="U474" s="31" t="s">
        <v>31</v>
      </c>
      <c r="V474" s="31" t="n">
        <v>43343</v>
      </c>
      <c r="W474" s="18"/>
      <c r="X474" s="18"/>
    </row>
    <row r="475" customFormat="false" ht="13.8" hidden="false" customHeight="false" outlineLevel="0" collapsed="false">
      <c r="A475" s="18"/>
      <c r="B475" s="19" t="n">
        <v>1071</v>
      </c>
      <c r="C475" s="20" t="n">
        <v>43237</v>
      </c>
      <c r="D475" s="21" t="s">
        <v>768</v>
      </c>
      <c r="E475" s="22" t="s">
        <v>769</v>
      </c>
      <c r="F475" s="23" t="s">
        <v>94</v>
      </c>
      <c r="G475" s="22" t="s">
        <v>770</v>
      </c>
      <c r="H475" s="24" t="s">
        <v>95</v>
      </c>
      <c r="I475" s="24" t="s">
        <v>27</v>
      </c>
      <c r="J475" s="25" t="n">
        <f aca="false">77.92-3.72</f>
        <v>74.2</v>
      </c>
      <c r="K475" s="26" t="n">
        <v>632000</v>
      </c>
      <c r="L475" s="27" t="n">
        <f aca="false">K475/J475</f>
        <v>8517.52021563342</v>
      </c>
      <c r="M475" s="28" t="s">
        <v>771</v>
      </c>
      <c r="N475" s="29"/>
      <c r="O475" s="30" t="n">
        <f aca="false">K475+N475</f>
        <v>632000</v>
      </c>
      <c r="P475" s="30" t="n">
        <f aca="false">ROUND(O475/J475, 2)</f>
        <v>8517.52</v>
      </c>
      <c r="Q475" s="25" t="s">
        <v>85</v>
      </c>
      <c r="R475" s="22" t="s">
        <v>26</v>
      </c>
      <c r="S475" s="25" t="s">
        <v>29</v>
      </c>
      <c r="T475" s="24" t="s">
        <v>30</v>
      </c>
      <c r="U475" s="31" t="s">
        <v>31</v>
      </c>
      <c r="V475" s="31" t="n">
        <v>43343</v>
      </c>
      <c r="W475" s="18"/>
      <c r="X475" s="18"/>
    </row>
    <row r="476" customFormat="false" ht="13.8" hidden="false" customHeight="false" outlineLevel="0" collapsed="false">
      <c r="A476" s="18"/>
      <c r="B476" s="19" t="n">
        <v>3433</v>
      </c>
      <c r="C476" s="20" t="n">
        <v>43237</v>
      </c>
      <c r="D476" s="21" t="s">
        <v>22</v>
      </c>
      <c r="E476" s="22" t="s">
        <v>665</v>
      </c>
      <c r="F476" s="23" t="s">
        <v>666</v>
      </c>
      <c r="G476" s="22" t="s">
        <v>101</v>
      </c>
      <c r="H476" s="24" t="s">
        <v>111</v>
      </c>
      <c r="I476" s="24" t="s">
        <v>57</v>
      </c>
      <c r="J476" s="25" t="n">
        <v>115</v>
      </c>
      <c r="K476" s="26" t="n">
        <v>1800000</v>
      </c>
      <c r="L476" s="27" t="n">
        <f aca="false">K476/J476</f>
        <v>15652.1739130435</v>
      </c>
      <c r="M476" s="28" t="s">
        <v>205</v>
      </c>
      <c r="N476" s="29" t="n">
        <v>50000</v>
      </c>
      <c r="O476" s="30" t="n">
        <f aca="false">K476+N476</f>
        <v>1850000</v>
      </c>
      <c r="P476" s="30" t="n">
        <f aca="false">ROUND(O476/J476, 2)</f>
        <v>16086.96</v>
      </c>
      <c r="Q476" s="25" t="s">
        <v>91</v>
      </c>
      <c r="R476" s="22" t="s">
        <v>49</v>
      </c>
      <c r="S476" s="25" t="s">
        <v>29</v>
      </c>
      <c r="T476" s="24" t="s">
        <v>30</v>
      </c>
      <c r="U476" s="31" t="s">
        <v>31</v>
      </c>
      <c r="V476" s="31" t="n">
        <v>43343</v>
      </c>
      <c r="W476" s="34"/>
      <c r="X476" s="34"/>
    </row>
    <row r="477" customFormat="false" ht="13.8" hidden="false" customHeight="false" outlineLevel="0" collapsed="false">
      <c r="A477" s="18"/>
      <c r="B477" s="19" t="n">
        <v>4437</v>
      </c>
      <c r="C477" s="20" t="n">
        <v>43237</v>
      </c>
      <c r="D477" s="21" t="s">
        <v>22</v>
      </c>
      <c r="E477" s="22" t="s">
        <v>118</v>
      </c>
      <c r="F477" s="23" t="s">
        <v>347</v>
      </c>
      <c r="G477" s="22" t="s">
        <v>126</v>
      </c>
      <c r="H477" s="24" t="s">
        <v>141</v>
      </c>
      <c r="I477" s="24" t="s">
        <v>36</v>
      </c>
      <c r="J477" s="25" t="n">
        <f aca="false">52-2.6</f>
        <v>49.4</v>
      </c>
      <c r="K477" s="26" t="n">
        <v>356000</v>
      </c>
      <c r="L477" s="27" t="n">
        <f aca="false">K477/J477</f>
        <v>7206.47773279352</v>
      </c>
      <c r="M477" s="28" t="s">
        <v>264</v>
      </c>
      <c r="N477" s="29"/>
      <c r="O477" s="30" t="n">
        <f aca="false">K477+N477</f>
        <v>356000</v>
      </c>
      <c r="P477" s="30" t="n">
        <f aca="false">ROUND(O477/J477, 2)</f>
        <v>7206.48</v>
      </c>
      <c r="Q477" s="25" t="s">
        <v>85</v>
      </c>
      <c r="R477" s="22" t="s">
        <v>26</v>
      </c>
      <c r="S477" s="25" t="s">
        <v>29</v>
      </c>
      <c r="T477" s="24" t="s">
        <v>30</v>
      </c>
      <c r="U477" s="31" t="s">
        <v>31</v>
      </c>
      <c r="V477" s="31" t="n">
        <v>43343</v>
      </c>
      <c r="W477" s="18"/>
      <c r="X477" s="18"/>
      <c r="AMJ477" s="32"/>
    </row>
    <row r="478" s="32" customFormat="true" ht="13.8" hidden="false" customHeight="false" outlineLevel="0" collapsed="false">
      <c r="A478" s="18"/>
      <c r="B478" s="19" t="n">
        <v>1444</v>
      </c>
      <c r="C478" s="20" t="n">
        <v>43237</v>
      </c>
      <c r="D478" s="21" t="s">
        <v>22</v>
      </c>
      <c r="E478" s="22" t="s">
        <v>235</v>
      </c>
      <c r="F478" s="23" t="s">
        <v>561</v>
      </c>
      <c r="G478" s="22" t="s">
        <v>26</v>
      </c>
      <c r="H478" s="24" t="s">
        <v>112</v>
      </c>
      <c r="I478" s="24" t="s">
        <v>26</v>
      </c>
      <c r="J478" s="25" t="n">
        <v>50.5</v>
      </c>
      <c r="K478" s="26" t="n">
        <v>370000</v>
      </c>
      <c r="L478" s="27" t="n">
        <f aca="false">K478/J478</f>
        <v>7326.73267326733</v>
      </c>
      <c r="M478" s="28" t="s">
        <v>64</v>
      </c>
      <c r="N478" s="29"/>
      <c r="O478" s="30" t="n">
        <f aca="false">K478+N478</f>
        <v>370000</v>
      </c>
      <c r="P478" s="30" t="n">
        <f aca="false">ROUND(O478/J478, 2)</f>
        <v>7326.73</v>
      </c>
      <c r="Q478" s="25" t="s">
        <v>85</v>
      </c>
      <c r="R478" s="22" t="s">
        <v>26</v>
      </c>
      <c r="S478" s="25" t="s">
        <v>29</v>
      </c>
      <c r="T478" s="24" t="s">
        <v>30</v>
      </c>
      <c r="U478" s="31" t="s">
        <v>31</v>
      </c>
      <c r="V478" s="31" t="n">
        <v>43343</v>
      </c>
      <c r="W478" s="18"/>
      <c r="X478" s="18"/>
    </row>
    <row r="479" s="32" customFormat="true" ht="13.8" hidden="false" customHeight="false" outlineLevel="0" collapsed="false">
      <c r="A479" s="18"/>
      <c r="B479" s="19" t="n">
        <v>2527</v>
      </c>
      <c r="C479" s="20" t="n">
        <v>43238</v>
      </c>
      <c r="D479" s="38" t="s">
        <v>22</v>
      </c>
      <c r="E479" s="22" t="s">
        <v>343</v>
      </c>
      <c r="F479" s="34" t="s">
        <v>392</v>
      </c>
      <c r="G479" s="19" t="n">
        <v>54</v>
      </c>
      <c r="H479" s="19" t="n">
        <v>3</v>
      </c>
      <c r="I479" s="19" t="n">
        <v>1</v>
      </c>
      <c r="J479" s="19" t="n">
        <v>44.72</v>
      </c>
      <c r="K479" s="39" t="n">
        <v>482000</v>
      </c>
      <c r="L479" s="39" t="n">
        <f aca="false">K479/J479</f>
        <v>10778.175313059</v>
      </c>
      <c r="M479" s="34"/>
      <c r="N479" s="40"/>
      <c r="O479" s="30" t="n">
        <f aca="false">K479+N479</f>
        <v>482000</v>
      </c>
      <c r="P479" s="39" t="n">
        <f aca="false">O479/J479</f>
        <v>10778.175313059</v>
      </c>
      <c r="Q479" s="19" t="s">
        <v>772</v>
      </c>
      <c r="R479" s="22" t="s">
        <v>36</v>
      </c>
      <c r="S479" s="19" t="s">
        <v>29</v>
      </c>
      <c r="T479" s="19" t="s">
        <v>30</v>
      </c>
      <c r="U479" s="19" t="s">
        <v>31</v>
      </c>
      <c r="V479" s="41" t="n">
        <v>43514</v>
      </c>
      <c r="W479" s="34" t="s">
        <v>773</v>
      </c>
      <c r="X479" s="18"/>
    </row>
    <row r="480" s="32" customFormat="true" ht="13.8" hidden="false" customHeight="false" outlineLevel="0" collapsed="false">
      <c r="A480" s="18"/>
      <c r="B480" s="19" t="n">
        <v>3781</v>
      </c>
      <c r="C480" s="20" t="n">
        <v>43238</v>
      </c>
      <c r="D480" s="21" t="s">
        <v>22</v>
      </c>
      <c r="E480" s="22" t="s">
        <v>80</v>
      </c>
      <c r="F480" s="23" t="s">
        <v>81</v>
      </c>
      <c r="G480" s="22" t="s">
        <v>26</v>
      </c>
      <c r="H480" s="24" t="s">
        <v>27</v>
      </c>
      <c r="I480" s="24" t="s">
        <v>26</v>
      </c>
      <c r="J480" s="25" t="n">
        <v>55.09</v>
      </c>
      <c r="K480" s="26" t="n">
        <v>812900</v>
      </c>
      <c r="L480" s="27" t="n">
        <f aca="false">K480/J480</f>
        <v>14755.8540569976</v>
      </c>
      <c r="M480" s="28" t="s">
        <v>774</v>
      </c>
      <c r="N480" s="29" t="n">
        <f aca="false">48800+18300</f>
        <v>67100</v>
      </c>
      <c r="O480" s="30" t="n">
        <f aca="false">K480+N480</f>
        <v>880000</v>
      </c>
      <c r="P480" s="30" t="n">
        <f aca="false">ROUND(O480/J480, 2)</f>
        <v>15973.86</v>
      </c>
      <c r="Q480" s="25" t="s">
        <v>50</v>
      </c>
      <c r="R480" s="22" t="s">
        <v>36</v>
      </c>
      <c r="S480" s="25" t="s">
        <v>29</v>
      </c>
      <c r="T480" s="24" t="s">
        <v>30</v>
      </c>
      <c r="U480" s="31" t="s">
        <v>31</v>
      </c>
      <c r="V480" s="31" t="n">
        <v>43343</v>
      </c>
      <c r="W480" s="18"/>
      <c r="X480" s="18"/>
    </row>
    <row r="481" customFormat="false" ht="13.8" hidden="false" customHeight="false" outlineLevel="0" collapsed="false">
      <c r="A481" s="18"/>
      <c r="B481" s="19" t="n">
        <v>882</v>
      </c>
      <c r="C481" s="20" t="n">
        <v>43238</v>
      </c>
      <c r="D481" s="21" t="s">
        <v>22</v>
      </c>
      <c r="E481" s="22" t="s">
        <v>517</v>
      </c>
      <c r="F481" s="23" t="s">
        <v>592</v>
      </c>
      <c r="G481" s="22" t="s">
        <v>143</v>
      </c>
      <c r="H481" s="24" t="s">
        <v>300</v>
      </c>
      <c r="I481" s="24" t="s">
        <v>26</v>
      </c>
      <c r="J481" s="25" t="n">
        <v>49.4</v>
      </c>
      <c r="K481" s="26" t="n">
        <v>375000</v>
      </c>
      <c r="L481" s="27" t="n">
        <f aca="false">K481/J481</f>
        <v>7591.09311740891</v>
      </c>
      <c r="M481" s="28" t="s">
        <v>64</v>
      </c>
      <c r="N481" s="29"/>
      <c r="O481" s="30" t="n">
        <f aca="false">K481+N481</f>
        <v>375000</v>
      </c>
      <c r="P481" s="30" t="n">
        <f aca="false">ROUND(O481/J481, 2)</f>
        <v>7591.09</v>
      </c>
      <c r="Q481" s="25" t="s">
        <v>85</v>
      </c>
      <c r="R481" s="22" t="s">
        <v>26</v>
      </c>
      <c r="S481" s="25" t="s">
        <v>29</v>
      </c>
      <c r="T481" s="24" t="s">
        <v>30</v>
      </c>
      <c r="U481" s="31" t="s">
        <v>31</v>
      </c>
      <c r="V481" s="31" t="n">
        <v>43343</v>
      </c>
      <c r="W481" s="18"/>
      <c r="X481" s="18"/>
      <c r="AMJ481" s="32"/>
    </row>
    <row r="482" s="32" customFormat="true" ht="13.8" hidden="false" customHeight="false" outlineLevel="0" collapsed="false">
      <c r="A482" s="18"/>
      <c r="B482" s="19" t="n">
        <v>837</v>
      </c>
      <c r="C482" s="20" t="n">
        <v>43238</v>
      </c>
      <c r="D482" s="21" t="s">
        <v>22</v>
      </c>
      <c r="E482" s="22" t="s">
        <v>433</v>
      </c>
      <c r="F482" s="23" t="s">
        <v>434</v>
      </c>
      <c r="G482" s="22" t="s">
        <v>82</v>
      </c>
      <c r="H482" s="24" t="s">
        <v>775</v>
      </c>
      <c r="I482" s="24" t="s">
        <v>101</v>
      </c>
      <c r="J482" s="25" t="n">
        <v>51.43</v>
      </c>
      <c r="K482" s="26" t="n">
        <v>626231</v>
      </c>
      <c r="L482" s="27" t="n">
        <f aca="false">K482/J482</f>
        <v>12176.3756562318</v>
      </c>
      <c r="M482" s="28"/>
      <c r="N482" s="29"/>
      <c r="O482" s="30" t="n">
        <f aca="false">K482+N482</f>
        <v>626231</v>
      </c>
      <c r="P482" s="30" t="n">
        <f aca="false">ROUND(O482/J482, 2)</f>
        <v>12176.38</v>
      </c>
      <c r="Q482" s="25" t="s">
        <v>161</v>
      </c>
      <c r="R482" s="22" t="s">
        <v>36</v>
      </c>
      <c r="S482" s="25" t="s">
        <v>29</v>
      </c>
      <c r="T482" s="24" t="s">
        <v>30</v>
      </c>
      <c r="U482" s="31" t="s">
        <v>31</v>
      </c>
      <c r="V482" s="31" t="n">
        <v>43343</v>
      </c>
      <c r="W482" s="18"/>
      <c r="X482" s="18"/>
    </row>
    <row r="483" s="32" customFormat="true" ht="13.8" hidden="false" customHeight="false" outlineLevel="0" collapsed="false">
      <c r="A483" s="18"/>
      <c r="B483" s="19" t="n">
        <v>1469</v>
      </c>
      <c r="C483" s="20" t="n">
        <v>43238</v>
      </c>
      <c r="D483" s="21" t="s">
        <v>22</v>
      </c>
      <c r="E483" s="22" t="s">
        <v>350</v>
      </c>
      <c r="F483" s="23" t="s">
        <v>351</v>
      </c>
      <c r="G483" s="22" t="s">
        <v>498</v>
      </c>
      <c r="H483" s="24" t="s">
        <v>776</v>
      </c>
      <c r="I483" s="24" t="s">
        <v>82</v>
      </c>
      <c r="J483" s="25" t="n">
        <f aca="false">61.49-4.39</f>
        <v>57.1</v>
      </c>
      <c r="K483" s="26" t="n">
        <v>645000</v>
      </c>
      <c r="L483" s="27" t="n">
        <f aca="false">K483/J483</f>
        <v>11295.9719789842</v>
      </c>
      <c r="M483" s="28" t="s">
        <v>777</v>
      </c>
      <c r="N483" s="29" t="n">
        <v>35000</v>
      </c>
      <c r="O483" s="30" t="n">
        <f aca="false">K483+N483</f>
        <v>680000</v>
      </c>
      <c r="P483" s="30" t="n">
        <f aca="false">ROUND(O483/J483, 2)</f>
        <v>11908.93</v>
      </c>
      <c r="Q483" s="25" t="s">
        <v>161</v>
      </c>
      <c r="R483" s="22" t="s">
        <v>36</v>
      </c>
      <c r="S483" s="25" t="s">
        <v>29</v>
      </c>
      <c r="T483" s="24" t="s">
        <v>30</v>
      </c>
      <c r="U483" s="31" t="s">
        <v>31</v>
      </c>
      <c r="V483" s="31" t="n">
        <v>43343</v>
      </c>
      <c r="W483" s="18"/>
      <c r="X483" s="18"/>
    </row>
    <row r="484" s="32" customFormat="true" ht="13.8" hidden="false" customHeight="false" outlineLevel="0" collapsed="false">
      <c r="A484" s="18"/>
      <c r="B484" s="19" t="n">
        <v>881</v>
      </c>
      <c r="C484" s="20" t="n">
        <v>43238</v>
      </c>
      <c r="D484" s="21" t="s">
        <v>22</v>
      </c>
      <c r="E484" s="22" t="s">
        <v>72</v>
      </c>
      <c r="F484" s="23" t="s">
        <v>387</v>
      </c>
      <c r="G484" s="22" t="s">
        <v>101</v>
      </c>
      <c r="H484" s="24" t="s">
        <v>112</v>
      </c>
      <c r="I484" s="24" t="s">
        <v>26</v>
      </c>
      <c r="J484" s="25" t="n">
        <v>48.3</v>
      </c>
      <c r="K484" s="26" t="n">
        <v>495000</v>
      </c>
      <c r="L484" s="27" t="n">
        <f aca="false">K484/J484</f>
        <v>10248.4472049689</v>
      </c>
      <c r="M484" s="28"/>
      <c r="N484" s="29"/>
      <c r="O484" s="30" t="n">
        <f aca="false">K484+N484</f>
        <v>495000</v>
      </c>
      <c r="P484" s="30" t="n">
        <f aca="false">ROUND(O484/J484, 2)</f>
        <v>10248.45</v>
      </c>
      <c r="Q484" s="25" t="s">
        <v>50</v>
      </c>
      <c r="R484" s="22" t="s">
        <v>36</v>
      </c>
      <c r="S484" s="25" t="s">
        <v>29</v>
      </c>
      <c r="T484" s="24" t="s">
        <v>30</v>
      </c>
      <c r="U484" s="31" t="s">
        <v>31</v>
      </c>
      <c r="V484" s="31" t="n">
        <v>43343</v>
      </c>
      <c r="W484" s="18"/>
      <c r="X484" s="18"/>
      <c r="Y484" s="35"/>
      <c r="Z484" s="43"/>
    </row>
    <row r="485" customFormat="false" ht="13.8" hidden="false" customHeight="false" outlineLevel="0" collapsed="false">
      <c r="A485" s="18"/>
      <c r="B485" s="19" t="n">
        <v>7587</v>
      </c>
      <c r="C485" s="20" t="n">
        <v>43238</v>
      </c>
      <c r="D485" s="21" t="s">
        <v>22</v>
      </c>
      <c r="E485" s="22" t="s">
        <v>72</v>
      </c>
      <c r="F485" s="23" t="s">
        <v>46</v>
      </c>
      <c r="G485" s="22" t="s">
        <v>511</v>
      </c>
      <c r="H485" s="24" t="s">
        <v>101</v>
      </c>
      <c r="I485" s="24" t="s">
        <v>49</v>
      </c>
      <c r="J485" s="25" t="n">
        <v>62</v>
      </c>
      <c r="K485" s="26" t="n">
        <v>555000</v>
      </c>
      <c r="L485" s="27" t="n">
        <f aca="false">K485/J485</f>
        <v>8951.61290322581</v>
      </c>
      <c r="M485" s="28" t="s">
        <v>64</v>
      </c>
      <c r="N485" s="29"/>
      <c r="O485" s="30" t="n">
        <f aca="false">K485+N485</f>
        <v>555000</v>
      </c>
      <c r="P485" s="30" t="n">
        <f aca="false">ROUND(O485/J485, 2)</f>
        <v>8951.61</v>
      </c>
      <c r="Q485" s="25" t="s">
        <v>50</v>
      </c>
      <c r="R485" s="22" t="s">
        <v>36</v>
      </c>
      <c r="S485" s="25" t="s">
        <v>29</v>
      </c>
      <c r="T485" s="24" t="s">
        <v>30</v>
      </c>
      <c r="U485" s="31" t="s">
        <v>31</v>
      </c>
      <c r="V485" s="31" t="n">
        <v>43343</v>
      </c>
      <c r="W485" s="18"/>
      <c r="X485" s="18"/>
    </row>
    <row r="486" customFormat="false" ht="13.8" hidden="false" customHeight="false" outlineLevel="0" collapsed="false">
      <c r="A486" s="18"/>
      <c r="B486" s="19" t="n">
        <v>1913</v>
      </c>
      <c r="C486" s="20" t="n">
        <v>43238</v>
      </c>
      <c r="D486" s="21" t="s">
        <v>22</v>
      </c>
      <c r="E486" s="22" t="s">
        <v>299</v>
      </c>
      <c r="F486" s="23" t="s">
        <v>271</v>
      </c>
      <c r="G486" s="22" t="s">
        <v>455</v>
      </c>
      <c r="H486" s="24" t="s">
        <v>778</v>
      </c>
      <c r="I486" s="24" t="s">
        <v>697</v>
      </c>
      <c r="J486" s="25" t="n">
        <v>30.49</v>
      </c>
      <c r="K486" s="26" t="n">
        <v>350000</v>
      </c>
      <c r="L486" s="27" t="n">
        <f aca="false">K486/J486</f>
        <v>11479.173499508</v>
      </c>
      <c r="M486" s="28"/>
      <c r="N486" s="29"/>
      <c r="O486" s="30" t="n">
        <f aca="false">K486+N486</f>
        <v>350000</v>
      </c>
      <c r="P486" s="30" t="n">
        <f aca="false">ROUND(O486/J486, 2)</f>
        <v>11479.17</v>
      </c>
      <c r="Q486" s="25" t="s">
        <v>50</v>
      </c>
      <c r="R486" s="22" t="s">
        <v>36</v>
      </c>
      <c r="S486" s="25" t="s">
        <v>29</v>
      </c>
      <c r="T486" s="24" t="s">
        <v>30</v>
      </c>
      <c r="U486" s="31" t="s">
        <v>31</v>
      </c>
      <c r="V486" s="31" t="n">
        <v>43343</v>
      </c>
      <c r="W486" s="34" t="s">
        <v>779</v>
      </c>
      <c r="X486" s="18"/>
    </row>
    <row r="487" customFormat="false" ht="13.8" hidden="false" customHeight="false" outlineLevel="0" collapsed="false">
      <c r="A487" s="18"/>
      <c r="B487" s="19" t="n">
        <v>6389</v>
      </c>
      <c r="C487" s="20" t="n">
        <v>43238</v>
      </c>
      <c r="D487" s="21" t="s">
        <v>22</v>
      </c>
      <c r="E487" s="22" t="s">
        <v>125</v>
      </c>
      <c r="F487" s="23" t="s">
        <v>272</v>
      </c>
      <c r="G487" s="22" t="s">
        <v>120</v>
      </c>
      <c r="H487" s="24" t="s">
        <v>101</v>
      </c>
      <c r="I487" s="24" t="s">
        <v>26</v>
      </c>
      <c r="J487" s="25" t="n">
        <v>48</v>
      </c>
      <c r="K487" s="26" t="n">
        <v>446000</v>
      </c>
      <c r="L487" s="27" t="n">
        <f aca="false">K487/J487</f>
        <v>9291.66666666667</v>
      </c>
      <c r="M487" s="28"/>
      <c r="N487" s="29"/>
      <c r="O487" s="30" t="n">
        <f aca="false">K487+N487</f>
        <v>446000</v>
      </c>
      <c r="P487" s="30" t="n">
        <f aca="false">ROUND(O487/J487, 2)</f>
        <v>9291.67</v>
      </c>
      <c r="Q487" s="25" t="s">
        <v>50</v>
      </c>
      <c r="R487" s="22" t="s">
        <v>36</v>
      </c>
      <c r="S487" s="25" t="s">
        <v>29</v>
      </c>
      <c r="T487" s="24" t="s">
        <v>30</v>
      </c>
      <c r="U487" s="31" t="s">
        <v>31</v>
      </c>
      <c r="V487" s="31" t="n">
        <v>43343</v>
      </c>
      <c r="W487" s="18"/>
      <c r="X487" s="18"/>
    </row>
    <row r="488" customFormat="false" ht="13.8" hidden="false" customHeight="false" outlineLevel="0" collapsed="false">
      <c r="A488" s="18"/>
      <c r="B488" s="19" t="s">
        <v>780</v>
      </c>
      <c r="C488" s="20" t="n">
        <v>43241</v>
      </c>
      <c r="D488" s="21" t="s">
        <v>22</v>
      </c>
      <c r="E488" s="22" t="s">
        <v>75</v>
      </c>
      <c r="F488" s="23" t="s">
        <v>76</v>
      </c>
      <c r="G488" s="22" t="s">
        <v>257</v>
      </c>
      <c r="H488" s="24" t="s">
        <v>115</v>
      </c>
      <c r="I488" s="24" t="s">
        <v>36</v>
      </c>
      <c r="J488" s="25" t="n">
        <f aca="false">77.4-7.8</f>
        <v>69.6</v>
      </c>
      <c r="K488" s="26" t="n">
        <v>685000</v>
      </c>
      <c r="L488" s="27" t="n">
        <f aca="false">K488/J488</f>
        <v>9841.95402298851</v>
      </c>
      <c r="M488" s="28" t="s">
        <v>781</v>
      </c>
      <c r="N488" s="29"/>
      <c r="O488" s="30" t="n">
        <f aca="false">K488+N488</f>
        <v>685000</v>
      </c>
      <c r="P488" s="30" t="n">
        <f aca="false">ROUND(O488/J488, 2)</f>
        <v>9841.95</v>
      </c>
      <c r="Q488" s="25" t="s">
        <v>232</v>
      </c>
      <c r="R488" s="22" t="s">
        <v>26</v>
      </c>
      <c r="S488" s="25" t="s">
        <v>29</v>
      </c>
      <c r="T488" s="24" t="s">
        <v>30</v>
      </c>
      <c r="U488" s="31" t="s">
        <v>31</v>
      </c>
      <c r="V488" s="31" t="n">
        <v>43343</v>
      </c>
      <c r="W488" s="34" t="s">
        <v>782</v>
      </c>
      <c r="X488" s="34"/>
    </row>
    <row r="489" customFormat="false" ht="13.8" hidden="false" customHeight="false" outlineLevel="0" collapsed="false">
      <c r="A489" s="18"/>
      <c r="B489" s="19" t="n">
        <v>1707</v>
      </c>
      <c r="C489" s="20" t="n">
        <v>43241</v>
      </c>
      <c r="D489" s="21" t="s">
        <v>22</v>
      </c>
      <c r="E489" s="22" t="s">
        <v>665</v>
      </c>
      <c r="F489" s="23" t="s">
        <v>666</v>
      </c>
      <c r="G489" s="22" t="s">
        <v>101</v>
      </c>
      <c r="H489" s="24" t="s">
        <v>181</v>
      </c>
      <c r="I489" s="24" t="s">
        <v>27</v>
      </c>
      <c r="J489" s="25" t="n">
        <v>43</v>
      </c>
      <c r="K489" s="26" t="n">
        <v>640000</v>
      </c>
      <c r="L489" s="27" t="n">
        <f aca="false">K489/J489</f>
        <v>14883.7209302326</v>
      </c>
      <c r="M489" s="28"/>
      <c r="N489" s="29"/>
      <c r="O489" s="30" t="n">
        <f aca="false">K489+N489</f>
        <v>640000</v>
      </c>
      <c r="P489" s="30" t="n">
        <f aca="false">ROUND(O489/J489, 2)</f>
        <v>14883.72</v>
      </c>
      <c r="Q489" s="25" t="s">
        <v>161</v>
      </c>
      <c r="R489" s="22" t="s">
        <v>36</v>
      </c>
      <c r="S489" s="25" t="s">
        <v>29</v>
      </c>
      <c r="T489" s="24" t="s">
        <v>30</v>
      </c>
      <c r="U489" s="31" t="s">
        <v>31</v>
      </c>
      <c r="V489" s="31" t="n">
        <v>43343</v>
      </c>
      <c r="W489" s="18"/>
      <c r="X489" s="34"/>
      <c r="AMJ489" s="32"/>
    </row>
    <row r="490" s="32" customFormat="true" ht="13.8" hidden="false" customHeight="false" outlineLevel="0" collapsed="false">
      <c r="A490" s="18"/>
      <c r="B490" s="19" t="n">
        <v>2605</v>
      </c>
      <c r="C490" s="20" t="n">
        <v>43241</v>
      </c>
      <c r="D490" s="21" t="s">
        <v>22</v>
      </c>
      <c r="E490" s="22" t="s">
        <v>140</v>
      </c>
      <c r="F490" s="23" t="s">
        <v>138</v>
      </c>
      <c r="G490" s="22" t="s">
        <v>141</v>
      </c>
      <c r="H490" s="24" t="s">
        <v>101</v>
      </c>
      <c r="I490" s="24" t="s">
        <v>25</v>
      </c>
      <c r="J490" s="25" t="n">
        <v>73.24</v>
      </c>
      <c r="K490" s="26" t="n">
        <v>750000</v>
      </c>
      <c r="L490" s="27" t="n">
        <f aca="false">K490/J490</f>
        <v>10240.3058438012</v>
      </c>
      <c r="M490" s="28" t="s">
        <v>783</v>
      </c>
      <c r="N490" s="29" t="n">
        <v>35000</v>
      </c>
      <c r="O490" s="30" t="n">
        <f aca="false">K490+N490</f>
        <v>785000</v>
      </c>
      <c r="P490" s="30" t="n">
        <f aca="false">ROUND(O490/J490, 2)</f>
        <v>10718.19</v>
      </c>
      <c r="Q490" s="25" t="s">
        <v>85</v>
      </c>
      <c r="R490" s="22" t="s">
        <v>26</v>
      </c>
      <c r="S490" s="25" t="s">
        <v>29</v>
      </c>
      <c r="T490" s="24" t="s">
        <v>30</v>
      </c>
      <c r="U490" s="31" t="s">
        <v>31</v>
      </c>
      <c r="V490" s="31" t="n">
        <v>43343</v>
      </c>
      <c r="W490" s="34" t="s">
        <v>784</v>
      </c>
      <c r="X490" s="34"/>
    </row>
    <row r="491" s="32" customFormat="true" ht="13.8" hidden="false" customHeight="false" outlineLevel="0" collapsed="false">
      <c r="A491" s="18"/>
      <c r="B491" s="19" t="n">
        <v>2399</v>
      </c>
      <c r="C491" s="20" t="n">
        <v>43241</v>
      </c>
      <c r="D491" s="21" t="s">
        <v>22</v>
      </c>
      <c r="E491" s="22" t="s">
        <v>265</v>
      </c>
      <c r="F491" s="23" t="s">
        <v>108</v>
      </c>
      <c r="G491" s="22" t="s">
        <v>559</v>
      </c>
      <c r="H491" s="24" t="s">
        <v>36</v>
      </c>
      <c r="I491" s="24" t="s">
        <v>27</v>
      </c>
      <c r="J491" s="25" t="n">
        <v>33.88</v>
      </c>
      <c r="K491" s="26" t="n">
        <v>449000</v>
      </c>
      <c r="L491" s="27" t="n">
        <f aca="false">K491/J491</f>
        <v>13252.6564344746</v>
      </c>
      <c r="M491" s="28" t="s">
        <v>64</v>
      </c>
      <c r="N491" s="29"/>
      <c r="O491" s="30" t="n">
        <f aca="false">K491+N491</f>
        <v>449000</v>
      </c>
      <c r="P491" s="30" t="n">
        <f aca="false">ROUND(O491/J491, 2)</f>
        <v>13252.66</v>
      </c>
      <c r="Q491" s="25" t="s">
        <v>41</v>
      </c>
      <c r="R491" s="22" t="s">
        <v>27</v>
      </c>
      <c r="S491" s="25" t="s">
        <v>29</v>
      </c>
      <c r="T491" s="24" t="s">
        <v>30</v>
      </c>
      <c r="U491" s="31" t="s">
        <v>31</v>
      </c>
      <c r="V491" s="31" t="n">
        <v>43343</v>
      </c>
      <c r="W491" s="18"/>
      <c r="X491" s="34"/>
    </row>
    <row r="492" customFormat="false" ht="13.8" hidden="false" customHeight="false" outlineLevel="0" collapsed="false">
      <c r="A492" s="18"/>
      <c r="B492" s="19" t="n">
        <v>408</v>
      </c>
      <c r="C492" s="20" t="n">
        <v>43241</v>
      </c>
      <c r="D492" s="21" t="s">
        <v>22</v>
      </c>
      <c r="E492" s="22" t="s">
        <v>42</v>
      </c>
      <c r="F492" s="23" t="s">
        <v>43</v>
      </c>
      <c r="G492" s="22" t="s">
        <v>26</v>
      </c>
      <c r="H492" s="24" t="s">
        <v>181</v>
      </c>
      <c r="I492" s="24" t="s">
        <v>27</v>
      </c>
      <c r="J492" s="25" t="n">
        <v>37.05</v>
      </c>
      <c r="K492" s="26" t="n">
        <v>358000</v>
      </c>
      <c r="L492" s="27" t="n">
        <f aca="false">K492/J492</f>
        <v>9662.61808367072</v>
      </c>
      <c r="M492" s="28"/>
      <c r="N492" s="29"/>
      <c r="O492" s="30" t="n">
        <f aca="false">K492+N492</f>
        <v>358000</v>
      </c>
      <c r="P492" s="30" t="n">
        <f aca="false">ROUND(O492/J492, 2)</f>
        <v>9662.62</v>
      </c>
      <c r="Q492" s="25" t="s">
        <v>50</v>
      </c>
      <c r="R492" s="22" t="s">
        <v>36</v>
      </c>
      <c r="S492" s="25" t="s">
        <v>29</v>
      </c>
      <c r="T492" s="24" t="s">
        <v>30</v>
      </c>
      <c r="U492" s="31" t="s">
        <v>31</v>
      </c>
      <c r="V492" s="31" t="n">
        <v>43343</v>
      </c>
      <c r="W492" s="18"/>
      <c r="X492" s="18"/>
    </row>
    <row r="493" customFormat="false" ht="13.8" hidden="false" customHeight="false" outlineLevel="0" collapsed="false">
      <c r="A493" s="18"/>
      <c r="B493" s="19" t="n">
        <v>2836</v>
      </c>
      <c r="C493" s="20" t="n">
        <v>43241</v>
      </c>
      <c r="D493" s="21" t="s">
        <v>22</v>
      </c>
      <c r="E493" s="22" t="s">
        <v>268</v>
      </c>
      <c r="F493" s="23" t="s">
        <v>471</v>
      </c>
      <c r="G493" s="22" t="s">
        <v>82</v>
      </c>
      <c r="H493" s="24" t="s">
        <v>95</v>
      </c>
      <c r="I493" s="24" t="s">
        <v>49</v>
      </c>
      <c r="J493" s="25" t="n">
        <v>38.66</v>
      </c>
      <c r="K493" s="26" t="n">
        <v>300000</v>
      </c>
      <c r="L493" s="27" t="n">
        <f aca="false">K493/J493</f>
        <v>7759.95861355406</v>
      </c>
      <c r="M493" s="28" t="s">
        <v>64</v>
      </c>
      <c r="N493" s="29"/>
      <c r="O493" s="30" t="n">
        <f aca="false">K493+N493</f>
        <v>300000</v>
      </c>
      <c r="P493" s="30" t="n">
        <f aca="false">ROUND(O493/J493, 2)</f>
        <v>7759.96</v>
      </c>
      <c r="Q493" s="25" t="s">
        <v>50</v>
      </c>
      <c r="R493" s="22" t="s">
        <v>36</v>
      </c>
      <c r="S493" s="25" t="s">
        <v>29</v>
      </c>
      <c r="T493" s="24" t="s">
        <v>30</v>
      </c>
      <c r="U493" s="31" t="s">
        <v>31</v>
      </c>
      <c r="V493" s="31" t="n">
        <v>43343</v>
      </c>
      <c r="W493" s="18"/>
      <c r="X493" s="18"/>
    </row>
    <row r="494" customFormat="false" ht="13.8" hidden="false" customHeight="false" outlineLevel="0" collapsed="false">
      <c r="A494" s="18"/>
      <c r="B494" s="19" t="n">
        <v>983</v>
      </c>
      <c r="C494" s="20" t="n">
        <v>43241</v>
      </c>
      <c r="D494" s="21" t="s">
        <v>22</v>
      </c>
      <c r="E494" s="22" t="s">
        <v>480</v>
      </c>
      <c r="F494" s="23" t="s">
        <v>46</v>
      </c>
      <c r="G494" s="22" t="s">
        <v>165</v>
      </c>
      <c r="H494" s="24" t="s">
        <v>112</v>
      </c>
      <c r="I494" s="24" t="s">
        <v>36</v>
      </c>
      <c r="J494" s="25" t="n">
        <v>48.39</v>
      </c>
      <c r="K494" s="26" t="n">
        <v>525000</v>
      </c>
      <c r="L494" s="27" t="n">
        <f aca="false">K494/J494</f>
        <v>10849.3490390577</v>
      </c>
      <c r="M494" s="28" t="s">
        <v>64</v>
      </c>
      <c r="N494" s="29"/>
      <c r="O494" s="30" t="n">
        <f aca="false">K494+N494</f>
        <v>525000</v>
      </c>
      <c r="P494" s="30" t="n">
        <f aca="false">ROUND(O494/J494, 2)</f>
        <v>10849.35</v>
      </c>
      <c r="Q494" s="25" t="s">
        <v>50</v>
      </c>
      <c r="R494" s="22" t="s">
        <v>36</v>
      </c>
      <c r="S494" s="25" t="s">
        <v>29</v>
      </c>
      <c r="T494" s="24" t="s">
        <v>30</v>
      </c>
      <c r="U494" s="31" t="s">
        <v>31</v>
      </c>
      <c r="V494" s="31" t="n">
        <v>43343</v>
      </c>
      <c r="W494" s="18"/>
      <c r="X494" s="18"/>
    </row>
    <row r="495" customFormat="false" ht="13.8" hidden="false" customHeight="false" outlineLevel="0" collapsed="false">
      <c r="A495" s="18"/>
      <c r="B495" s="19" t="n">
        <v>2141</v>
      </c>
      <c r="C495" s="20" t="n">
        <v>43242</v>
      </c>
      <c r="D495" s="21" t="s">
        <v>22</v>
      </c>
      <c r="E495" s="22" t="s">
        <v>251</v>
      </c>
      <c r="F495" s="23" t="s">
        <v>252</v>
      </c>
      <c r="G495" s="22" t="s">
        <v>49</v>
      </c>
      <c r="H495" s="24" t="s">
        <v>105</v>
      </c>
      <c r="I495" s="24" t="s">
        <v>26</v>
      </c>
      <c r="J495" s="25" t="n">
        <v>43.67</v>
      </c>
      <c r="K495" s="26" t="n">
        <v>433000</v>
      </c>
      <c r="L495" s="27" t="n">
        <f aca="false">K495/J495</f>
        <v>9915.27364323334</v>
      </c>
      <c r="M495" s="28"/>
      <c r="N495" s="29"/>
      <c r="O495" s="30" t="n">
        <f aca="false">K495+N495</f>
        <v>433000</v>
      </c>
      <c r="P495" s="30" t="n">
        <f aca="false">ROUND(O495/J495, 2)</f>
        <v>9915.27</v>
      </c>
      <c r="Q495" s="25" t="s">
        <v>50</v>
      </c>
      <c r="R495" s="22" t="s">
        <v>36</v>
      </c>
      <c r="S495" s="25" t="s">
        <v>29</v>
      </c>
      <c r="T495" s="24" t="s">
        <v>30</v>
      </c>
      <c r="U495" s="31" t="s">
        <v>31</v>
      </c>
      <c r="V495" s="31" t="n">
        <v>43343</v>
      </c>
      <c r="W495" s="34"/>
      <c r="X495" s="34"/>
    </row>
    <row r="496" customFormat="false" ht="13.8" hidden="false" customHeight="false" outlineLevel="0" collapsed="false">
      <c r="A496" s="18"/>
      <c r="B496" s="19" t="n">
        <v>342</v>
      </c>
      <c r="C496" s="20" t="n">
        <v>43242</v>
      </c>
      <c r="D496" s="21" t="s">
        <v>22</v>
      </c>
      <c r="E496" s="22" t="s">
        <v>80</v>
      </c>
      <c r="F496" s="23" t="s">
        <v>81</v>
      </c>
      <c r="G496" s="22" t="s">
        <v>112</v>
      </c>
      <c r="H496" s="24" t="s">
        <v>408</v>
      </c>
      <c r="I496" s="24" t="s">
        <v>49</v>
      </c>
      <c r="J496" s="25" t="n">
        <v>77.02</v>
      </c>
      <c r="K496" s="26" t="n">
        <v>850000</v>
      </c>
      <c r="L496" s="27" t="n">
        <f aca="false">K496/J496</f>
        <v>11036.0945209037</v>
      </c>
      <c r="M496" s="28" t="s">
        <v>785</v>
      </c>
      <c r="N496" s="29" t="n">
        <v>30000</v>
      </c>
      <c r="O496" s="30" t="n">
        <f aca="false">K496+N496</f>
        <v>880000</v>
      </c>
      <c r="P496" s="30" t="n">
        <f aca="false">ROUND(O496/J496, 2)</f>
        <v>11425.6</v>
      </c>
      <c r="Q496" s="25" t="s">
        <v>85</v>
      </c>
      <c r="R496" s="22" t="s">
        <v>26</v>
      </c>
      <c r="S496" s="25" t="s">
        <v>29</v>
      </c>
      <c r="T496" s="24" t="s">
        <v>30</v>
      </c>
      <c r="U496" s="31" t="s">
        <v>31</v>
      </c>
      <c r="V496" s="31" t="n">
        <v>43343</v>
      </c>
      <c r="W496" s="18"/>
      <c r="X496" s="18"/>
    </row>
    <row r="497" customFormat="false" ht="13.8" hidden="false" customHeight="false" outlineLevel="0" collapsed="false">
      <c r="A497" s="18"/>
      <c r="B497" s="19" t="n">
        <v>2746</v>
      </c>
      <c r="C497" s="20" t="n">
        <v>43242</v>
      </c>
      <c r="D497" s="21" t="s">
        <v>22</v>
      </c>
      <c r="E497" s="22" t="s">
        <v>278</v>
      </c>
      <c r="F497" s="23" t="s">
        <v>688</v>
      </c>
      <c r="G497" s="22" t="s">
        <v>731</v>
      </c>
      <c r="H497" s="24" t="s">
        <v>83</v>
      </c>
      <c r="I497" s="24" t="s">
        <v>57</v>
      </c>
      <c r="J497" s="25" t="n">
        <v>35.9</v>
      </c>
      <c r="K497" s="26" t="n">
        <v>280000</v>
      </c>
      <c r="L497" s="27" t="n">
        <f aca="false">K497/J497</f>
        <v>7799.44289693593</v>
      </c>
      <c r="M497" s="28" t="s">
        <v>64</v>
      </c>
      <c r="N497" s="29"/>
      <c r="O497" s="30" t="n">
        <f aca="false">K497+N497</f>
        <v>280000</v>
      </c>
      <c r="P497" s="30" t="n">
        <f aca="false">ROUND(O497/J497, 2)</f>
        <v>7799.44</v>
      </c>
      <c r="Q497" s="25" t="s">
        <v>50</v>
      </c>
      <c r="R497" s="22" t="s">
        <v>36</v>
      </c>
      <c r="S497" s="25" t="s">
        <v>29</v>
      </c>
      <c r="T497" s="24" t="s">
        <v>30</v>
      </c>
      <c r="U497" s="31" t="s">
        <v>31</v>
      </c>
      <c r="V497" s="31" t="n">
        <v>43343</v>
      </c>
      <c r="W497" s="18"/>
      <c r="X497" s="18"/>
    </row>
    <row r="498" customFormat="false" ht="13.8" hidden="false" customHeight="false" outlineLevel="0" collapsed="false">
      <c r="A498" s="18"/>
      <c r="B498" s="19" t="n">
        <v>4650</v>
      </c>
      <c r="C498" s="20" t="n">
        <v>43242</v>
      </c>
      <c r="D498" s="21" t="s">
        <v>22</v>
      </c>
      <c r="E498" s="22" t="s">
        <v>543</v>
      </c>
      <c r="F498" s="23" t="s">
        <v>351</v>
      </c>
      <c r="G498" s="22" t="s">
        <v>25</v>
      </c>
      <c r="H498" s="24" t="s">
        <v>27</v>
      </c>
      <c r="I498" s="24" t="s">
        <v>27</v>
      </c>
      <c r="J498" s="25" t="n">
        <v>49.58</v>
      </c>
      <c r="K498" s="26" t="n">
        <v>375000</v>
      </c>
      <c r="L498" s="27" t="n">
        <f aca="false">K498/J498</f>
        <v>7563.53368293667</v>
      </c>
      <c r="M498" s="28"/>
      <c r="N498" s="29"/>
      <c r="O498" s="30" t="n">
        <f aca="false">K498+N498</f>
        <v>375000</v>
      </c>
      <c r="P498" s="30" t="n">
        <f aca="false">ROUND(O498/J498, 2)</f>
        <v>7563.53</v>
      </c>
      <c r="Q498" s="25" t="s">
        <v>50</v>
      </c>
      <c r="R498" s="22" t="s">
        <v>36</v>
      </c>
      <c r="S498" s="25" t="s">
        <v>29</v>
      </c>
      <c r="T498" s="24" t="s">
        <v>30</v>
      </c>
      <c r="U498" s="31" t="s">
        <v>31</v>
      </c>
      <c r="V498" s="31" t="n">
        <v>43343</v>
      </c>
      <c r="W498" s="34"/>
      <c r="X498" s="34"/>
    </row>
    <row r="499" customFormat="false" ht="13.8" hidden="false" customHeight="false" outlineLevel="0" collapsed="false">
      <c r="A499" s="18"/>
      <c r="B499" s="19" t="n">
        <v>293</v>
      </c>
      <c r="C499" s="20" t="n">
        <v>43242</v>
      </c>
      <c r="D499" s="21" t="s">
        <v>22</v>
      </c>
      <c r="E499" s="22" t="s">
        <v>72</v>
      </c>
      <c r="F499" s="23" t="s">
        <v>46</v>
      </c>
      <c r="G499" s="22" t="s">
        <v>786</v>
      </c>
      <c r="H499" s="24" t="s">
        <v>105</v>
      </c>
      <c r="I499" s="24" t="s">
        <v>49</v>
      </c>
      <c r="J499" s="25" t="n">
        <v>54.6</v>
      </c>
      <c r="K499" s="26" t="n">
        <v>510000</v>
      </c>
      <c r="L499" s="27" t="n">
        <f aca="false">K499/J499</f>
        <v>9340.65934065934</v>
      </c>
      <c r="M499" s="28"/>
      <c r="N499" s="29"/>
      <c r="O499" s="30" t="n">
        <f aca="false">K499+N499</f>
        <v>510000</v>
      </c>
      <c r="P499" s="30" t="n">
        <f aca="false">ROUND(O499/J499, 2)</f>
        <v>9340.66</v>
      </c>
      <c r="Q499" s="25" t="s">
        <v>50</v>
      </c>
      <c r="R499" s="22" t="s">
        <v>36</v>
      </c>
      <c r="S499" s="25" t="s">
        <v>29</v>
      </c>
      <c r="T499" s="24" t="s">
        <v>30</v>
      </c>
      <c r="U499" s="31" t="s">
        <v>31</v>
      </c>
      <c r="V499" s="31" t="n">
        <v>43343</v>
      </c>
      <c r="W499" s="18"/>
      <c r="X499" s="18"/>
      <c r="AMJ499" s="32"/>
    </row>
    <row r="500" s="32" customFormat="true" ht="13.8" hidden="false" customHeight="false" outlineLevel="0" collapsed="false">
      <c r="A500" s="18"/>
      <c r="B500" s="19" t="n">
        <v>4236</v>
      </c>
      <c r="C500" s="20" t="n">
        <v>43242</v>
      </c>
      <c r="D500" s="21" t="s">
        <v>22</v>
      </c>
      <c r="E500" s="22" t="s">
        <v>23</v>
      </c>
      <c r="F500" s="23" t="s">
        <v>272</v>
      </c>
      <c r="G500" s="22" t="s">
        <v>181</v>
      </c>
      <c r="H500" s="24" t="s">
        <v>197</v>
      </c>
      <c r="I500" s="24" t="s">
        <v>82</v>
      </c>
      <c r="J500" s="25" t="n">
        <v>37.6</v>
      </c>
      <c r="K500" s="26" t="n">
        <v>410000</v>
      </c>
      <c r="L500" s="27" t="n">
        <f aca="false">K500/J500</f>
        <v>10904.2553191489</v>
      </c>
      <c r="M500" s="28"/>
      <c r="N500" s="29"/>
      <c r="O500" s="30" t="n">
        <f aca="false">K500+N500</f>
        <v>410000</v>
      </c>
      <c r="P500" s="30" t="n">
        <f aca="false">ROUND(O500/J500, 2)</f>
        <v>10904.26</v>
      </c>
      <c r="Q500" s="25" t="s">
        <v>50</v>
      </c>
      <c r="R500" s="22" t="s">
        <v>36</v>
      </c>
      <c r="S500" s="25" t="s">
        <v>29</v>
      </c>
      <c r="T500" s="24" t="s">
        <v>30</v>
      </c>
      <c r="U500" s="31" t="s">
        <v>31</v>
      </c>
      <c r="V500" s="31" t="n">
        <v>43343</v>
      </c>
      <c r="W500" s="18"/>
      <c r="X500" s="18"/>
    </row>
    <row r="501" s="32" customFormat="true" ht="13.8" hidden="false" customHeight="false" outlineLevel="0" collapsed="false">
      <c r="A501" s="18"/>
      <c r="B501" s="19" t="n">
        <v>1291</v>
      </c>
      <c r="C501" s="20" t="n">
        <v>43243</v>
      </c>
      <c r="D501" s="21" t="s">
        <v>22</v>
      </c>
      <c r="E501" s="22" t="s">
        <v>61</v>
      </c>
      <c r="F501" s="23" t="s">
        <v>317</v>
      </c>
      <c r="G501" s="22" t="s">
        <v>95</v>
      </c>
      <c r="H501" s="24" t="s">
        <v>300</v>
      </c>
      <c r="I501" s="24" t="s">
        <v>101</v>
      </c>
      <c r="J501" s="25" t="n">
        <v>56.59</v>
      </c>
      <c r="K501" s="26" t="n">
        <v>430000</v>
      </c>
      <c r="L501" s="27" t="n">
        <f aca="false">K501/J501</f>
        <v>7598.51563880544</v>
      </c>
      <c r="M501" s="28" t="s">
        <v>64</v>
      </c>
      <c r="N501" s="29"/>
      <c r="O501" s="30" t="n">
        <f aca="false">K501+N501</f>
        <v>430000</v>
      </c>
      <c r="P501" s="30" t="n">
        <f aca="false">ROUND(O501/J501, 2)</f>
        <v>7598.52</v>
      </c>
      <c r="Q501" s="25" t="s">
        <v>133</v>
      </c>
      <c r="R501" s="22" t="s">
        <v>26</v>
      </c>
      <c r="S501" s="25" t="s">
        <v>29</v>
      </c>
      <c r="T501" s="24" t="s">
        <v>30</v>
      </c>
      <c r="U501" s="31" t="s">
        <v>31</v>
      </c>
      <c r="V501" s="31" t="n">
        <v>43343</v>
      </c>
      <c r="W501" s="18"/>
      <c r="X501" s="18"/>
    </row>
    <row r="502" s="32" customFormat="true" ht="13.8" hidden="false" customHeight="false" outlineLevel="0" collapsed="false">
      <c r="A502" s="18"/>
      <c r="B502" s="19" t="n">
        <v>5089</v>
      </c>
      <c r="C502" s="20" t="n">
        <v>43243</v>
      </c>
      <c r="D502" s="21" t="s">
        <v>22</v>
      </c>
      <c r="E502" s="22" t="s">
        <v>198</v>
      </c>
      <c r="F502" s="23" t="s">
        <v>199</v>
      </c>
      <c r="G502" s="22" t="s">
        <v>49</v>
      </c>
      <c r="H502" s="24" t="s">
        <v>47</v>
      </c>
      <c r="I502" s="24" t="s">
        <v>49</v>
      </c>
      <c r="J502" s="25" t="n">
        <v>64.6</v>
      </c>
      <c r="K502" s="26" t="n">
        <v>390769</v>
      </c>
      <c r="L502" s="27" t="n">
        <f aca="false">K502/J502</f>
        <v>6049.05572755418</v>
      </c>
      <c r="M502" s="28"/>
      <c r="N502" s="29"/>
      <c r="O502" s="30" t="n">
        <f aca="false">K502+N502</f>
        <v>390769</v>
      </c>
      <c r="P502" s="30" t="n">
        <f aca="false">ROUND(O502/J502, 2)</f>
        <v>6049.06</v>
      </c>
      <c r="Q502" s="25" t="s">
        <v>85</v>
      </c>
      <c r="R502" s="22" t="s">
        <v>26</v>
      </c>
      <c r="S502" s="25" t="s">
        <v>29</v>
      </c>
      <c r="T502" s="24" t="s">
        <v>30</v>
      </c>
      <c r="U502" s="31" t="s">
        <v>31</v>
      </c>
      <c r="V502" s="31" t="n">
        <v>43343</v>
      </c>
      <c r="W502" s="34"/>
      <c r="X502" s="34"/>
    </row>
    <row r="503" s="32" customFormat="true" ht="13.8" hidden="false" customHeight="false" outlineLevel="0" collapsed="false">
      <c r="A503" s="18"/>
      <c r="B503" s="19" t="n">
        <v>1331</v>
      </c>
      <c r="C503" s="20" t="n">
        <v>43243</v>
      </c>
      <c r="D503" s="21" t="s">
        <v>22</v>
      </c>
      <c r="E503" s="22" t="s">
        <v>42</v>
      </c>
      <c r="F503" s="23" t="s">
        <v>301</v>
      </c>
      <c r="G503" s="22" t="s">
        <v>336</v>
      </c>
      <c r="H503" s="24" t="s">
        <v>135</v>
      </c>
      <c r="I503" s="24" t="s">
        <v>26</v>
      </c>
      <c r="J503" s="25" t="n">
        <v>38.9</v>
      </c>
      <c r="K503" s="26" t="n">
        <v>340000</v>
      </c>
      <c r="L503" s="27" t="n">
        <f aca="false">K503/J503</f>
        <v>8740.35989717224</v>
      </c>
      <c r="M503" s="28" t="s">
        <v>64</v>
      </c>
      <c r="N503" s="29"/>
      <c r="O503" s="30" t="n">
        <f aca="false">K503+N503</f>
        <v>340000</v>
      </c>
      <c r="P503" s="30" t="n">
        <f aca="false">ROUND(O503/J503, 2)</f>
        <v>8740.36</v>
      </c>
      <c r="Q503" s="25" t="s">
        <v>50</v>
      </c>
      <c r="R503" s="22" t="s">
        <v>36</v>
      </c>
      <c r="S503" s="25" t="s">
        <v>29</v>
      </c>
      <c r="T503" s="24" t="s">
        <v>30</v>
      </c>
      <c r="U503" s="31" t="s">
        <v>31</v>
      </c>
      <c r="V503" s="31" t="n">
        <v>43343</v>
      </c>
      <c r="W503" s="34"/>
      <c r="X503" s="34"/>
    </row>
    <row r="504" s="32" customFormat="true" ht="13.8" hidden="false" customHeight="false" outlineLevel="0" collapsed="false">
      <c r="A504" s="18"/>
      <c r="B504" s="19" t="n">
        <v>3563</v>
      </c>
      <c r="C504" s="20" t="n">
        <v>43243</v>
      </c>
      <c r="D504" s="21" t="s">
        <v>22</v>
      </c>
      <c r="E504" s="22" t="s">
        <v>322</v>
      </c>
      <c r="F504" s="23" t="s">
        <v>323</v>
      </c>
      <c r="G504" s="22" t="s">
        <v>49</v>
      </c>
      <c r="H504" s="24" t="s">
        <v>174</v>
      </c>
      <c r="I504" s="24" t="s">
        <v>82</v>
      </c>
      <c r="J504" s="25" t="n">
        <v>73.45</v>
      </c>
      <c r="K504" s="26" t="n">
        <v>750000</v>
      </c>
      <c r="L504" s="27" t="n">
        <f aca="false">K504/J504</f>
        <v>10211.027910143</v>
      </c>
      <c r="M504" s="28" t="s">
        <v>787</v>
      </c>
      <c r="N504" s="29"/>
      <c r="O504" s="30" t="n">
        <f aca="false">K504+N504</f>
        <v>750000</v>
      </c>
      <c r="P504" s="30" t="n">
        <f aca="false">ROUND(O504/J504, 2)</f>
        <v>10211.03</v>
      </c>
      <c r="Q504" s="25" t="s">
        <v>85</v>
      </c>
      <c r="R504" s="22" t="s">
        <v>26</v>
      </c>
      <c r="S504" s="25" t="s">
        <v>29</v>
      </c>
      <c r="T504" s="24" t="s">
        <v>30</v>
      </c>
      <c r="U504" s="31" t="s">
        <v>31</v>
      </c>
      <c r="V504" s="31" t="n">
        <v>43343</v>
      </c>
      <c r="W504" s="34"/>
      <c r="X504" s="34"/>
    </row>
    <row r="505" s="32" customFormat="true" ht="13.8" hidden="false" customHeight="false" outlineLevel="0" collapsed="false">
      <c r="A505" s="18"/>
      <c r="B505" s="19" t="n">
        <v>4324</v>
      </c>
      <c r="C505" s="20" t="n">
        <v>43243</v>
      </c>
      <c r="D505" s="21" t="s">
        <v>22</v>
      </c>
      <c r="E505" s="22" t="s">
        <v>622</v>
      </c>
      <c r="F505" s="23" t="s">
        <v>38</v>
      </c>
      <c r="G505" s="22" t="s">
        <v>657</v>
      </c>
      <c r="H505" s="24" t="s">
        <v>554</v>
      </c>
      <c r="I505" s="24" t="s">
        <v>112</v>
      </c>
      <c r="J505" s="25" t="n">
        <v>37.4</v>
      </c>
      <c r="K505" s="26" t="n">
        <v>275000</v>
      </c>
      <c r="L505" s="27" t="n">
        <f aca="false">K505/J505</f>
        <v>7352.94117647059</v>
      </c>
      <c r="M505" s="28"/>
      <c r="N505" s="29"/>
      <c r="O505" s="30" t="n">
        <f aca="false">K505+N505</f>
        <v>275000</v>
      </c>
      <c r="P505" s="30" t="n">
        <f aca="false">ROUND(O505/J505, 2)</f>
        <v>7352.94</v>
      </c>
      <c r="Q505" s="25" t="s">
        <v>50</v>
      </c>
      <c r="R505" s="22" t="s">
        <v>36</v>
      </c>
      <c r="S505" s="25" t="s">
        <v>29</v>
      </c>
      <c r="T505" s="24" t="s">
        <v>30</v>
      </c>
      <c r="U505" s="31" t="s">
        <v>31</v>
      </c>
      <c r="V505" s="31" t="n">
        <v>43343</v>
      </c>
      <c r="W505" s="18"/>
      <c r="X505" s="18"/>
      <c r="Y505" s="35"/>
      <c r="Z505" s="43"/>
    </row>
    <row r="506" s="32" customFormat="true" ht="13.8" hidden="false" customHeight="false" outlineLevel="0" collapsed="false">
      <c r="A506" s="18"/>
      <c r="B506" s="19" t="n">
        <v>6624</v>
      </c>
      <c r="C506" s="20" t="n">
        <v>43243</v>
      </c>
      <c r="D506" s="21" t="s">
        <v>22</v>
      </c>
      <c r="E506" s="22" t="s">
        <v>45</v>
      </c>
      <c r="F506" s="23" t="s">
        <v>788</v>
      </c>
      <c r="G506" s="22" t="s">
        <v>141</v>
      </c>
      <c r="H506" s="24" t="s">
        <v>445</v>
      </c>
      <c r="I506" s="24" t="s">
        <v>36</v>
      </c>
      <c r="J506" s="25" t="n">
        <v>55.68</v>
      </c>
      <c r="K506" s="26" t="n">
        <v>505000</v>
      </c>
      <c r="L506" s="27" t="n">
        <f aca="false">K506/J506</f>
        <v>9069.68390804598</v>
      </c>
      <c r="M506" s="28" t="s">
        <v>64</v>
      </c>
      <c r="N506" s="29"/>
      <c r="O506" s="30" t="n">
        <f aca="false">K506+N506</f>
        <v>505000</v>
      </c>
      <c r="P506" s="30" t="n">
        <f aca="false">ROUND(O506/J506, 2)</f>
        <v>9069.68</v>
      </c>
      <c r="Q506" s="25" t="s">
        <v>85</v>
      </c>
      <c r="R506" s="22" t="s">
        <v>26</v>
      </c>
      <c r="S506" s="25" t="s">
        <v>29</v>
      </c>
      <c r="T506" s="24" t="s">
        <v>30</v>
      </c>
      <c r="U506" s="31" t="s">
        <v>31</v>
      </c>
      <c r="V506" s="31" t="n">
        <v>43343</v>
      </c>
      <c r="W506" s="34"/>
      <c r="X506" s="34"/>
      <c r="Y506" s="1"/>
      <c r="Z506" s="1"/>
    </row>
    <row r="507" customFormat="false" ht="13.8" hidden="false" customHeight="false" outlineLevel="0" collapsed="false">
      <c r="A507" s="18"/>
      <c r="B507" s="19" t="n">
        <v>3275</v>
      </c>
      <c r="C507" s="20" t="n">
        <v>43243</v>
      </c>
      <c r="D507" s="21" t="s">
        <v>22</v>
      </c>
      <c r="E507" s="22" t="s">
        <v>375</v>
      </c>
      <c r="F507" s="23" t="s">
        <v>560</v>
      </c>
      <c r="G507" s="22" t="s">
        <v>115</v>
      </c>
      <c r="H507" s="24" t="s">
        <v>49</v>
      </c>
      <c r="I507" s="24" t="s">
        <v>27</v>
      </c>
      <c r="J507" s="25" t="n">
        <v>34.08</v>
      </c>
      <c r="K507" s="26" t="n">
        <v>315000</v>
      </c>
      <c r="L507" s="27" t="n">
        <f aca="false">K507/J507</f>
        <v>9242.95774647887</v>
      </c>
      <c r="M507" s="28"/>
      <c r="N507" s="29"/>
      <c r="O507" s="30" t="n">
        <f aca="false">K507+N507</f>
        <v>315000</v>
      </c>
      <c r="P507" s="30" t="n">
        <f aca="false">ROUND(O507/J507, 2)</f>
        <v>9242.96</v>
      </c>
      <c r="Q507" s="25" t="s">
        <v>41</v>
      </c>
      <c r="R507" s="22" t="s">
        <v>27</v>
      </c>
      <c r="S507" s="25" t="s">
        <v>29</v>
      </c>
      <c r="T507" s="24" t="s">
        <v>30</v>
      </c>
      <c r="U507" s="31" t="s">
        <v>31</v>
      </c>
      <c r="V507" s="31" t="n">
        <v>43343</v>
      </c>
      <c r="W507" s="34"/>
      <c r="X507" s="34"/>
    </row>
    <row r="508" customFormat="false" ht="13.8" hidden="false" customHeight="false" outlineLevel="0" collapsed="false">
      <c r="A508" s="18"/>
      <c r="B508" s="19" t="n">
        <v>2771</v>
      </c>
      <c r="C508" s="20" t="n">
        <v>43243</v>
      </c>
      <c r="D508" s="21" t="s">
        <v>22</v>
      </c>
      <c r="E508" s="22" t="s">
        <v>187</v>
      </c>
      <c r="F508" s="23" t="s">
        <v>271</v>
      </c>
      <c r="G508" s="22" t="s">
        <v>246</v>
      </c>
      <c r="H508" s="24" t="s">
        <v>193</v>
      </c>
      <c r="I508" s="24" t="s">
        <v>36</v>
      </c>
      <c r="J508" s="25" t="n">
        <v>18.22</v>
      </c>
      <c r="K508" s="26" t="n">
        <v>240000</v>
      </c>
      <c r="L508" s="27" t="n">
        <f aca="false">K508/J508</f>
        <v>13172.338090011</v>
      </c>
      <c r="M508" s="28" t="s">
        <v>64</v>
      </c>
      <c r="N508" s="29"/>
      <c r="O508" s="30" t="n">
        <f aca="false">K508+N508</f>
        <v>240000</v>
      </c>
      <c r="P508" s="30" t="n">
        <f aca="false">ROUND(O508/J508, 2)</f>
        <v>13172.34</v>
      </c>
      <c r="Q508" s="25" t="s">
        <v>383</v>
      </c>
      <c r="R508" s="22" t="s">
        <v>27</v>
      </c>
      <c r="S508" s="25" t="s">
        <v>29</v>
      </c>
      <c r="T508" s="24" t="s">
        <v>30</v>
      </c>
      <c r="U508" s="31" t="s">
        <v>31</v>
      </c>
      <c r="V508" s="31" t="n">
        <v>43343</v>
      </c>
      <c r="W508" s="34"/>
      <c r="X508" s="34"/>
    </row>
    <row r="509" customFormat="false" ht="13.8" hidden="false" customHeight="false" outlineLevel="0" collapsed="false">
      <c r="A509" s="18"/>
      <c r="B509" s="19" t="n">
        <v>1299</v>
      </c>
      <c r="C509" s="20" t="n">
        <v>43243</v>
      </c>
      <c r="D509" s="21" t="s">
        <v>22</v>
      </c>
      <c r="E509" s="22" t="s">
        <v>354</v>
      </c>
      <c r="F509" s="23" t="s">
        <v>565</v>
      </c>
      <c r="G509" s="22" t="s">
        <v>163</v>
      </c>
      <c r="H509" s="24" t="s">
        <v>25</v>
      </c>
      <c r="I509" s="24" t="s">
        <v>26</v>
      </c>
      <c r="J509" s="25" t="n">
        <v>82.93</v>
      </c>
      <c r="K509" s="26" t="n">
        <v>734000</v>
      </c>
      <c r="L509" s="27" t="n">
        <f aca="false">K509/J509</f>
        <v>8850.83805619197</v>
      </c>
      <c r="M509" s="28" t="s">
        <v>789</v>
      </c>
      <c r="N509" s="29" t="n">
        <v>46000</v>
      </c>
      <c r="O509" s="30" t="n">
        <f aca="false">K509+N509</f>
        <v>780000</v>
      </c>
      <c r="P509" s="30" t="n">
        <f aca="false">ROUND(O509/J509, 2)</f>
        <v>9405.52</v>
      </c>
      <c r="Q509" s="25" t="s">
        <v>232</v>
      </c>
      <c r="R509" s="22" t="s">
        <v>26</v>
      </c>
      <c r="S509" s="25" t="s">
        <v>29</v>
      </c>
      <c r="T509" s="24" t="s">
        <v>30</v>
      </c>
      <c r="U509" s="31" t="s">
        <v>31</v>
      </c>
      <c r="V509" s="31" t="n">
        <v>43343</v>
      </c>
      <c r="W509" s="18"/>
      <c r="X509" s="18"/>
    </row>
    <row r="510" customFormat="false" ht="13.8" hidden="false" customHeight="false" outlineLevel="0" collapsed="false">
      <c r="A510" s="18"/>
      <c r="B510" s="19" t="n">
        <v>4643</v>
      </c>
      <c r="C510" s="20" t="n">
        <v>43243</v>
      </c>
      <c r="D510" s="21" t="s">
        <v>22</v>
      </c>
      <c r="E510" s="22" t="s">
        <v>215</v>
      </c>
      <c r="F510" s="23" t="s">
        <v>216</v>
      </c>
      <c r="G510" s="22" t="s">
        <v>36</v>
      </c>
      <c r="H510" s="24" t="s">
        <v>790</v>
      </c>
      <c r="I510" s="24" t="s">
        <v>697</v>
      </c>
      <c r="J510" s="25" t="n">
        <f aca="false">71.19-2.48</f>
        <v>68.71</v>
      </c>
      <c r="K510" s="26" t="n">
        <v>730000</v>
      </c>
      <c r="L510" s="27" t="n">
        <f aca="false">K510/J510</f>
        <v>10624.3632659002</v>
      </c>
      <c r="M510" s="28" t="s">
        <v>791</v>
      </c>
      <c r="N510" s="29" t="n">
        <v>120000</v>
      </c>
      <c r="O510" s="30" t="n">
        <f aca="false">K510+N510</f>
        <v>850000</v>
      </c>
      <c r="P510" s="30" t="n">
        <f aca="false">ROUND(O510/J510, 2)</f>
        <v>12370.83</v>
      </c>
      <c r="Q510" s="25" t="s">
        <v>491</v>
      </c>
      <c r="R510" s="22" t="s">
        <v>49</v>
      </c>
      <c r="S510" s="25" t="s">
        <v>29</v>
      </c>
      <c r="T510" s="24" t="s">
        <v>30</v>
      </c>
      <c r="U510" s="31" t="s">
        <v>31</v>
      </c>
      <c r="V510" s="31" t="n">
        <v>43343</v>
      </c>
      <c r="W510" s="34" t="s">
        <v>792</v>
      </c>
      <c r="X510" s="18"/>
    </row>
    <row r="511" customFormat="false" ht="13.8" hidden="false" customHeight="false" outlineLevel="0" collapsed="false">
      <c r="A511" s="18"/>
      <c r="B511" s="19" t="n">
        <v>2548</v>
      </c>
      <c r="C511" s="20" t="n">
        <v>43244</v>
      </c>
      <c r="D511" s="21" t="s">
        <v>22</v>
      </c>
      <c r="E511" s="22" t="s">
        <v>72</v>
      </c>
      <c r="F511" s="23" t="s">
        <v>733</v>
      </c>
      <c r="G511" s="22" t="s">
        <v>112</v>
      </c>
      <c r="H511" s="24" t="s">
        <v>27</v>
      </c>
      <c r="I511" s="24" t="s">
        <v>49</v>
      </c>
      <c r="J511" s="25" t="n">
        <v>261</v>
      </c>
      <c r="K511" s="26" t="n">
        <v>2600000</v>
      </c>
      <c r="L511" s="27" t="n">
        <f aca="false">K511/J511</f>
        <v>9961.68582375479</v>
      </c>
      <c r="M511" s="28"/>
      <c r="N511" s="29"/>
      <c r="O511" s="30" t="n">
        <f aca="false">K511+N511</f>
        <v>2600000</v>
      </c>
      <c r="P511" s="30" t="n">
        <f aca="false">ROUND(O511/J511, 2)</f>
        <v>9961.69</v>
      </c>
      <c r="Q511" s="25" t="s">
        <v>793</v>
      </c>
      <c r="R511" s="22" t="s">
        <v>697</v>
      </c>
      <c r="S511" s="25" t="s">
        <v>29</v>
      </c>
      <c r="T511" s="24" t="s">
        <v>30</v>
      </c>
      <c r="U511" s="31" t="s">
        <v>31</v>
      </c>
      <c r="V511" s="31" t="n">
        <v>43343</v>
      </c>
      <c r="W511" s="34" t="s">
        <v>794</v>
      </c>
      <c r="X511" s="18"/>
    </row>
    <row r="512" customFormat="false" ht="13.8" hidden="false" customHeight="false" outlineLevel="0" collapsed="false">
      <c r="A512" s="18"/>
      <c r="B512" s="19" t="n">
        <v>972</v>
      </c>
      <c r="C512" s="20" t="n">
        <v>43244</v>
      </c>
      <c r="D512" s="21" t="s">
        <v>22</v>
      </c>
      <c r="E512" s="22" t="s">
        <v>284</v>
      </c>
      <c r="F512" s="23" t="s">
        <v>404</v>
      </c>
      <c r="G512" s="22" t="s">
        <v>154</v>
      </c>
      <c r="H512" s="24" t="s">
        <v>126</v>
      </c>
      <c r="I512" s="24" t="s">
        <v>57</v>
      </c>
      <c r="J512" s="25" t="n">
        <f aca="false">91.05</f>
        <v>91.05</v>
      </c>
      <c r="K512" s="26" t="n">
        <v>1075000</v>
      </c>
      <c r="L512" s="27" t="n">
        <f aca="false">K512/J512</f>
        <v>11806.6996155958</v>
      </c>
      <c r="M512" s="28" t="s">
        <v>795</v>
      </c>
      <c r="N512" s="29" t="n">
        <v>50000</v>
      </c>
      <c r="O512" s="30" t="n">
        <f aca="false">K512+N512</f>
        <v>1125000</v>
      </c>
      <c r="P512" s="30" t="n">
        <f aca="false">ROUND(O512/J512, 2)</f>
        <v>12355.85</v>
      </c>
      <c r="Q512" s="25" t="s">
        <v>85</v>
      </c>
      <c r="R512" s="22" t="s">
        <v>26</v>
      </c>
      <c r="S512" s="25" t="s">
        <v>29</v>
      </c>
      <c r="T512" s="24" t="s">
        <v>30</v>
      </c>
      <c r="U512" s="31" t="s">
        <v>31</v>
      </c>
      <c r="V512" s="31" t="n">
        <v>43343</v>
      </c>
      <c r="W512" s="34" t="s">
        <v>796</v>
      </c>
      <c r="X512" s="18"/>
    </row>
    <row r="513" customFormat="false" ht="13.8" hidden="false" customHeight="false" outlineLevel="0" collapsed="false">
      <c r="A513" s="18"/>
      <c r="B513" s="19" t="n">
        <v>4778</v>
      </c>
      <c r="C513" s="20" t="n">
        <v>43244</v>
      </c>
      <c r="D513" s="21" t="s">
        <v>22</v>
      </c>
      <c r="E513" s="22" t="s">
        <v>178</v>
      </c>
      <c r="F513" s="23" t="s">
        <v>219</v>
      </c>
      <c r="G513" s="22" t="s">
        <v>27</v>
      </c>
      <c r="H513" s="24" t="s">
        <v>74</v>
      </c>
      <c r="I513" s="24" t="s">
        <v>57</v>
      </c>
      <c r="J513" s="25" t="n">
        <v>36.56</v>
      </c>
      <c r="K513" s="26" t="n">
        <v>276000</v>
      </c>
      <c r="L513" s="27" t="n">
        <f aca="false">K513/J513</f>
        <v>7549.2341356674</v>
      </c>
      <c r="M513" s="28" t="s">
        <v>64</v>
      </c>
      <c r="N513" s="29"/>
      <c r="O513" s="30" t="n">
        <f aca="false">K513+N513</f>
        <v>276000</v>
      </c>
      <c r="P513" s="30" t="n">
        <f aca="false">ROUND(O513/J513, 2)</f>
        <v>7549.23</v>
      </c>
      <c r="Q513" s="25" t="s">
        <v>41</v>
      </c>
      <c r="R513" s="22" t="s">
        <v>27</v>
      </c>
      <c r="S513" s="25" t="s">
        <v>29</v>
      </c>
      <c r="T513" s="24" t="s">
        <v>30</v>
      </c>
      <c r="U513" s="31" t="s">
        <v>31</v>
      </c>
      <c r="V513" s="31" t="n">
        <v>43343</v>
      </c>
      <c r="W513" s="18"/>
      <c r="X513" s="18"/>
    </row>
    <row r="514" customFormat="false" ht="13.8" hidden="false" customHeight="false" outlineLevel="0" collapsed="false">
      <c r="A514" s="18"/>
      <c r="B514" s="19" t="n">
        <v>1265</v>
      </c>
      <c r="C514" s="20" t="n">
        <v>43245</v>
      </c>
      <c r="D514" s="21" t="s">
        <v>22</v>
      </c>
      <c r="E514" s="22" t="s">
        <v>212</v>
      </c>
      <c r="F514" s="23" t="s">
        <v>76</v>
      </c>
      <c r="G514" s="22" t="s">
        <v>797</v>
      </c>
      <c r="H514" s="24" t="s">
        <v>47</v>
      </c>
      <c r="I514" s="24" t="s">
        <v>49</v>
      </c>
      <c r="J514" s="25" t="n">
        <f aca="false">44.8-1</f>
        <v>43.8</v>
      </c>
      <c r="K514" s="26" t="n">
        <v>369000</v>
      </c>
      <c r="L514" s="27" t="n">
        <f aca="false">K514/J514</f>
        <v>8424.65753424658</v>
      </c>
      <c r="M514" s="28" t="s">
        <v>798</v>
      </c>
      <c r="N514" s="29"/>
      <c r="O514" s="30" t="n">
        <f aca="false">K514+N514</f>
        <v>369000</v>
      </c>
      <c r="P514" s="30" t="n">
        <f aca="false">ROUND(O514/J514, 2)</f>
        <v>8424.66</v>
      </c>
      <c r="Q514" s="25" t="s">
        <v>50</v>
      </c>
      <c r="R514" s="22" t="s">
        <v>36</v>
      </c>
      <c r="S514" s="25" t="s">
        <v>29</v>
      </c>
      <c r="T514" s="24" t="s">
        <v>30</v>
      </c>
      <c r="U514" s="31" t="s">
        <v>31</v>
      </c>
      <c r="V514" s="31" t="n">
        <v>43343</v>
      </c>
      <c r="W514" s="34"/>
      <c r="X514" s="34"/>
    </row>
    <row r="515" customFormat="false" ht="13.8" hidden="false" customHeight="false" outlineLevel="0" collapsed="false">
      <c r="A515" s="18"/>
      <c r="B515" s="19" t="n">
        <v>6877</v>
      </c>
      <c r="C515" s="20" t="n">
        <v>43245</v>
      </c>
      <c r="D515" s="21" t="s">
        <v>22</v>
      </c>
      <c r="E515" s="22" t="s">
        <v>129</v>
      </c>
      <c r="F515" s="23" t="s">
        <v>130</v>
      </c>
      <c r="G515" s="22" t="s">
        <v>49</v>
      </c>
      <c r="H515" s="24" t="s">
        <v>799</v>
      </c>
      <c r="I515" s="24" t="s">
        <v>25</v>
      </c>
      <c r="J515" s="25" t="n">
        <f aca="false">56.45-12.04</f>
        <v>44.41</v>
      </c>
      <c r="K515" s="26" t="n">
        <v>360000</v>
      </c>
      <c r="L515" s="27" t="n">
        <f aca="false">K515/J515</f>
        <v>8106.28236883585</v>
      </c>
      <c r="M515" s="28" t="s">
        <v>800</v>
      </c>
      <c r="N515" s="29"/>
      <c r="O515" s="30" t="n">
        <f aca="false">K515+N515</f>
        <v>360000</v>
      </c>
      <c r="P515" s="30" t="n">
        <f aca="false">ROUND(O515/J515, 2)</f>
        <v>8106.28</v>
      </c>
      <c r="Q515" s="25" t="s">
        <v>801</v>
      </c>
      <c r="R515" s="22" t="s">
        <v>27</v>
      </c>
      <c r="S515" s="25" t="s">
        <v>29</v>
      </c>
      <c r="T515" s="24" t="s">
        <v>30</v>
      </c>
      <c r="U515" s="31" t="s">
        <v>31</v>
      </c>
      <c r="V515" s="31" t="n">
        <v>43343</v>
      </c>
      <c r="W515" s="34"/>
      <c r="X515" s="34"/>
    </row>
    <row r="516" customFormat="false" ht="13.8" hidden="false" customHeight="false" outlineLevel="0" collapsed="false">
      <c r="A516" s="18"/>
      <c r="B516" s="19" t="n">
        <v>3703</v>
      </c>
      <c r="C516" s="20" t="n">
        <v>43245</v>
      </c>
      <c r="D516" s="21" t="s">
        <v>22</v>
      </c>
      <c r="E516" s="22" t="s">
        <v>452</v>
      </c>
      <c r="F516" s="23" t="s">
        <v>199</v>
      </c>
      <c r="G516" s="22" t="s">
        <v>154</v>
      </c>
      <c r="H516" s="24" t="s">
        <v>269</v>
      </c>
      <c r="I516" s="24" t="s">
        <v>25</v>
      </c>
      <c r="J516" s="25" t="n">
        <v>52.86</v>
      </c>
      <c r="K516" s="26" t="n">
        <v>445000</v>
      </c>
      <c r="L516" s="27" t="n">
        <f aca="false">K516/J516</f>
        <v>8418.46386681801</v>
      </c>
      <c r="M516" s="28" t="s">
        <v>64</v>
      </c>
      <c r="N516" s="29"/>
      <c r="O516" s="30" t="n">
        <f aca="false">K516+N516</f>
        <v>445000</v>
      </c>
      <c r="P516" s="30" t="n">
        <f aca="false">ROUND(O516/J516, 2)</f>
        <v>8418.46</v>
      </c>
      <c r="Q516" s="25" t="s">
        <v>85</v>
      </c>
      <c r="R516" s="22" t="s">
        <v>26</v>
      </c>
      <c r="S516" s="25" t="s">
        <v>29</v>
      </c>
      <c r="T516" s="24" t="s">
        <v>30</v>
      </c>
      <c r="U516" s="31" t="s">
        <v>31</v>
      </c>
      <c r="V516" s="31" t="n">
        <v>43343</v>
      </c>
      <c r="W516" s="18"/>
      <c r="X516" s="18"/>
    </row>
    <row r="517" customFormat="false" ht="13.8" hidden="false" customHeight="false" outlineLevel="0" collapsed="false">
      <c r="A517" s="18"/>
      <c r="B517" s="19" t="n">
        <v>3572</v>
      </c>
      <c r="C517" s="20" t="n">
        <v>43245</v>
      </c>
      <c r="D517" s="21" t="s">
        <v>22</v>
      </c>
      <c r="E517" s="22" t="s">
        <v>354</v>
      </c>
      <c r="F517" s="23" t="s">
        <v>191</v>
      </c>
      <c r="G517" s="22" t="s">
        <v>802</v>
      </c>
      <c r="H517" s="24" t="s">
        <v>112</v>
      </c>
      <c r="I517" s="24" t="s">
        <v>26</v>
      </c>
      <c r="J517" s="25" t="n">
        <v>35.68</v>
      </c>
      <c r="K517" s="26" t="n">
        <v>310000</v>
      </c>
      <c r="L517" s="27" t="n">
        <f aca="false">K517/J517</f>
        <v>8688.34080717489</v>
      </c>
      <c r="M517" s="28"/>
      <c r="N517" s="29"/>
      <c r="O517" s="30" t="n">
        <f aca="false">K517+N517</f>
        <v>310000</v>
      </c>
      <c r="P517" s="30" t="n">
        <f aca="false">ROUND(O517/J517, 2)</f>
        <v>8688.34</v>
      </c>
      <c r="Q517" s="25" t="s">
        <v>41</v>
      </c>
      <c r="R517" s="22" t="s">
        <v>27</v>
      </c>
      <c r="S517" s="25" t="s">
        <v>29</v>
      </c>
      <c r="T517" s="24" t="s">
        <v>30</v>
      </c>
      <c r="U517" s="31" t="s">
        <v>31</v>
      </c>
      <c r="V517" s="31" t="n">
        <v>43343</v>
      </c>
      <c r="W517" s="18"/>
      <c r="X517" s="18"/>
    </row>
    <row r="518" customFormat="false" ht="13.8" hidden="false" customHeight="false" outlineLevel="0" collapsed="false">
      <c r="A518" s="18"/>
      <c r="B518" s="19" t="n">
        <v>6938</v>
      </c>
      <c r="C518" s="20" t="n">
        <v>43245</v>
      </c>
      <c r="D518" s="21" t="s">
        <v>22</v>
      </c>
      <c r="E518" s="22" t="s">
        <v>118</v>
      </c>
      <c r="F518" s="23" t="s">
        <v>119</v>
      </c>
      <c r="G518" s="22" t="s">
        <v>200</v>
      </c>
      <c r="H518" s="24" t="s">
        <v>380</v>
      </c>
      <c r="I518" s="24" t="s">
        <v>49</v>
      </c>
      <c r="J518" s="25" t="n">
        <v>46.7</v>
      </c>
      <c r="K518" s="26" t="n">
        <v>340000</v>
      </c>
      <c r="L518" s="27" t="n">
        <f aca="false">K518/J518</f>
        <v>7280.51391862955</v>
      </c>
      <c r="M518" s="28"/>
      <c r="N518" s="29"/>
      <c r="O518" s="30" t="n">
        <f aca="false">K518+N518</f>
        <v>340000</v>
      </c>
      <c r="P518" s="30" t="n">
        <f aca="false">ROUND(O518/J518, 2)</f>
        <v>7280.51</v>
      </c>
      <c r="Q518" s="25" t="s">
        <v>50</v>
      </c>
      <c r="R518" s="22" t="s">
        <v>36</v>
      </c>
      <c r="S518" s="25" t="s">
        <v>29</v>
      </c>
      <c r="T518" s="24" t="s">
        <v>30</v>
      </c>
      <c r="U518" s="31" t="s">
        <v>31</v>
      </c>
      <c r="V518" s="31" t="n">
        <v>43343</v>
      </c>
      <c r="W518" s="18"/>
      <c r="X518" s="18"/>
    </row>
    <row r="519" customFormat="false" ht="13.8" hidden="false" customHeight="false" outlineLevel="0" collapsed="false">
      <c r="A519" s="18"/>
      <c r="B519" s="19" t="n">
        <v>2790</v>
      </c>
      <c r="C519" s="20" t="n">
        <v>43245</v>
      </c>
      <c r="D519" s="21" t="s">
        <v>22</v>
      </c>
      <c r="E519" s="22" t="s">
        <v>61</v>
      </c>
      <c r="F519" s="23" t="s">
        <v>46</v>
      </c>
      <c r="G519" s="22" t="s">
        <v>803</v>
      </c>
      <c r="H519" s="24" t="s">
        <v>280</v>
      </c>
      <c r="I519" s="24" t="s">
        <v>49</v>
      </c>
      <c r="J519" s="25" t="n">
        <v>31</v>
      </c>
      <c r="K519" s="26" t="n">
        <v>260000</v>
      </c>
      <c r="L519" s="27" t="n">
        <f aca="false">K519/J519</f>
        <v>8387.09677419355</v>
      </c>
      <c r="M519" s="28" t="s">
        <v>64</v>
      </c>
      <c r="N519" s="29"/>
      <c r="O519" s="30" t="n">
        <f aca="false">K519+N519</f>
        <v>260000</v>
      </c>
      <c r="P519" s="30" t="n">
        <f aca="false">ROUND(O519/J519, 2)</f>
        <v>8387.1</v>
      </c>
      <c r="Q519" s="25" t="s">
        <v>41</v>
      </c>
      <c r="R519" s="22" t="s">
        <v>27</v>
      </c>
      <c r="S519" s="25" t="s">
        <v>29</v>
      </c>
      <c r="T519" s="24" t="s">
        <v>30</v>
      </c>
      <c r="U519" s="31" t="s">
        <v>31</v>
      </c>
      <c r="V519" s="31" t="n">
        <v>43343</v>
      </c>
      <c r="W519" s="18"/>
      <c r="X519" s="18"/>
    </row>
    <row r="520" customFormat="false" ht="13.8" hidden="false" customHeight="false" outlineLevel="0" collapsed="false">
      <c r="A520" s="18"/>
      <c r="B520" s="19" t="n">
        <v>2196</v>
      </c>
      <c r="C520" s="20" t="n">
        <v>43245</v>
      </c>
      <c r="D520" s="21" t="s">
        <v>22</v>
      </c>
      <c r="E520" s="22" t="s">
        <v>187</v>
      </c>
      <c r="F520" s="23" t="s">
        <v>271</v>
      </c>
      <c r="G520" s="22" t="s">
        <v>246</v>
      </c>
      <c r="H520" s="24" t="s">
        <v>177</v>
      </c>
      <c r="I520" s="24" t="s">
        <v>49</v>
      </c>
      <c r="J520" s="25" t="n">
        <v>18.92</v>
      </c>
      <c r="K520" s="26" t="n">
        <v>269000</v>
      </c>
      <c r="L520" s="27" t="n">
        <f aca="false">K520/J520</f>
        <v>14217.7589852008</v>
      </c>
      <c r="M520" s="28"/>
      <c r="N520" s="29"/>
      <c r="O520" s="30" t="n">
        <f aca="false">K520+N520</f>
        <v>269000</v>
      </c>
      <c r="P520" s="30" t="n">
        <f aca="false">ROUND(O520/J520, 2)</f>
        <v>14217.76</v>
      </c>
      <c r="Q520" s="25" t="s">
        <v>182</v>
      </c>
      <c r="R520" s="22" t="s">
        <v>27</v>
      </c>
      <c r="S520" s="25" t="s">
        <v>29</v>
      </c>
      <c r="T520" s="24" t="s">
        <v>30</v>
      </c>
      <c r="U520" s="31" t="s">
        <v>31</v>
      </c>
      <c r="V520" s="31" t="n">
        <v>43343</v>
      </c>
      <c r="W520" s="18"/>
      <c r="X520" s="18"/>
    </row>
    <row r="521" customFormat="false" ht="13.8" hidden="false" customHeight="false" outlineLevel="0" collapsed="false">
      <c r="A521" s="18"/>
      <c r="B521" s="19" t="n">
        <v>6000</v>
      </c>
      <c r="C521" s="20" t="n">
        <v>43245</v>
      </c>
      <c r="D521" s="21" t="s">
        <v>22</v>
      </c>
      <c r="E521" s="22" t="s">
        <v>103</v>
      </c>
      <c r="F521" s="23" t="s">
        <v>240</v>
      </c>
      <c r="G521" s="22" t="s">
        <v>27</v>
      </c>
      <c r="H521" s="24" t="s">
        <v>222</v>
      </c>
      <c r="I521" s="24" t="s">
        <v>25</v>
      </c>
      <c r="J521" s="25" t="n">
        <v>176.8</v>
      </c>
      <c r="K521" s="26" t="n">
        <v>900000</v>
      </c>
      <c r="L521" s="27" t="n">
        <f aca="false">K521/J521</f>
        <v>5090.49773755656</v>
      </c>
      <c r="M521" s="28" t="s">
        <v>234</v>
      </c>
      <c r="N521" s="29"/>
      <c r="O521" s="30" t="n">
        <f aca="false">K521+N521</f>
        <v>900000</v>
      </c>
      <c r="P521" s="30" t="n">
        <f aca="false">ROUND(O521/J521, 2)</f>
        <v>5090.5</v>
      </c>
      <c r="Q521" s="25" t="s">
        <v>91</v>
      </c>
      <c r="R521" s="22" t="s">
        <v>49</v>
      </c>
      <c r="S521" s="25" t="s">
        <v>29</v>
      </c>
      <c r="T521" s="24" t="s">
        <v>30</v>
      </c>
      <c r="U521" s="31" t="s">
        <v>31</v>
      </c>
      <c r="V521" s="31" t="n">
        <v>43343</v>
      </c>
      <c r="W521" s="18"/>
      <c r="X521" s="18"/>
    </row>
    <row r="522" customFormat="false" ht="13.8" hidden="false" customHeight="false" outlineLevel="0" collapsed="false">
      <c r="A522" s="18"/>
      <c r="B522" s="19" t="n">
        <v>1581</v>
      </c>
      <c r="C522" s="20" t="n">
        <v>43245</v>
      </c>
      <c r="D522" s="21" t="s">
        <v>22</v>
      </c>
      <c r="E522" s="22" t="s">
        <v>178</v>
      </c>
      <c r="F522" s="23" t="s">
        <v>219</v>
      </c>
      <c r="G522" s="22" t="s">
        <v>27</v>
      </c>
      <c r="H522" s="24" t="s">
        <v>197</v>
      </c>
      <c r="I522" s="24" t="s">
        <v>27</v>
      </c>
      <c r="J522" s="25" t="n">
        <v>35.9</v>
      </c>
      <c r="K522" s="26" t="n">
        <v>385000</v>
      </c>
      <c r="L522" s="27" t="n">
        <f aca="false">K522/J522</f>
        <v>10724.2339832869</v>
      </c>
      <c r="M522" s="28" t="s">
        <v>804</v>
      </c>
      <c r="N522" s="29"/>
      <c r="O522" s="30" t="n">
        <f aca="false">K522+N522</f>
        <v>385000</v>
      </c>
      <c r="P522" s="30" t="n">
        <f aca="false">ROUND(O522/J522, 2)</f>
        <v>10724.23</v>
      </c>
      <c r="Q522" s="25" t="s">
        <v>41</v>
      </c>
      <c r="R522" s="22" t="s">
        <v>27</v>
      </c>
      <c r="S522" s="25" t="s">
        <v>29</v>
      </c>
      <c r="T522" s="24" t="s">
        <v>30</v>
      </c>
      <c r="U522" s="31" t="s">
        <v>31</v>
      </c>
      <c r="V522" s="31" t="n">
        <v>43343</v>
      </c>
      <c r="W522" s="18"/>
      <c r="X522" s="18"/>
    </row>
    <row r="523" customFormat="false" ht="13.8" hidden="false" customHeight="false" outlineLevel="0" collapsed="false">
      <c r="A523" s="18"/>
      <c r="B523" s="19" t="n">
        <v>3419</v>
      </c>
      <c r="C523" s="20" t="n">
        <v>43245</v>
      </c>
      <c r="D523" s="21" t="s">
        <v>22</v>
      </c>
      <c r="E523" s="22" t="s">
        <v>122</v>
      </c>
      <c r="F523" s="23" t="s">
        <v>805</v>
      </c>
      <c r="G523" s="22" t="s">
        <v>259</v>
      </c>
      <c r="H523" s="24" t="s">
        <v>280</v>
      </c>
      <c r="I523" s="24" t="s">
        <v>111</v>
      </c>
      <c r="J523" s="25" t="n">
        <v>56.85</v>
      </c>
      <c r="K523" s="26" t="n">
        <v>310000</v>
      </c>
      <c r="L523" s="27" t="n">
        <f aca="false">K523/J523</f>
        <v>5452.94635004398</v>
      </c>
      <c r="M523" s="28"/>
      <c r="N523" s="29"/>
      <c r="O523" s="30" t="n">
        <f aca="false">K523+N523</f>
        <v>310000</v>
      </c>
      <c r="P523" s="30" t="n">
        <f aca="false">ROUND(O523/J523, 2)</f>
        <v>5452.95</v>
      </c>
      <c r="Q523" s="25" t="s">
        <v>85</v>
      </c>
      <c r="R523" s="22" t="s">
        <v>26</v>
      </c>
      <c r="S523" s="25" t="s">
        <v>29</v>
      </c>
      <c r="T523" s="24" t="s">
        <v>30</v>
      </c>
      <c r="U523" s="31" t="s">
        <v>31</v>
      </c>
      <c r="V523" s="31" t="n">
        <v>43343</v>
      </c>
      <c r="W523" s="18"/>
      <c r="X523" s="18"/>
      <c r="AMJ523" s="32"/>
    </row>
    <row r="524" s="32" customFormat="true" ht="13.8" hidden="false" customHeight="false" outlineLevel="0" collapsed="false">
      <c r="A524" s="18"/>
      <c r="B524" s="19" t="n">
        <v>1271</v>
      </c>
      <c r="C524" s="20" t="n">
        <v>43248</v>
      </c>
      <c r="D524" s="21" t="s">
        <v>22</v>
      </c>
      <c r="E524" s="22" t="s">
        <v>375</v>
      </c>
      <c r="F524" s="23" t="s">
        <v>376</v>
      </c>
      <c r="G524" s="22" t="s">
        <v>36</v>
      </c>
      <c r="H524" s="24" t="s">
        <v>200</v>
      </c>
      <c r="I524" s="24" t="s">
        <v>36</v>
      </c>
      <c r="J524" s="25" t="n">
        <v>53.27</v>
      </c>
      <c r="K524" s="26" t="n">
        <v>550000</v>
      </c>
      <c r="L524" s="27" t="n">
        <f aca="false">K524/J524</f>
        <v>10324.7606532758</v>
      </c>
      <c r="M524" s="28"/>
      <c r="N524" s="29"/>
      <c r="O524" s="30" t="n">
        <f aca="false">K524+N524</f>
        <v>550000</v>
      </c>
      <c r="P524" s="30" t="n">
        <f aca="false">ROUND(O524/J524, 2)</f>
        <v>10324.76</v>
      </c>
      <c r="Q524" s="25" t="s">
        <v>50</v>
      </c>
      <c r="R524" s="22" t="s">
        <v>36</v>
      </c>
      <c r="S524" s="25" t="s">
        <v>29</v>
      </c>
      <c r="T524" s="24" t="s">
        <v>30</v>
      </c>
      <c r="U524" s="31" t="s">
        <v>31</v>
      </c>
      <c r="V524" s="31" t="n">
        <v>43343</v>
      </c>
      <c r="W524" s="34"/>
      <c r="X524" s="34"/>
    </row>
    <row r="525" s="32" customFormat="true" ht="13.8" hidden="false" customHeight="false" outlineLevel="0" collapsed="false">
      <c r="A525" s="18"/>
      <c r="B525" s="19" t="s">
        <v>806</v>
      </c>
      <c r="C525" s="20" t="n">
        <v>43248</v>
      </c>
      <c r="D525" s="21" t="s">
        <v>22</v>
      </c>
      <c r="E525" s="22" t="s">
        <v>287</v>
      </c>
      <c r="F525" s="23" t="s">
        <v>288</v>
      </c>
      <c r="G525" s="22" t="s">
        <v>47</v>
      </c>
      <c r="H525" s="24" t="s">
        <v>111</v>
      </c>
      <c r="I525" s="24" t="s">
        <v>26</v>
      </c>
      <c r="J525" s="25" t="n">
        <v>36.04</v>
      </c>
      <c r="K525" s="26" t="n">
        <v>320000</v>
      </c>
      <c r="L525" s="27" t="n">
        <f aca="false">K525/J525</f>
        <v>8879.02330743618</v>
      </c>
      <c r="M525" s="28"/>
      <c r="N525" s="29"/>
      <c r="O525" s="30" t="n">
        <f aca="false">K525+N525</f>
        <v>320000</v>
      </c>
      <c r="P525" s="30" t="n">
        <f aca="false">ROUND(O525/J525, 2)</f>
        <v>8879.02</v>
      </c>
      <c r="Q525" s="25" t="s">
        <v>41</v>
      </c>
      <c r="R525" s="22" t="s">
        <v>27</v>
      </c>
      <c r="S525" s="25" t="s">
        <v>29</v>
      </c>
      <c r="T525" s="24" t="s">
        <v>30</v>
      </c>
      <c r="U525" s="31" t="s">
        <v>31</v>
      </c>
      <c r="V525" s="31" t="n">
        <v>43343</v>
      </c>
      <c r="W525" s="34" t="s">
        <v>807</v>
      </c>
      <c r="X525" s="34"/>
    </row>
    <row r="526" customFormat="false" ht="13.8" hidden="false" customHeight="false" outlineLevel="0" collapsed="false">
      <c r="A526" s="18"/>
      <c r="B526" s="19" t="n">
        <v>1709</v>
      </c>
      <c r="C526" s="20" t="n">
        <v>43248</v>
      </c>
      <c r="D526" s="21" t="s">
        <v>22</v>
      </c>
      <c r="E526" s="22" t="s">
        <v>212</v>
      </c>
      <c r="F526" s="23" t="s">
        <v>195</v>
      </c>
      <c r="G526" s="22" t="s">
        <v>213</v>
      </c>
      <c r="H526" s="24" t="s">
        <v>808</v>
      </c>
      <c r="I526" s="24" t="s">
        <v>27</v>
      </c>
      <c r="J526" s="25" t="n">
        <v>53.31</v>
      </c>
      <c r="K526" s="26" t="n">
        <v>360000</v>
      </c>
      <c r="L526" s="27" t="n">
        <f aca="false">K526/J526</f>
        <v>6752.95441755768</v>
      </c>
      <c r="M526" s="28"/>
      <c r="N526" s="29"/>
      <c r="O526" s="30" t="n">
        <f aca="false">K526+N526</f>
        <v>360000</v>
      </c>
      <c r="P526" s="30" t="n">
        <f aca="false">ROUND(O526/J526, 2)</f>
        <v>6752.95</v>
      </c>
      <c r="Q526" s="25" t="s">
        <v>85</v>
      </c>
      <c r="R526" s="22" t="s">
        <v>26</v>
      </c>
      <c r="S526" s="25" t="s">
        <v>29</v>
      </c>
      <c r="T526" s="24" t="s">
        <v>30</v>
      </c>
      <c r="U526" s="31" t="s">
        <v>31</v>
      </c>
      <c r="V526" s="31" t="n">
        <v>43343</v>
      </c>
      <c r="W526" s="18"/>
      <c r="X526" s="34"/>
      <c r="Y526" s="35"/>
      <c r="Z526" s="43"/>
      <c r="AMJ526" s="32"/>
    </row>
    <row r="527" s="32" customFormat="true" ht="13.8" hidden="false" customHeight="false" outlineLevel="0" collapsed="false">
      <c r="A527" s="18"/>
      <c r="B527" s="19" t="n">
        <v>1244</v>
      </c>
      <c r="C527" s="20" t="n">
        <v>43248</v>
      </c>
      <c r="D527" s="21" t="s">
        <v>22</v>
      </c>
      <c r="E527" s="22" t="s">
        <v>572</v>
      </c>
      <c r="F527" s="23" t="s">
        <v>809</v>
      </c>
      <c r="G527" s="22" t="s">
        <v>111</v>
      </c>
      <c r="H527" s="24" t="s">
        <v>810</v>
      </c>
      <c r="I527" s="24" t="s">
        <v>57</v>
      </c>
      <c r="J527" s="25" t="n">
        <f aca="false">59.9-2</f>
        <v>57.9</v>
      </c>
      <c r="K527" s="26" t="n">
        <v>390000</v>
      </c>
      <c r="L527" s="27" t="n">
        <f aca="false">K527/J527</f>
        <v>6735.75129533679</v>
      </c>
      <c r="M527" s="28" t="s">
        <v>811</v>
      </c>
      <c r="N527" s="29"/>
      <c r="O527" s="30" t="n">
        <f aca="false">K527+N527</f>
        <v>390000</v>
      </c>
      <c r="P527" s="30" t="n">
        <f aca="false">ROUND(O527/J527, 2)</f>
        <v>6735.75</v>
      </c>
      <c r="Q527" s="25" t="s">
        <v>85</v>
      </c>
      <c r="R527" s="22" t="s">
        <v>26</v>
      </c>
      <c r="S527" s="25" t="s">
        <v>29</v>
      </c>
      <c r="T527" s="24" t="s">
        <v>30</v>
      </c>
      <c r="U527" s="31" t="s">
        <v>31</v>
      </c>
      <c r="V527" s="31" t="n">
        <v>43343</v>
      </c>
      <c r="W527" s="18"/>
      <c r="X527" s="34"/>
    </row>
    <row r="528" s="32" customFormat="true" ht="13.8" hidden="false" customHeight="false" outlineLevel="0" collapsed="false">
      <c r="A528" s="18"/>
      <c r="B528" s="19" t="n">
        <v>564</v>
      </c>
      <c r="C528" s="20" t="n">
        <v>43248</v>
      </c>
      <c r="D528" s="21" t="s">
        <v>22</v>
      </c>
      <c r="E528" s="22" t="s">
        <v>37</v>
      </c>
      <c r="F528" s="23" t="s">
        <v>152</v>
      </c>
      <c r="G528" s="22" t="s">
        <v>147</v>
      </c>
      <c r="H528" s="24" t="s">
        <v>95</v>
      </c>
      <c r="I528" s="24" t="s">
        <v>27</v>
      </c>
      <c r="J528" s="25" t="n">
        <v>36.6</v>
      </c>
      <c r="K528" s="26" t="n">
        <v>320000</v>
      </c>
      <c r="L528" s="27" t="n">
        <f aca="false">K528/J528</f>
        <v>8743.1693989071</v>
      </c>
      <c r="M528" s="28"/>
      <c r="N528" s="29"/>
      <c r="O528" s="30" t="n">
        <f aca="false">K528+N528</f>
        <v>320000</v>
      </c>
      <c r="P528" s="30" t="n">
        <f aca="false">ROUND(O528/J528, 2)</f>
        <v>8743.17</v>
      </c>
      <c r="Q528" s="25" t="s">
        <v>41</v>
      </c>
      <c r="R528" s="22" t="s">
        <v>27</v>
      </c>
      <c r="S528" s="25" t="s">
        <v>29</v>
      </c>
      <c r="T528" s="24" t="s">
        <v>30</v>
      </c>
      <c r="U528" s="31" t="s">
        <v>31</v>
      </c>
      <c r="V528" s="31" t="n">
        <v>43343</v>
      </c>
      <c r="W528" s="18"/>
      <c r="X528" s="34"/>
    </row>
    <row r="529" s="32" customFormat="true" ht="13.8" hidden="false" customHeight="false" outlineLevel="0" collapsed="false">
      <c r="A529" s="18"/>
      <c r="B529" s="19" t="n">
        <v>3753</v>
      </c>
      <c r="C529" s="20" t="n">
        <v>43248</v>
      </c>
      <c r="D529" s="21" t="s">
        <v>22</v>
      </c>
      <c r="E529" s="22" t="s">
        <v>350</v>
      </c>
      <c r="F529" s="23" t="s">
        <v>812</v>
      </c>
      <c r="G529" s="22" t="s">
        <v>111</v>
      </c>
      <c r="H529" s="24" t="s">
        <v>599</v>
      </c>
      <c r="I529" s="24" t="s">
        <v>25</v>
      </c>
      <c r="J529" s="25" t="n">
        <v>37.53</v>
      </c>
      <c r="K529" s="26" t="n">
        <v>440000</v>
      </c>
      <c r="L529" s="27" t="n">
        <f aca="false">K529/J529</f>
        <v>11723.9541699973</v>
      </c>
      <c r="M529" s="28" t="s">
        <v>234</v>
      </c>
      <c r="N529" s="29"/>
      <c r="O529" s="30" t="n">
        <f aca="false">K529+N529</f>
        <v>440000</v>
      </c>
      <c r="P529" s="30" t="n">
        <f aca="false">ROUND(O529/J529, 2)</f>
        <v>11723.95</v>
      </c>
      <c r="Q529" s="25" t="s">
        <v>161</v>
      </c>
      <c r="R529" s="22" t="s">
        <v>36</v>
      </c>
      <c r="S529" s="25" t="s">
        <v>29</v>
      </c>
      <c r="T529" s="24" t="s">
        <v>30</v>
      </c>
      <c r="U529" s="31" t="s">
        <v>31</v>
      </c>
      <c r="V529" s="31" t="n">
        <v>43343</v>
      </c>
      <c r="W529" s="18"/>
      <c r="X529" s="34"/>
    </row>
    <row r="530" s="32" customFormat="true" ht="13.8" hidden="false" customHeight="false" outlineLevel="0" collapsed="false">
      <c r="A530" s="18"/>
      <c r="B530" s="19" t="n">
        <v>2139</v>
      </c>
      <c r="C530" s="20" t="n">
        <v>43248</v>
      </c>
      <c r="D530" s="21" t="s">
        <v>22</v>
      </c>
      <c r="E530" s="22" t="s">
        <v>109</v>
      </c>
      <c r="F530" s="23" t="s">
        <v>127</v>
      </c>
      <c r="G530" s="22" t="s">
        <v>275</v>
      </c>
      <c r="H530" s="24" t="s">
        <v>246</v>
      </c>
      <c r="I530" s="24" t="s">
        <v>27</v>
      </c>
      <c r="J530" s="25" t="n">
        <v>18.63</v>
      </c>
      <c r="K530" s="26" t="n">
        <v>255000</v>
      </c>
      <c r="L530" s="27" t="n">
        <f aca="false">K530/J530</f>
        <v>13687.6006441224</v>
      </c>
      <c r="M530" s="28" t="s">
        <v>64</v>
      </c>
      <c r="N530" s="29"/>
      <c r="O530" s="30" t="n">
        <f aca="false">K530+N530</f>
        <v>255000</v>
      </c>
      <c r="P530" s="30" t="n">
        <f aca="false">ROUND(O530/J530, 2)</f>
        <v>13687.6</v>
      </c>
      <c r="Q530" s="25" t="s">
        <v>479</v>
      </c>
      <c r="R530" s="22" t="s">
        <v>27</v>
      </c>
      <c r="S530" s="25" t="s">
        <v>29</v>
      </c>
      <c r="T530" s="24" t="s">
        <v>30</v>
      </c>
      <c r="U530" s="31" t="s">
        <v>31</v>
      </c>
      <c r="V530" s="31" t="n">
        <v>43343</v>
      </c>
      <c r="W530" s="18"/>
      <c r="X530" s="34"/>
    </row>
    <row r="531" s="32" customFormat="true" ht="13.8" hidden="false" customHeight="false" outlineLevel="0" collapsed="false">
      <c r="A531" s="18"/>
      <c r="B531" s="19" t="n">
        <v>3666</v>
      </c>
      <c r="C531" s="20" t="n">
        <v>43249</v>
      </c>
      <c r="D531" s="21" t="s">
        <v>22</v>
      </c>
      <c r="E531" s="22" t="s">
        <v>61</v>
      </c>
      <c r="F531" s="23" t="s">
        <v>317</v>
      </c>
      <c r="G531" s="22" t="s">
        <v>180</v>
      </c>
      <c r="H531" s="24" t="s">
        <v>177</v>
      </c>
      <c r="I531" s="24" t="s">
        <v>26</v>
      </c>
      <c r="J531" s="25" t="n">
        <f aca="false">61.6</f>
        <v>61.6</v>
      </c>
      <c r="K531" s="26" t="n">
        <v>480000</v>
      </c>
      <c r="L531" s="27" t="n">
        <f aca="false">K531/J531</f>
        <v>7792.20779220779</v>
      </c>
      <c r="M531" s="28" t="s">
        <v>813</v>
      </c>
      <c r="N531" s="29"/>
      <c r="O531" s="30" t="n">
        <f aca="false">K531+N531</f>
        <v>480000</v>
      </c>
      <c r="P531" s="30" t="n">
        <f aca="false">ROUND(O531/J531, 2)</f>
        <v>7792.21</v>
      </c>
      <c r="Q531" s="25" t="s">
        <v>85</v>
      </c>
      <c r="R531" s="22" t="s">
        <v>26</v>
      </c>
      <c r="S531" s="25" t="s">
        <v>29</v>
      </c>
      <c r="T531" s="24" t="s">
        <v>30</v>
      </c>
      <c r="U531" s="31" t="s">
        <v>31</v>
      </c>
      <c r="V531" s="31" t="n">
        <v>43343</v>
      </c>
      <c r="W531" s="34" t="s">
        <v>814</v>
      </c>
      <c r="X531" s="18"/>
      <c r="Y531" s="35"/>
      <c r="Z531" s="43"/>
    </row>
    <row r="532" s="32" customFormat="true" ht="13.8" hidden="false" customHeight="false" outlineLevel="0" collapsed="false">
      <c r="A532" s="18"/>
      <c r="B532" s="19" t="n">
        <v>1612</v>
      </c>
      <c r="C532" s="20" t="n">
        <v>43249</v>
      </c>
      <c r="D532" s="21" t="s">
        <v>22</v>
      </c>
      <c r="E532" s="22" t="s">
        <v>343</v>
      </c>
      <c r="F532" s="23" t="s">
        <v>344</v>
      </c>
      <c r="G532" s="22" t="s">
        <v>815</v>
      </c>
      <c r="H532" s="24" t="s">
        <v>55</v>
      </c>
      <c r="I532" s="24" t="s">
        <v>26</v>
      </c>
      <c r="J532" s="25" t="n">
        <f aca="false">57.69-4.5</f>
        <v>53.19</v>
      </c>
      <c r="K532" s="26" t="n">
        <v>475000</v>
      </c>
      <c r="L532" s="27" t="n">
        <f aca="false">K532/J532</f>
        <v>8930.25004700132</v>
      </c>
      <c r="M532" s="28" t="s">
        <v>816</v>
      </c>
      <c r="N532" s="29" t="n">
        <v>25000</v>
      </c>
      <c r="O532" s="30" t="n">
        <f aca="false">K532+N532</f>
        <v>500000</v>
      </c>
      <c r="P532" s="30" t="n">
        <f aca="false">ROUND(O532/J532, 2)</f>
        <v>9400.26</v>
      </c>
      <c r="Q532" s="25" t="s">
        <v>50</v>
      </c>
      <c r="R532" s="22" t="s">
        <v>36</v>
      </c>
      <c r="S532" s="25" t="s">
        <v>29</v>
      </c>
      <c r="T532" s="24" t="s">
        <v>30</v>
      </c>
      <c r="U532" s="31" t="s">
        <v>31</v>
      </c>
      <c r="V532" s="31" t="n">
        <v>43343</v>
      </c>
      <c r="W532" s="34"/>
      <c r="X532" s="34"/>
      <c r="Y532" s="1"/>
      <c r="Z532" s="1"/>
    </row>
    <row r="533" customFormat="false" ht="13.8" hidden="false" customHeight="false" outlineLevel="0" collapsed="false">
      <c r="A533" s="18"/>
      <c r="B533" s="19" t="n">
        <v>24701</v>
      </c>
      <c r="C533" s="20" t="n">
        <v>43249</v>
      </c>
      <c r="D533" s="21" t="s">
        <v>22</v>
      </c>
      <c r="E533" s="22" t="s">
        <v>198</v>
      </c>
      <c r="F533" s="23" t="s">
        <v>199</v>
      </c>
      <c r="G533" s="22" t="s">
        <v>384</v>
      </c>
      <c r="H533" s="24" t="s">
        <v>154</v>
      </c>
      <c r="I533" s="24" t="s">
        <v>49</v>
      </c>
      <c r="J533" s="25" t="n">
        <f aca="false">80.4-2.9-2.3</f>
        <v>75.2</v>
      </c>
      <c r="K533" s="26" t="n">
        <v>649000</v>
      </c>
      <c r="L533" s="27" t="n">
        <f aca="false">K533/J533</f>
        <v>8630.31914893617</v>
      </c>
      <c r="M533" s="28" t="s">
        <v>817</v>
      </c>
      <c r="N533" s="29" t="n">
        <v>30000</v>
      </c>
      <c r="O533" s="30" t="n">
        <f aca="false">K533+N533</f>
        <v>679000</v>
      </c>
      <c r="P533" s="30" t="n">
        <f aca="false">ROUND(O533/J533, 2)</f>
        <v>9029.26</v>
      </c>
      <c r="Q533" s="25" t="s">
        <v>85</v>
      </c>
      <c r="R533" s="22" t="s">
        <v>26</v>
      </c>
      <c r="S533" s="25" t="s">
        <v>29</v>
      </c>
      <c r="T533" s="24" t="s">
        <v>30</v>
      </c>
      <c r="U533" s="31" t="s">
        <v>31</v>
      </c>
      <c r="V533" s="31" t="n">
        <v>43343</v>
      </c>
      <c r="W533" s="18"/>
      <c r="X533" s="18"/>
    </row>
    <row r="534" customFormat="false" ht="13.8" hidden="false" customHeight="false" outlineLevel="0" collapsed="false">
      <c r="A534" s="18"/>
      <c r="B534" s="19" t="n">
        <v>3417</v>
      </c>
      <c r="C534" s="20" t="n">
        <v>43249</v>
      </c>
      <c r="D534" s="21" t="s">
        <v>22</v>
      </c>
      <c r="E534" s="22" t="s">
        <v>140</v>
      </c>
      <c r="F534" s="23" t="s">
        <v>138</v>
      </c>
      <c r="G534" s="22" t="s">
        <v>818</v>
      </c>
      <c r="H534" s="24" t="s">
        <v>678</v>
      </c>
      <c r="I534" s="24" t="s">
        <v>82</v>
      </c>
      <c r="J534" s="25" t="n">
        <f aca="false">112.06-3.82-11.5</f>
        <v>96.74</v>
      </c>
      <c r="K534" s="26" t="n">
        <v>790000</v>
      </c>
      <c r="L534" s="27" t="n">
        <f aca="false">K534/J534</f>
        <v>8166.21873061815</v>
      </c>
      <c r="M534" s="28" t="s">
        <v>819</v>
      </c>
      <c r="N534" s="29"/>
      <c r="O534" s="30" t="n">
        <f aca="false">K534+N534</f>
        <v>790000</v>
      </c>
      <c r="P534" s="30" t="n">
        <f aca="false">ROUND(O534/J534, 2)</f>
        <v>8166.22</v>
      </c>
      <c r="Q534" s="25" t="s">
        <v>85</v>
      </c>
      <c r="R534" s="22" t="s">
        <v>26</v>
      </c>
      <c r="S534" s="25" t="s">
        <v>29</v>
      </c>
      <c r="T534" s="24" t="s">
        <v>30</v>
      </c>
      <c r="U534" s="31" t="s">
        <v>31</v>
      </c>
      <c r="V534" s="31" t="n">
        <v>43343</v>
      </c>
      <c r="W534" s="18"/>
      <c r="X534" s="18"/>
    </row>
    <row r="535" customFormat="false" ht="13.8" hidden="false" customHeight="false" outlineLevel="0" collapsed="false">
      <c r="A535" s="18"/>
      <c r="B535" s="19" t="n">
        <v>528</v>
      </c>
      <c r="C535" s="20" t="n">
        <v>43249</v>
      </c>
      <c r="D535" s="21" t="s">
        <v>22</v>
      </c>
      <c r="E535" s="22" t="s">
        <v>278</v>
      </c>
      <c r="F535" s="23" t="s">
        <v>288</v>
      </c>
      <c r="G535" s="22" t="s">
        <v>430</v>
      </c>
      <c r="H535" s="24" t="s">
        <v>411</v>
      </c>
      <c r="I535" s="24" t="s">
        <v>57</v>
      </c>
      <c r="J535" s="25" t="n">
        <v>53.35</v>
      </c>
      <c r="K535" s="26" t="n">
        <v>480000</v>
      </c>
      <c r="L535" s="27" t="n">
        <f aca="false">K535/J535</f>
        <v>8997.18837863168</v>
      </c>
      <c r="M535" s="28" t="s">
        <v>64</v>
      </c>
      <c r="N535" s="29"/>
      <c r="O535" s="30" t="n">
        <f aca="false">K535+N535</f>
        <v>480000</v>
      </c>
      <c r="P535" s="30" t="n">
        <f aca="false">ROUND(O535/J535, 2)</f>
        <v>8997.19</v>
      </c>
      <c r="Q535" s="25" t="s">
        <v>85</v>
      </c>
      <c r="R535" s="22" t="s">
        <v>26</v>
      </c>
      <c r="S535" s="25" t="s">
        <v>29</v>
      </c>
      <c r="T535" s="24" t="s">
        <v>30</v>
      </c>
      <c r="U535" s="31" t="s">
        <v>31</v>
      </c>
      <c r="V535" s="31" t="n">
        <v>43343</v>
      </c>
      <c r="W535" s="18"/>
      <c r="X535" s="18"/>
    </row>
    <row r="536" customFormat="false" ht="13.8" hidden="false" customHeight="false" outlineLevel="0" collapsed="false">
      <c r="A536" s="18" t="n">
        <v>110054</v>
      </c>
      <c r="B536" s="19" t="n">
        <v>1153</v>
      </c>
      <c r="C536" s="20" t="n">
        <v>43249</v>
      </c>
      <c r="D536" s="21" t="s">
        <v>22</v>
      </c>
      <c r="E536" s="22" t="s">
        <v>480</v>
      </c>
      <c r="F536" s="23" t="s">
        <v>46</v>
      </c>
      <c r="G536" s="22" t="s">
        <v>820</v>
      </c>
      <c r="H536" s="24" t="s">
        <v>105</v>
      </c>
      <c r="I536" s="24" t="s">
        <v>26</v>
      </c>
      <c r="J536" s="25" t="n">
        <v>42.78</v>
      </c>
      <c r="K536" s="26" t="n">
        <v>470000</v>
      </c>
      <c r="L536" s="27" t="n">
        <f aca="false">K536/J536</f>
        <v>10986.4422627396</v>
      </c>
      <c r="M536" s="28"/>
      <c r="N536" s="29"/>
      <c r="O536" s="30" t="n">
        <f aca="false">K536+N536</f>
        <v>470000</v>
      </c>
      <c r="P536" s="30" t="n">
        <f aca="false">ROUND(O536/J536, 2)</f>
        <v>10986.44</v>
      </c>
      <c r="Q536" s="25" t="s">
        <v>50</v>
      </c>
      <c r="R536" s="22" t="s">
        <v>36</v>
      </c>
      <c r="S536" s="25" t="s">
        <v>29</v>
      </c>
      <c r="T536" s="24" t="s">
        <v>30</v>
      </c>
      <c r="U536" s="31" t="s">
        <v>31</v>
      </c>
      <c r="V536" s="31" t="n">
        <v>43343</v>
      </c>
      <c r="W536" s="18"/>
      <c r="X536" s="18"/>
    </row>
    <row r="537" customFormat="false" ht="13.8" hidden="false" customHeight="false" outlineLevel="0" collapsed="false">
      <c r="A537" s="18"/>
      <c r="B537" s="19" t="n">
        <v>2129</v>
      </c>
      <c r="C537" s="20" t="n">
        <v>43249</v>
      </c>
      <c r="D537" s="21" t="s">
        <v>22</v>
      </c>
      <c r="E537" s="22" t="s">
        <v>665</v>
      </c>
      <c r="F537" s="23" t="s">
        <v>544</v>
      </c>
      <c r="G537" s="22" t="s">
        <v>755</v>
      </c>
      <c r="H537" s="24" t="s">
        <v>217</v>
      </c>
      <c r="I537" s="24" t="s">
        <v>57</v>
      </c>
      <c r="J537" s="25" t="n">
        <v>91.31</v>
      </c>
      <c r="K537" s="26" t="n">
        <v>1250000</v>
      </c>
      <c r="L537" s="27" t="n">
        <f aca="false">K537/J537</f>
        <v>13689.6287372686</v>
      </c>
      <c r="M537" s="28" t="s">
        <v>205</v>
      </c>
      <c r="N537" s="29" t="n">
        <v>50000</v>
      </c>
      <c r="O537" s="30" t="n">
        <f aca="false">K537+N537</f>
        <v>1300000</v>
      </c>
      <c r="P537" s="30" t="n">
        <f aca="false">ROUND(O537/J537, 2)</f>
        <v>14237.21</v>
      </c>
      <c r="Q537" s="25" t="s">
        <v>85</v>
      </c>
      <c r="R537" s="22" t="s">
        <v>26</v>
      </c>
      <c r="S537" s="25" t="s">
        <v>29</v>
      </c>
      <c r="T537" s="24" t="s">
        <v>30</v>
      </c>
      <c r="U537" s="31" t="s">
        <v>31</v>
      </c>
      <c r="V537" s="31" t="n">
        <v>43343</v>
      </c>
      <c r="W537" s="18"/>
      <c r="X537" s="18"/>
    </row>
    <row r="538" customFormat="false" ht="13.8" hidden="false" customHeight="false" outlineLevel="0" collapsed="false">
      <c r="A538" s="18"/>
      <c r="B538" s="19" t="n">
        <v>1519</v>
      </c>
      <c r="C538" s="20" t="n">
        <v>43250</v>
      </c>
      <c r="D538" s="21" t="s">
        <v>22</v>
      </c>
      <c r="E538" s="22" t="s">
        <v>23</v>
      </c>
      <c r="F538" s="23" t="s">
        <v>94</v>
      </c>
      <c r="G538" s="22" t="s">
        <v>821</v>
      </c>
      <c r="H538" s="24" t="s">
        <v>57</v>
      </c>
      <c r="I538" s="24" t="s">
        <v>36</v>
      </c>
      <c r="J538" s="25" t="n">
        <v>57.7</v>
      </c>
      <c r="K538" s="26" t="n">
        <v>460000</v>
      </c>
      <c r="L538" s="27" t="n">
        <f aca="false">K538/J538</f>
        <v>7972.27036395147</v>
      </c>
      <c r="M538" s="28"/>
      <c r="N538" s="29"/>
      <c r="O538" s="30" t="n">
        <f aca="false">K538+N538</f>
        <v>460000</v>
      </c>
      <c r="P538" s="30" t="n">
        <f aca="false">ROUND(O538/J538, 2)</f>
        <v>7972.27</v>
      </c>
      <c r="Q538" s="25" t="s">
        <v>85</v>
      </c>
      <c r="R538" s="22" t="s">
        <v>26</v>
      </c>
      <c r="S538" s="25" t="s">
        <v>29</v>
      </c>
      <c r="T538" s="24" t="s">
        <v>30</v>
      </c>
      <c r="U538" s="31" t="s">
        <v>31</v>
      </c>
      <c r="V538" s="31" t="n">
        <v>43343</v>
      </c>
      <c r="W538" s="18"/>
      <c r="X538" s="18"/>
    </row>
    <row r="539" customFormat="false" ht="13.8" hidden="false" customHeight="false" outlineLevel="0" collapsed="false">
      <c r="A539" s="18"/>
      <c r="B539" s="19" t="n">
        <v>2576</v>
      </c>
      <c r="C539" s="20" t="n">
        <v>43250</v>
      </c>
      <c r="D539" s="21" t="s">
        <v>22</v>
      </c>
      <c r="E539" s="22" t="s">
        <v>125</v>
      </c>
      <c r="F539" s="23" t="s">
        <v>94</v>
      </c>
      <c r="G539" s="22" t="s">
        <v>746</v>
      </c>
      <c r="H539" s="24" t="s">
        <v>196</v>
      </c>
      <c r="I539" s="24" t="s">
        <v>49</v>
      </c>
      <c r="J539" s="25" t="n">
        <v>37.57</v>
      </c>
      <c r="K539" s="26" t="n">
        <v>305000</v>
      </c>
      <c r="L539" s="27" t="n">
        <f aca="false">K539/J539</f>
        <v>8118.17939845622</v>
      </c>
      <c r="M539" s="28" t="s">
        <v>64</v>
      </c>
      <c r="N539" s="29"/>
      <c r="O539" s="30" t="n">
        <f aca="false">K539+N539</f>
        <v>305000</v>
      </c>
      <c r="P539" s="30" t="n">
        <f aca="false">ROUND(O539/J539, 2)</f>
        <v>8118.18</v>
      </c>
      <c r="Q539" s="25" t="s">
        <v>41</v>
      </c>
      <c r="R539" s="22" t="s">
        <v>27</v>
      </c>
      <c r="S539" s="25" t="s">
        <v>29</v>
      </c>
      <c r="T539" s="24" t="s">
        <v>30</v>
      </c>
      <c r="U539" s="31" t="s">
        <v>31</v>
      </c>
      <c r="V539" s="31" t="n">
        <v>43343</v>
      </c>
      <c r="W539" s="18"/>
      <c r="X539" s="18"/>
    </row>
    <row r="540" customFormat="false" ht="13.8" hidden="false" customHeight="false" outlineLevel="0" collapsed="false">
      <c r="A540" s="18"/>
      <c r="B540" s="19" t="n">
        <v>6452</v>
      </c>
      <c r="C540" s="20" t="n">
        <v>43250</v>
      </c>
      <c r="D540" s="21" t="s">
        <v>22</v>
      </c>
      <c r="E540" s="22" t="s">
        <v>156</v>
      </c>
      <c r="F540" s="23" t="s">
        <v>157</v>
      </c>
      <c r="G540" s="22" t="s">
        <v>748</v>
      </c>
      <c r="H540" s="24" t="s">
        <v>115</v>
      </c>
      <c r="I540" s="24" t="s">
        <v>26</v>
      </c>
      <c r="J540" s="25" t="n">
        <v>50.94</v>
      </c>
      <c r="K540" s="26" t="n">
        <v>481162.82</v>
      </c>
      <c r="L540" s="27" t="n">
        <f aca="false">K540/J540</f>
        <v>9445.67765999215</v>
      </c>
      <c r="M540" s="28" t="s">
        <v>205</v>
      </c>
      <c r="N540" s="29" t="n">
        <v>17837.18</v>
      </c>
      <c r="O540" s="30" t="n">
        <f aca="false">K540+N540</f>
        <v>499000</v>
      </c>
      <c r="P540" s="30" t="n">
        <f aca="false">ROUND(O540/J540, 2)</f>
        <v>9795.84</v>
      </c>
      <c r="Q540" s="25" t="s">
        <v>822</v>
      </c>
      <c r="R540" s="22" t="s">
        <v>36</v>
      </c>
      <c r="S540" s="25" t="s">
        <v>29</v>
      </c>
      <c r="T540" s="24" t="s">
        <v>30</v>
      </c>
      <c r="U540" s="31" t="s">
        <v>31</v>
      </c>
      <c r="V540" s="31" t="n">
        <v>43343</v>
      </c>
      <c r="W540" s="18"/>
      <c r="X540" s="18"/>
    </row>
    <row r="541" customFormat="false" ht="13.8" hidden="false" customHeight="false" outlineLevel="0" collapsed="false">
      <c r="A541" s="18"/>
      <c r="B541" s="19" t="n">
        <v>2979</v>
      </c>
      <c r="C541" s="20" t="n">
        <v>43250</v>
      </c>
      <c r="D541" s="21" t="s">
        <v>22</v>
      </c>
      <c r="E541" s="22" t="s">
        <v>144</v>
      </c>
      <c r="F541" s="23" t="s">
        <v>750</v>
      </c>
      <c r="G541" s="22" t="s">
        <v>49</v>
      </c>
      <c r="H541" s="24" t="s">
        <v>336</v>
      </c>
      <c r="I541" s="24" t="s">
        <v>36</v>
      </c>
      <c r="J541" s="25" t="n">
        <v>33.02</v>
      </c>
      <c r="K541" s="26" t="n">
        <v>350000</v>
      </c>
      <c r="L541" s="27" t="n">
        <f aca="false">K541/J541</f>
        <v>10599.6365838886</v>
      </c>
      <c r="M541" s="28"/>
      <c r="N541" s="29"/>
      <c r="O541" s="30" t="n">
        <f aca="false">K541+N541</f>
        <v>350000</v>
      </c>
      <c r="P541" s="30" t="n">
        <f aca="false">ROUND(O541/J541, 2)</f>
        <v>10599.64</v>
      </c>
      <c r="Q541" s="25" t="s">
        <v>161</v>
      </c>
      <c r="R541" s="22" t="s">
        <v>36</v>
      </c>
      <c r="S541" s="25" t="s">
        <v>29</v>
      </c>
      <c r="T541" s="24" t="s">
        <v>30</v>
      </c>
      <c r="U541" s="31" t="s">
        <v>31</v>
      </c>
      <c r="V541" s="31" t="n">
        <v>43343</v>
      </c>
      <c r="W541" s="18"/>
      <c r="X541" s="18"/>
    </row>
    <row r="542" customFormat="false" ht="13.8" hidden="false" customHeight="false" outlineLevel="0" collapsed="false">
      <c r="A542" s="18"/>
      <c r="B542" s="19" t="n">
        <v>1796</v>
      </c>
      <c r="C542" s="20" t="n">
        <v>43250</v>
      </c>
      <c r="D542" s="21" t="s">
        <v>22</v>
      </c>
      <c r="E542" s="22" t="s">
        <v>61</v>
      </c>
      <c r="F542" s="23" t="s">
        <v>62</v>
      </c>
      <c r="G542" s="22" t="s">
        <v>27</v>
      </c>
      <c r="H542" s="24" t="s">
        <v>823</v>
      </c>
      <c r="I542" s="24" t="s">
        <v>36</v>
      </c>
      <c r="J542" s="25" t="n">
        <v>53.31</v>
      </c>
      <c r="K542" s="26" t="n">
        <v>422000</v>
      </c>
      <c r="L542" s="27" t="n">
        <f aca="false">K542/J542</f>
        <v>7915.96323391484</v>
      </c>
      <c r="M542" s="28" t="s">
        <v>64</v>
      </c>
      <c r="N542" s="29"/>
      <c r="O542" s="30" t="n">
        <f aca="false">K542+N542</f>
        <v>422000</v>
      </c>
      <c r="P542" s="30" t="n">
        <f aca="false">ROUND(O542/J542, 2)</f>
        <v>7915.96</v>
      </c>
      <c r="Q542" s="25" t="s">
        <v>133</v>
      </c>
      <c r="R542" s="22" t="s">
        <v>26</v>
      </c>
      <c r="S542" s="25" t="s">
        <v>29</v>
      </c>
      <c r="T542" s="24" t="s">
        <v>30</v>
      </c>
      <c r="U542" s="31" t="s">
        <v>31</v>
      </c>
      <c r="V542" s="31" t="n">
        <v>43343</v>
      </c>
      <c r="W542" s="18"/>
      <c r="X542" s="18"/>
    </row>
    <row r="543" customFormat="false" ht="13.8" hidden="false" customHeight="false" outlineLevel="0" collapsed="false">
      <c r="A543" s="18"/>
      <c r="B543" s="19" t="n">
        <v>4290</v>
      </c>
      <c r="C543" s="20" t="n">
        <v>43250</v>
      </c>
      <c r="D543" s="21" t="s">
        <v>22</v>
      </c>
      <c r="E543" s="22" t="s">
        <v>319</v>
      </c>
      <c r="F543" s="23" t="s">
        <v>320</v>
      </c>
      <c r="G543" s="22" t="s">
        <v>321</v>
      </c>
      <c r="H543" s="24" t="s">
        <v>443</v>
      </c>
      <c r="I543" s="24" t="s">
        <v>82</v>
      </c>
      <c r="J543" s="25" t="n">
        <f aca="false">58.08</f>
        <v>58.08</v>
      </c>
      <c r="K543" s="26" t="n">
        <v>515000</v>
      </c>
      <c r="L543" s="27" t="n">
        <f aca="false">K543/J543</f>
        <v>8867.07988980716</v>
      </c>
      <c r="M543" s="28" t="s">
        <v>824</v>
      </c>
      <c r="N543" s="29" t="n">
        <v>35000</v>
      </c>
      <c r="O543" s="30" t="n">
        <f aca="false">K543+N543</f>
        <v>550000</v>
      </c>
      <c r="P543" s="30" t="n">
        <f aca="false">ROUND(O543/J543, 2)</f>
        <v>9469.7</v>
      </c>
      <c r="Q543" s="25" t="s">
        <v>161</v>
      </c>
      <c r="R543" s="22" t="s">
        <v>36</v>
      </c>
      <c r="S543" s="25" t="s">
        <v>29</v>
      </c>
      <c r="T543" s="24" t="s">
        <v>30</v>
      </c>
      <c r="U543" s="31" t="s">
        <v>31</v>
      </c>
      <c r="V543" s="31" t="n">
        <v>43343</v>
      </c>
      <c r="W543" s="34" t="s">
        <v>825</v>
      </c>
      <c r="X543" s="18"/>
    </row>
    <row r="544" customFormat="false" ht="13.8" hidden="false" customHeight="false" outlineLevel="0" collapsed="false">
      <c r="A544" s="18"/>
      <c r="B544" s="19" t="n">
        <v>1136</v>
      </c>
      <c r="C544" s="20" t="n">
        <v>43250</v>
      </c>
      <c r="D544" s="21" t="s">
        <v>22</v>
      </c>
      <c r="E544" s="22" t="s">
        <v>306</v>
      </c>
      <c r="F544" s="23" t="s">
        <v>138</v>
      </c>
      <c r="G544" s="22" t="s">
        <v>36</v>
      </c>
      <c r="H544" s="24" t="s">
        <v>826</v>
      </c>
      <c r="I544" s="24" t="s">
        <v>82</v>
      </c>
      <c r="J544" s="25" t="n">
        <v>48.09</v>
      </c>
      <c r="K544" s="26" t="n">
        <v>675000</v>
      </c>
      <c r="L544" s="27" t="n">
        <f aca="false">K544/J544</f>
        <v>14036.1821584529</v>
      </c>
      <c r="M544" s="28" t="s">
        <v>205</v>
      </c>
      <c r="N544" s="29" t="n">
        <v>40000</v>
      </c>
      <c r="O544" s="30" t="n">
        <f aca="false">K544+N544</f>
        <v>715000</v>
      </c>
      <c r="P544" s="30" t="n">
        <f aca="false">ROUND(O544/J544, 2)</f>
        <v>14867.96</v>
      </c>
      <c r="Q544" s="25" t="s">
        <v>50</v>
      </c>
      <c r="R544" s="22" t="s">
        <v>36</v>
      </c>
      <c r="S544" s="25" t="s">
        <v>29</v>
      </c>
      <c r="T544" s="24" t="s">
        <v>30</v>
      </c>
      <c r="U544" s="31" t="s">
        <v>31</v>
      </c>
      <c r="V544" s="31" t="n">
        <v>43343</v>
      </c>
      <c r="W544" s="18"/>
      <c r="X544" s="18"/>
    </row>
    <row r="545" customFormat="false" ht="13.8" hidden="false" customHeight="false" outlineLevel="0" collapsed="false">
      <c r="A545" s="18"/>
      <c r="B545" s="19" t="n">
        <v>4457</v>
      </c>
      <c r="C545" s="20" t="n">
        <v>43250</v>
      </c>
      <c r="D545" s="21" t="s">
        <v>22</v>
      </c>
      <c r="E545" s="22" t="s">
        <v>369</v>
      </c>
      <c r="F545" s="23" t="s">
        <v>827</v>
      </c>
      <c r="G545" s="22" t="s">
        <v>112</v>
      </c>
      <c r="H545" s="24" t="s">
        <v>570</v>
      </c>
      <c r="I545" s="24" t="s">
        <v>36</v>
      </c>
      <c r="J545" s="25" t="n">
        <v>35.28</v>
      </c>
      <c r="K545" s="26" t="n">
        <v>355000</v>
      </c>
      <c r="L545" s="27" t="n">
        <f aca="false">K545/J545</f>
        <v>10062.358276644</v>
      </c>
      <c r="M545" s="28"/>
      <c r="N545" s="29"/>
      <c r="O545" s="30" t="n">
        <f aca="false">K545+N545</f>
        <v>355000</v>
      </c>
      <c r="P545" s="30" t="n">
        <f aca="false">ROUND(O545/J545, 2)</f>
        <v>10062.36</v>
      </c>
      <c r="Q545" s="25" t="s">
        <v>50</v>
      </c>
      <c r="R545" s="22" t="s">
        <v>36</v>
      </c>
      <c r="S545" s="25" t="s">
        <v>29</v>
      </c>
      <c r="T545" s="24" t="s">
        <v>30</v>
      </c>
      <c r="U545" s="31" t="s">
        <v>31</v>
      </c>
      <c r="V545" s="31" t="n">
        <v>43343</v>
      </c>
      <c r="W545" s="18"/>
      <c r="X545" s="18"/>
      <c r="AMJ545" s="32"/>
    </row>
    <row r="546" s="32" customFormat="true" ht="13.8" hidden="false" customHeight="false" outlineLevel="0" collapsed="false">
      <c r="A546" s="18"/>
      <c r="B546" s="19" t="n">
        <v>2626</v>
      </c>
      <c r="C546" s="20" t="n">
        <v>43250</v>
      </c>
      <c r="D546" s="21" t="s">
        <v>22</v>
      </c>
      <c r="E546" s="22" t="s">
        <v>144</v>
      </c>
      <c r="F546" s="23" t="s">
        <v>145</v>
      </c>
      <c r="G546" s="22" t="s">
        <v>27</v>
      </c>
      <c r="H546" s="24" t="s">
        <v>210</v>
      </c>
      <c r="I546" s="24" t="s">
        <v>49</v>
      </c>
      <c r="J546" s="25" t="n">
        <v>82.99</v>
      </c>
      <c r="K546" s="26" t="n">
        <v>660000</v>
      </c>
      <c r="L546" s="27" t="n">
        <f aca="false">K546/J546</f>
        <v>7952.76539342089</v>
      </c>
      <c r="M546" s="28" t="s">
        <v>64</v>
      </c>
      <c r="N546" s="29"/>
      <c r="O546" s="30" t="n">
        <f aca="false">K546+N546</f>
        <v>660000</v>
      </c>
      <c r="P546" s="30" t="n">
        <f aca="false">ROUND(O546/J546, 2)</f>
        <v>7952.77</v>
      </c>
      <c r="Q546" s="25" t="s">
        <v>85</v>
      </c>
      <c r="R546" s="22" t="s">
        <v>26</v>
      </c>
      <c r="S546" s="25" t="s">
        <v>29</v>
      </c>
      <c r="T546" s="24" t="s">
        <v>30</v>
      </c>
      <c r="U546" s="31" t="s">
        <v>31</v>
      </c>
      <c r="V546" s="31" t="n">
        <v>43343</v>
      </c>
      <c r="W546" s="18"/>
      <c r="X546" s="18"/>
    </row>
    <row r="547" customFormat="false" ht="13.8" hidden="false" customHeight="false" outlineLevel="0" collapsed="false">
      <c r="A547" s="18"/>
      <c r="B547" s="19" t="n">
        <v>2597</v>
      </c>
      <c r="C547" s="20" t="n">
        <v>43250</v>
      </c>
      <c r="D547" s="21" t="s">
        <v>22</v>
      </c>
      <c r="E547" s="22" t="s">
        <v>372</v>
      </c>
      <c r="F547" s="23" t="s">
        <v>434</v>
      </c>
      <c r="G547" s="22" t="s">
        <v>49</v>
      </c>
      <c r="H547" s="24" t="s">
        <v>269</v>
      </c>
      <c r="I547" s="24" t="s">
        <v>26</v>
      </c>
      <c r="J547" s="25" t="n">
        <v>175.9</v>
      </c>
      <c r="K547" s="26" t="n">
        <v>1000000</v>
      </c>
      <c r="L547" s="27" t="n">
        <f aca="false">K547/J547</f>
        <v>5685.04832291074</v>
      </c>
      <c r="M547" s="28"/>
      <c r="N547" s="29"/>
      <c r="O547" s="30" t="n">
        <f aca="false">K547+N547</f>
        <v>1000000</v>
      </c>
      <c r="P547" s="30" t="n">
        <f aca="false">ROUND(O547/J547, 2)</f>
        <v>5685.05</v>
      </c>
      <c r="Q547" s="25" t="s">
        <v>828</v>
      </c>
      <c r="R547" s="22" t="s">
        <v>25</v>
      </c>
      <c r="S547" s="25" t="s">
        <v>29</v>
      </c>
      <c r="T547" s="24" t="s">
        <v>30</v>
      </c>
      <c r="U547" s="31" t="s">
        <v>31</v>
      </c>
      <c r="V547" s="31" t="n">
        <v>43343</v>
      </c>
      <c r="W547" s="18"/>
      <c r="X547" s="18"/>
      <c r="AMJ547" s="32"/>
    </row>
    <row r="548" s="32" customFormat="true" ht="13.8" hidden="false" customHeight="false" outlineLevel="0" collapsed="false">
      <c r="A548" s="18"/>
      <c r="B548" s="19" t="n">
        <v>1839</v>
      </c>
      <c r="C548" s="20" t="n">
        <v>43250</v>
      </c>
      <c r="D548" s="21" t="s">
        <v>22</v>
      </c>
      <c r="E548" s="22" t="s">
        <v>187</v>
      </c>
      <c r="F548" s="23" t="s">
        <v>429</v>
      </c>
      <c r="G548" s="22" t="s">
        <v>115</v>
      </c>
      <c r="H548" s="24" t="s">
        <v>27</v>
      </c>
      <c r="I548" s="24" t="s">
        <v>27</v>
      </c>
      <c r="J548" s="25" t="n">
        <v>55.22</v>
      </c>
      <c r="K548" s="26" t="n">
        <v>570000</v>
      </c>
      <c r="L548" s="27" t="n">
        <f aca="false">K548/J548</f>
        <v>10322.3469757334</v>
      </c>
      <c r="M548" s="28" t="s">
        <v>64</v>
      </c>
      <c r="N548" s="29"/>
      <c r="O548" s="30" t="n">
        <f aca="false">K548+N548</f>
        <v>570000</v>
      </c>
      <c r="P548" s="30" t="n">
        <f aca="false">ROUND(O548/J548, 2)</f>
        <v>10322.35</v>
      </c>
      <c r="Q548" s="25" t="s">
        <v>85</v>
      </c>
      <c r="R548" s="22" t="s">
        <v>26</v>
      </c>
      <c r="S548" s="25" t="s">
        <v>29</v>
      </c>
      <c r="T548" s="24" t="s">
        <v>30</v>
      </c>
      <c r="U548" s="31" t="s">
        <v>31</v>
      </c>
      <c r="V548" s="31" t="n">
        <v>43343</v>
      </c>
      <c r="W548" s="18"/>
      <c r="X548" s="18"/>
    </row>
    <row r="549" s="32" customFormat="true" ht="13.8" hidden="false" customHeight="false" outlineLevel="0" collapsed="false">
      <c r="A549" s="18"/>
      <c r="B549" s="19" t="n">
        <v>2962</v>
      </c>
      <c r="C549" s="20" t="n">
        <v>43250</v>
      </c>
      <c r="D549" s="21" t="s">
        <v>22</v>
      </c>
      <c r="E549" s="22" t="s">
        <v>23</v>
      </c>
      <c r="F549" s="23" t="s">
        <v>387</v>
      </c>
      <c r="G549" s="22" t="s">
        <v>249</v>
      </c>
      <c r="H549" s="24" t="s">
        <v>226</v>
      </c>
      <c r="I549" s="24" t="s">
        <v>26</v>
      </c>
      <c r="J549" s="25" t="n">
        <v>67.76</v>
      </c>
      <c r="K549" s="26" t="n">
        <v>620000</v>
      </c>
      <c r="L549" s="27" t="n">
        <f aca="false">K549/J549</f>
        <v>9149.94096812279</v>
      </c>
      <c r="M549" s="28"/>
      <c r="N549" s="29"/>
      <c r="O549" s="30" t="n">
        <f aca="false">K549+N549</f>
        <v>620000</v>
      </c>
      <c r="P549" s="30" t="n">
        <f aca="false">ROUND(O549/J549, 2)</f>
        <v>9149.94</v>
      </c>
      <c r="Q549" s="25" t="s">
        <v>50</v>
      </c>
      <c r="R549" s="22" t="s">
        <v>36</v>
      </c>
      <c r="S549" s="25" t="s">
        <v>29</v>
      </c>
      <c r="T549" s="24" t="s">
        <v>30</v>
      </c>
      <c r="U549" s="31" t="s">
        <v>31</v>
      </c>
      <c r="V549" s="31" t="n">
        <v>43343</v>
      </c>
      <c r="W549" s="18"/>
      <c r="X549" s="18"/>
      <c r="Y549" s="35"/>
      <c r="Z549" s="36"/>
    </row>
    <row r="550" s="32" customFormat="true" ht="13.8" hidden="false" customHeight="false" outlineLevel="0" collapsed="false">
      <c r="A550" s="18"/>
      <c r="B550" s="19" t="n">
        <v>577</v>
      </c>
      <c r="C550" s="20" t="n">
        <v>43250</v>
      </c>
      <c r="D550" s="21" t="s">
        <v>22</v>
      </c>
      <c r="E550" s="22" t="s">
        <v>623</v>
      </c>
      <c r="F550" s="23" t="s">
        <v>272</v>
      </c>
      <c r="G550" s="22" t="s">
        <v>464</v>
      </c>
      <c r="H550" s="24" t="s">
        <v>472</v>
      </c>
      <c r="I550" s="24" t="s">
        <v>49</v>
      </c>
      <c r="J550" s="25" t="n">
        <v>60.1</v>
      </c>
      <c r="K550" s="26" t="n">
        <v>670000</v>
      </c>
      <c r="L550" s="27" t="n">
        <f aca="false">K550/J550</f>
        <v>11148.0865224626</v>
      </c>
      <c r="M550" s="28" t="s">
        <v>829</v>
      </c>
      <c r="N550" s="29" t="n">
        <v>50000</v>
      </c>
      <c r="O550" s="30" t="n">
        <f aca="false">K550+N550</f>
        <v>720000</v>
      </c>
      <c r="P550" s="30" t="n">
        <f aca="false">ROUND(O550/J550, 2)</f>
        <v>11980.03</v>
      </c>
      <c r="Q550" s="25" t="s">
        <v>232</v>
      </c>
      <c r="R550" s="22" t="s">
        <v>26</v>
      </c>
      <c r="S550" s="25" t="s">
        <v>29</v>
      </c>
      <c r="T550" s="24" t="s">
        <v>30</v>
      </c>
      <c r="U550" s="31" t="s">
        <v>31</v>
      </c>
      <c r="V550" s="31" t="n">
        <v>43343</v>
      </c>
      <c r="W550" s="18"/>
      <c r="X550" s="18"/>
      <c r="Y550" s="1"/>
      <c r="Z550" s="1"/>
    </row>
    <row r="551" customFormat="false" ht="13.8" hidden="false" customHeight="false" outlineLevel="0" collapsed="false">
      <c r="A551" s="18"/>
      <c r="B551" s="19" t="n">
        <v>1631</v>
      </c>
      <c r="C551" s="20" t="n">
        <v>43252</v>
      </c>
      <c r="D551" s="21" t="s">
        <v>22</v>
      </c>
      <c r="E551" s="22" t="s">
        <v>201</v>
      </c>
      <c r="F551" s="23" t="s">
        <v>199</v>
      </c>
      <c r="G551" s="22" t="s">
        <v>141</v>
      </c>
      <c r="H551" s="24" t="s">
        <v>47</v>
      </c>
      <c r="I551" s="24" t="s">
        <v>36</v>
      </c>
      <c r="J551" s="25" t="n">
        <v>106.7</v>
      </c>
      <c r="K551" s="26" t="n">
        <v>870000</v>
      </c>
      <c r="L551" s="27" t="n">
        <f aca="false">K551/J551</f>
        <v>8153.70196813496</v>
      </c>
      <c r="M551" s="28"/>
      <c r="N551" s="29"/>
      <c r="O551" s="30" t="n">
        <f aca="false">K551+N551</f>
        <v>870000</v>
      </c>
      <c r="P551" s="30" t="n">
        <f aca="false">ROUND(O551/J551, 2)</f>
        <v>8153.7</v>
      </c>
      <c r="Q551" s="25" t="s">
        <v>649</v>
      </c>
      <c r="R551" s="22" t="s">
        <v>57</v>
      </c>
      <c r="S551" s="25" t="s">
        <v>29</v>
      </c>
      <c r="T551" s="24" t="s">
        <v>30</v>
      </c>
      <c r="U551" s="31" t="s">
        <v>31</v>
      </c>
      <c r="V551" s="31" t="n">
        <v>43343</v>
      </c>
      <c r="W551" s="34"/>
      <c r="X551" s="34"/>
      <c r="Y551" s="35"/>
      <c r="Z551" s="36"/>
      <c r="AMJ551" s="32"/>
    </row>
    <row r="552" s="32" customFormat="true" ht="13.8" hidden="false" customHeight="false" outlineLevel="0" collapsed="false">
      <c r="A552" s="18"/>
      <c r="B552" s="19" t="n">
        <v>4275</v>
      </c>
      <c r="C552" s="20" t="n">
        <v>43252</v>
      </c>
      <c r="D552" s="21" t="s">
        <v>22</v>
      </c>
      <c r="E552" s="22" t="s">
        <v>80</v>
      </c>
      <c r="F552" s="23" t="s">
        <v>162</v>
      </c>
      <c r="G552" s="22" t="s">
        <v>830</v>
      </c>
      <c r="H552" s="24" t="s">
        <v>143</v>
      </c>
      <c r="I552" s="24" t="s">
        <v>25</v>
      </c>
      <c r="J552" s="25" t="n">
        <f aca="false">70.64</f>
        <v>70.64</v>
      </c>
      <c r="K552" s="26" t="n">
        <v>1250000</v>
      </c>
      <c r="L552" s="27" t="n">
        <f aca="false">K552/J552</f>
        <v>17695.3567383918</v>
      </c>
      <c r="M552" s="28" t="s">
        <v>831</v>
      </c>
      <c r="N552" s="29" t="n">
        <v>50000</v>
      </c>
      <c r="O552" s="30" t="n">
        <f aca="false">K552+N552</f>
        <v>1300000</v>
      </c>
      <c r="P552" s="30" t="n">
        <f aca="false">ROUND(O552/J552, 2)</f>
        <v>18403.17</v>
      </c>
      <c r="Q552" s="25" t="s">
        <v>50</v>
      </c>
      <c r="R552" s="22" t="s">
        <v>36</v>
      </c>
      <c r="S552" s="25" t="s">
        <v>29</v>
      </c>
      <c r="T552" s="24" t="s">
        <v>30</v>
      </c>
      <c r="U552" s="31" t="s">
        <v>31</v>
      </c>
      <c r="V552" s="31" t="n">
        <v>43343</v>
      </c>
      <c r="W552" s="34" t="s">
        <v>832</v>
      </c>
      <c r="X552" s="34"/>
    </row>
    <row r="553" customFormat="false" ht="13.8" hidden="false" customHeight="false" outlineLevel="0" collapsed="false">
      <c r="A553" s="18"/>
      <c r="B553" s="19" t="n">
        <v>7630</v>
      </c>
      <c r="C553" s="20" t="n">
        <v>43252</v>
      </c>
      <c r="D553" s="21" t="s">
        <v>22</v>
      </c>
      <c r="E553" s="22" t="s">
        <v>45</v>
      </c>
      <c r="F553" s="23" t="s">
        <v>46</v>
      </c>
      <c r="G553" s="22" t="s">
        <v>833</v>
      </c>
      <c r="H553" s="24" t="s">
        <v>74</v>
      </c>
      <c r="I553" s="24" t="s">
        <v>49</v>
      </c>
      <c r="J553" s="25" t="n">
        <v>63.01</v>
      </c>
      <c r="K553" s="26" t="n">
        <v>820000</v>
      </c>
      <c r="L553" s="27" t="n">
        <f aca="false">K553/J553</f>
        <v>13013.8073321695</v>
      </c>
      <c r="M553" s="28" t="s">
        <v>64</v>
      </c>
      <c r="N553" s="29"/>
      <c r="O553" s="30" t="n">
        <f aca="false">K553+N553</f>
        <v>820000</v>
      </c>
      <c r="P553" s="30" t="n">
        <f aca="false">ROUND(O553/J553, 2)</f>
        <v>13013.81</v>
      </c>
      <c r="Q553" s="25" t="s">
        <v>50</v>
      </c>
      <c r="R553" s="22" t="s">
        <v>36</v>
      </c>
      <c r="S553" s="25" t="s">
        <v>29</v>
      </c>
      <c r="T553" s="24" t="s">
        <v>30</v>
      </c>
      <c r="U553" s="31" t="s">
        <v>31</v>
      </c>
      <c r="V553" s="31" t="n">
        <v>43343</v>
      </c>
      <c r="W553" s="18"/>
      <c r="X553" s="18"/>
    </row>
    <row r="554" customFormat="false" ht="13.8" hidden="false" customHeight="false" outlineLevel="0" collapsed="false">
      <c r="A554" s="18"/>
      <c r="B554" s="19" t="n">
        <v>1254</v>
      </c>
      <c r="C554" s="20" t="n">
        <v>43255</v>
      </c>
      <c r="D554" s="21" t="s">
        <v>22</v>
      </c>
      <c r="E554" s="22" t="s">
        <v>350</v>
      </c>
      <c r="F554" s="23" t="s">
        <v>323</v>
      </c>
      <c r="G554" s="22" t="s">
        <v>715</v>
      </c>
      <c r="H554" s="24" t="s">
        <v>36</v>
      </c>
      <c r="I554" s="24" t="s">
        <v>27</v>
      </c>
      <c r="J554" s="25" t="n">
        <v>56.3</v>
      </c>
      <c r="K554" s="26" t="n">
        <v>500000</v>
      </c>
      <c r="L554" s="27" t="n">
        <f aca="false">K554/J554</f>
        <v>8880.9946714032</v>
      </c>
      <c r="M554" s="28" t="s">
        <v>834</v>
      </c>
      <c r="N554" s="29" t="n">
        <f aca="false">39000+1000</f>
        <v>40000</v>
      </c>
      <c r="O554" s="30" t="n">
        <f aca="false">K554+N554</f>
        <v>540000</v>
      </c>
      <c r="P554" s="30" t="n">
        <f aca="false">ROUND(O554/J554, 2)</f>
        <v>9591.47</v>
      </c>
      <c r="Q554" s="25" t="s">
        <v>161</v>
      </c>
      <c r="R554" s="22" t="s">
        <v>36</v>
      </c>
      <c r="S554" s="25" t="s">
        <v>29</v>
      </c>
      <c r="T554" s="24" t="s">
        <v>30</v>
      </c>
      <c r="U554" s="31" t="s">
        <v>31</v>
      </c>
      <c r="V554" s="31" t="n">
        <v>43343</v>
      </c>
      <c r="W554" s="34"/>
      <c r="X554" s="34"/>
    </row>
    <row r="555" customFormat="false" ht="13.8" hidden="false" customHeight="false" outlineLevel="0" collapsed="false">
      <c r="A555" s="18"/>
      <c r="B555" s="19" t="n">
        <v>5967</v>
      </c>
      <c r="C555" s="20" t="n">
        <v>43255</v>
      </c>
      <c r="D555" s="21" t="s">
        <v>22</v>
      </c>
      <c r="E555" s="22" t="s">
        <v>350</v>
      </c>
      <c r="F555" s="23" t="s">
        <v>323</v>
      </c>
      <c r="G555" s="22" t="s">
        <v>835</v>
      </c>
      <c r="H555" s="24" t="s">
        <v>197</v>
      </c>
      <c r="I555" s="24" t="s">
        <v>49</v>
      </c>
      <c r="J555" s="25" t="n">
        <v>37.2</v>
      </c>
      <c r="K555" s="26" t="n">
        <v>409900</v>
      </c>
      <c r="L555" s="27" t="n">
        <f aca="false">K555/J555</f>
        <v>11018.8172043011</v>
      </c>
      <c r="M555" s="28"/>
      <c r="N555" s="29"/>
      <c r="O555" s="30" t="n">
        <f aca="false">K555+N555</f>
        <v>409900</v>
      </c>
      <c r="P555" s="30" t="n">
        <f aca="false">ROUND(O555/J555, 2)</f>
        <v>11018.82</v>
      </c>
      <c r="Q555" s="25" t="s">
        <v>161</v>
      </c>
      <c r="R555" s="22" t="s">
        <v>36</v>
      </c>
      <c r="S555" s="25" t="s">
        <v>29</v>
      </c>
      <c r="T555" s="24" t="s">
        <v>30</v>
      </c>
      <c r="U555" s="31" t="s">
        <v>31</v>
      </c>
      <c r="V555" s="31" t="n">
        <v>43343</v>
      </c>
      <c r="W555" s="34"/>
      <c r="X555" s="34"/>
    </row>
    <row r="556" customFormat="false" ht="13.8" hidden="false" customHeight="false" outlineLevel="0" collapsed="false">
      <c r="A556" s="18"/>
      <c r="B556" s="19" t="n">
        <v>1193</v>
      </c>
      <c r="C556" s="20" t="n">
        <v>43255</v>
      </c>
      <c r="D556" s="21" t="s">
        <v>22</v>
      </c>
      <c r="E556" s="22" t="s">
        <v>190</v>
      </c>
      <c r="F556" s="23" t="s">
        <v>38</v>
      </c>
      <c r="G556" s="22" t="s">
        <v>836</v>
      </c>
      <c r="H556" s="24" t="s">
        <v>336</v>
      </c>
      <c r="I556" s="24" t="s">
        <v>57</v>
      </c>
      <c r="J556" s="25" t="n">
        <v>36.4</v>
      </c>
      <c r="K556" s="26" t="n">
        <v>315000</v>
      </c>
      <c r="L556" s="27" t="n">
        <f aca="false">K556/J556</f>
        <v>8653.84615384616</v>
      </c>
      <c r="M556" s="28"/>
      <c r="N556" s="29"/>
      <c r="O556" s="30" t="n">
        <f aca="false">K556+N556</f>
        <v>315000</v>
      </c>
      <c r="P556" s="30" t="n">
        <f aca="false">ROUND(O556/J556, 2)</f>
        <v>8653.85</v>
      </c>
      <c r="Q556" s="25" t="s">
        <v>50</v>
      </c>
      <c r="R556" s="22" t="s">
        <v>36</v>
      </c>
      <c r="S556" s="25" t="s">
        <v>29</v>
      </c>
      <c r="T556" s="24" t="s">
        <v>30</v>
      </c>
      <c r="U556" s="31" t="s">
        <v>31</v>
      </c>
      <c r="V556" s="31" t="n">
        <v>43343</v>
      </c>
      <c r="W556" s="34"/>
      <c r="X556" s="34"/>
    </row>
    <row r="557" customFormat="false" ht="13.8" hidden="false" customHeight="false" outlineLevel="0" collapsed="false">
      <c r="A557" s="18"/>
      <c r="B557" s="19" t="s">
        <v>837</v>
      </c>
      <c r="C557" s="20" t="n">
        <v>43255</v>
      </c>
      <c r="D557" s="21" t="s">
        <v>22</v>
      </c>
      <c r="E557" s="22" t="s">
        <v>187</v>
      </c>
      <c r="F557" s="23" t="s">
        <v>661</v>
      </c>
      <c r="G557" s="22" t="s">
        <v>838</v>
      </c>
      <c r="H557" s="24" t="s">
        <v>57</v>
      </c>
      <c r="I557" s="24" t="s">
        <v>27</v>
      </c>
      <c r="J557" s="25" t="n">
        <v>31.4</v>
      </c>
      <c r="K557" s="26" t="n">
        <v>335000</v>
      </c>
      <c r="L557" s="27" t="n">
        <f aca="false">K557/J557</f>
        <v>10668.7898089172</v>
      </c>
      <c r="M557" s="28"/>
      <c r="N557" s="29"/>
      <c r="O557" s="30" t="n">
        <f aca="false">K557+N557</f>
        <v>335000</v>
      </c>
      <c r="P557" s="30" t="n">
        <f aca="false">ROUND(O557/J557, 2)</f>
        <v>10668.79</v>
      </c>
      <c r="Q557" s="25" t="s">
        <v>41</v>
      </c>
      <c r="R557" s="22" t="s">
        <v>27</v>
      </c>
      <c r="S557" s="25" t="s">
        <v>29</v>
      </c>
      <c r="T557" s="24" t="s">
        <v>30</v>
      </c>
      <c r="U557" s="31" t="s">
        <v>31</v>
      </c>
      <c r="V557" s="31" t="n">
        <v>43343</v>
      </c>
      <c r="W557" s="34" t="s">
        <v>839</v>
      </c>
      <c r="X557" s="34"/>
    </row>
    <row r="558" customFormat="false" ht="13.8" hidden="false" customHeight="false" outlineLevel="0" collapsed="false">
      <c r="A558" s="18"/>
      <c r="B558" s="19" t="n">
        <v>5235</v>
      </c>
      <c r="C558" s="20" t="n">
        <v>43255</v>
      </c>
      <c r="D558" s="21" t="s">
        <v>22</v>
      </c>
      <c r="E558" s="22" t="s">
        <v>187</v>
      </c>
      <c r="F558" s="23" t="s">
        <v>127</v>
      </c>
      <c r="G558" s="22" t="s">
        <v>840</v>
      </c>
      <c r="H558" s="24" t="s">
        <v>154</v>
      </c>
      <c r="I558" s="24" t="s">
        <v>26</v>
      </c>
      <c r="J558" s="25" t="n">
        <v>37.8</v>
      </c>
      <c r="K558" s="26" t="n">
        <v>514000</v>
      </c>
      <c r="L558" s="27" t="n">
        <f aca="false">K558/J558</f>
        <v>13597.8835978836</v>
      </c>
      <c r="M558" s="28" t="s">
        <v>64</v>
      </c>
      <c r="N558" s="29"/>
      <c r="O558" s="30" t="n">
        <f aca="false">K558+N558</f>
        <v>514000</v>
      </c>
      <c r="P558" s="30" t="n">
        <f aca="false">ROUND(O558/J558, 2)</f>
        <v>13597.88</v>
      </c>
      <c r="Q558" s="25" t="s">
        <v>50</v>
      </c>
      <c r="R558" s="22" t="s">
        <v>36</v>
      </c>
      <c r="S558" s="25" t="s">
        <v>29</v>
      </c>
      <c r="T558" s="24" t="s">
        <v>30</v>
      </c>
      <c r="U558" s="31" t="s">
        <v>31</v>
      </c>
      <c r="V558" s="31" t="n">
        <v>43343</v>
      </c>
      <c r="W558" s="18"/>
      <c r="X558" s="34"/>
      <c r="AMJ558" s="32"/>
    </row>
    <row r="559" s="32" customFormat="true" ht="13.8" hidden="false" customHeight="false" outlineLevel="0" collapsed="false">
      <c r="A559" s="18"/>
      <c r="B559" s="19" t="n">
        <v>2959</v>
      </c>
      <c r="C559" s="20" t="n">
        <v>43256</v>
      </c>
      <c r="D559" s="21" t="s">
        <v>22</v>
      </c>
      <c r="E559" s="22" t="s">
        <v>75</v>
      </c>
      <c r="F559" s="23" t="s">
        <v>76</v>
      </c>
      <c r="G559" s="22" t="s">
        <v>163</v>
      </c>
      <c r="H559" s="24" t="s">
        <v>163</v>
      </c>
      <c r="I559" s="24" t="s">
        <v>49</v>
      </c>
      <c r="J559" s="25" t="n">
        <f aca="false">49.26-2.68</f>
        <v>46.58</v>
      </c>
      <c r="K559" s="26" t="n">
        <v>330000</v>
      </c>
      <c r="L559" s="27" t="n">
        <f aca="false">K559/J559</f>
        <v>7084.58565908115</v>
      </c>
      <c r="M559" s="28" t="s">
        <v>841</v>
      </c>
      <c r="N559" s="29"/>
      <c r="O559" s="30" t="n">
        <f aca="false">K559+N559</f>
        <v>330000</v>
      </c>
      <c r="P559" s="30" t="n">
        <f aca="false">ROUND(O559/J559, 2)</f>
        <v>7084.59</v>
      </c>
      <c r="Q559" s="25" t="s">
        <v>465</v>
      </c>
      <c r="R559" s="22" t="s">
        <v>36</v>
      </c>
      <c r="S559" s="25" t="s">
        <v>29</v>
      </c>
      <c r="T559" s="24" t="s">
        <v>30</v>
      </c>
      <c r="U559" s="31" t="s">
        <v>31</v>
      </c>
      <c r="V559" s="31" t="n">
        <v>43343</v>
      </c>
      <c r="W559" s="18"/>
      <c r="X559" s="34"/>
      <c r="Y559" s="35"/>
      <c r="Z559" s="36"/>
    </row>
    <row r="560" s="32" customFormat="true" ht="13.8" hidden="false" customHeight="false" outlineLevel="0" collapsed="false">
      <c r="A560" s="18"/>
      <c r="B560" s="19" t="n">
        <v>4062</v>
      </c>
      <c r="C560" s="20" t="n">
        <v>43256</v>
      </c>
      <c r="D560" s="21" t="s">
        <v>22</v>
      </c>
      <c r="E560" s="22" t="s">
        <v>665</v>
      </c>
      <c r="F560" s="23" t="s">
        <v>666</v>
      </c>
      <c r="G560" s="22" t="s">
        <v>101</v>
      </c>
      <c r="H560" s="24" t="s">
        <v>842</v>
      </c>
      <c r="I560" s="24" t="s">
        <v>49</v>
      </c>
      <c r="J560" s="25" t="n">
        <v>84.4</v>
      </c>
      <c r="K560" s="26" t="n">
        <v>1150000</v>
      </c>
      <c r="L560" s="27" t="n">
        <f aca="false">K560/J560</f>
        <v>13625.5924170616</v>
      </c>
      <c r="M560" s="28" t="s">
        <v>655</v>
      </c>
      <c r="N560" s="29" t="n">
        <v>50000</v>
      </c>
      <c r="O560" s="30" t="n">
        <f aca="false">K560+N560</f>
        <v>1200000</v>
      </c>
      <c r="P560" s="30" t="n">
        <f aca="false">ROUND(O560/J560, 2)</f>
        <v>14218.01</v>
      </c>
      <c r="Q560" s="25" t="s">
        <v>85</v>
      </c>
      <c r="R560" s="22" t="s">
        <v>26</v>
      </c>
      <c r="S560" s="25" t="s">
        <v>29</v>
      </c>
      <c r="T560" s="24" t="s">
        <v>30</v>
      </c>
      <c r="U560" s="31" t="s">
        <v>31</v>
      </c>
      <c r="V560" s="31" t="n">
        <v>43343</v>
      </c>
      <c r="W560" s="18"/>
      <c r="X560" s="18"/>
      <c r="Y560" s="1"/>
      <c r="Z560" s="1"/>
    </row>
    <row r="561" customFormat="false" ht="13.8" hidden="false" customHeight="false" outlineLevel="0" collapsed="false">
      <c r="A561" s="18"/>
      <c r="B561" s="19" t="n">
        <v>1804</v>
      </c>
      <c r="C561" s="20" t="n">
        <v>43256</v>
      </c>
      <c r="D561" s="21" t="s">
        <v>22</v>
      </c>
      <c r="E561" s="22" t="s">
        <v>190</v>
      </c>
      <c r="F561" s="23" t="s">
        <v>591</v>
      </c>
      <c r="G561" s="22" t="s">
        <v>120</v>
      </c>
      <c r="H561" s="24" t="s">
        <v>554</v>
      </c>
      <c r="I561" s="24" t="s">
        <v>49</v>
      </c>
      <c r="J561" s="25" t="n">
        <v>47.71</v>
      </c>
      <c r="K561" s="26" t="n">
        <v>480000</v>
      </c>
      <c r="L561" s="27" t="n">
        <f aca="false">K561/J561</f>
        <v>10060.7839027458</v>
      </c>
      <c r="M561" s="28" t="s">
        <v>234</v>
      </c>
      <c r="N561" s="29"/>
      <c r="O561" s="30" t="n">
        <f aca="false">K561+N561</f>
        <v>480000</v>
      </c>
      <c r="P561" s="30" t="n">
        <f aca="false">ROUND(O561/J561, 2)</f>
        <v>10060.78</v>
      </c>
      <c r="Q561" s="25" t="s">
        <v>161</v>
      </c>
      <c r="R561" s="22" t="s">
        <v>36</v>
      </c>
      <c r="S561" s="25" t="s">
        <v>29</v>
      </c>
      <c r="T561" s="24" t="s">
        <v>30</v>
      </c>
      <c r="U561" s="31" t="s">
        <v>31</v>
      </c>
      <c r="V561" s="31" t="n">
        <v>43343</v>
      </c>
      <c r="W561" s="18"/>
      <c r="X561" s="18"/>
    </row>
    <row r="562" customFormat="false" ht="13.8" hidden="false" customHeight="false" outlineLevel="0" collapsed="false">
      <c r="A562" s="18"/>
      <c r="B562" s="19" t="n">
        <v>2436</v>
      </c>
      <c r="C562" s="20" t="n">
        <v>43256</v>
      </c>
      <c r="D562" s="21" t="s">
        <v>22</v>
      </c>
      <c r="E562" s="22" t="s">
        <v>42</v>
      </c>
      <c r="F562" s="23" t="s">
        <v>263</v>
      </c>
      <c r="G562" s="22" t="s">
        <v>111</v>
      </c>
      <c r="H562" s="24" t="s">
        <v>259</v>
      </c>
      <c r="I562" s="24" t="s">
        <v>26</v>
      </c>
      <c r="J562" s="25" t="n">
        <f aca="false">55.1</f>
        <v>55.1</v>
      </c>
      <c r="K562" s="26" t="n">
        <v>590000</v>
      </c>
      <c r="L562" s="27" t="n">
        <f aca="false">K562/J562</f>
        <v>10707.8039927405</v>
      </c>
      <c r="M562" s="28" t="s">
        <v>843</v>
      </c>
      <c r="N562" s="29"/>
      <c r="O562" s="30" t="n">
        <f aca="false">K562+N562</f>
        <v>590000</v>
      </c>
      <c r="P562" s="30" t="n">
        <f aca="false">ROUND(O562/J562, 2)</f>
        <v>10707.8</v>
      </c>
      <c r="Q562" s="25" t="s">
        <v>85</v>
      </c>
      <c r="R562" s="22" t="s">
        <v>26</v>
      </c>
      <c r="S562" s="25" t="s">
        <v>29</v>
      </c>
      <c r="T562" s="24" t="s">
        <v>30</v>
      </c>
      <c r="U562" s="31" t="s">
        <v>31</v>
      </c>
      <c r="V562" s="31" t="n">
        <v>43343</v>
      </c>
      <c r="W562" s="34" t="s">
        <v>844</v>
      </c>
      <c r="X562" s="18"/>
    </row>
    <row r="563" customFormat="false" ht="13.8" hidden="false" customHeight="false" outlineLevel="0" collapsed="false">
      <c r="A563" s="18"/>
      <c r="B563" s="19" t="n">
        <v>5753</v>
      </c>
      <c r="C563" s="20" t="n">
        <v>43256</v>
      </c>
      <c r="D563" s="21" t="s">
        <v>22</v>
      </c>
      <c r="E563" s="22" t="s">
        <v>302</v>
      </c>
      <c r="F563" s="23" t="s">
        <v>485</v>
      </c>
      <c r="G563" s="22" t="s">
        <v>95</v>
      </c>
      <c r="H563" s="24" t="s">
        <v>143</v>
      </c>
      <c r="I563" s="24" t="s">
        <v>26</v>
      </c>
      <c r="J563" s="25" t="n">
        <v>96.01</v>
      </c>
      <c r="K563" s="26" t="n">
        <v>950000</v>
      </c>
      <c r="L563" s="27" t="n">
        <f aca="false">K563/J563</f>
        <v>9894.80262472659</v>
      </c>
      <c r="M563" s="28"/>
      <c r="N563" s="29"/>
      <c r="O563" s="30" t="n">
        <f aca="false">K563+N563</f>
        <v>950000</v>
      </c>
      <c r="P563" s="30" t="n">
        <f aca="false">ROUND(O563/J563, 2)</f>
        <v>9894.8</v>
      </c>
      <c r="Q563" s="25" t="s">
        <v>85</v>
      </c>
      <c r="R563" s="22" t="s">
        <v>26</v>
      </c>
      <c r="S563" s="25" t="s">
        <v>29</v>
      </c>
      <c r="T563" s="24" t="s">
        <v>30</v>
      </c>
      <c r="U563" s="31" t="s">
        <v>31</v>
      </c>
      <c r="V563" s="31" t="n">
        <v>43343</v>
      </c>
      <c r="W563" s="18"/>
      <c r="X563" s="18"/>
    </row>
    <row r="564" customFormat="false" ht="13.8" hidden="false" customHeight="false" outlineLevel="0" collapsed="false">
      <c r="A564" s="18"/>
      <c r="B564" s="19" t="n">
        <v>3188</v>
      </c>
      <c r="C564" s="20" t="n">
        <v>43256</v>
      </c>
      <c r="D564" s="21" t="s">
        <v>22</v>
      </c>
      <c r="E564" s="22" t="s">
        <v>284</v>
      </c>
      <c r="F564" s="23" t="s">
        <v>46</v>
      </c>
      <c r="G564" s="22" t="s">
        <v>222</v>
      </c>
      <c r="H564" s="24" t="s">
        <v>180</v>
      </c>
      <c r="I564" s="24" t="s">
        <v>25</v>
      </c>
      <c r="J564" s="25" t="n">
        <v>41.07</v>
      </c>
      <c r="K564" s="26" t="n">
        <v>377000</v>
      </c>
      <c r="L564" s="27" t="n">
        <f aca="false">K564/J564</f>
        <v>9179.44971999026</v>
      </c>
      <c r="M564" s="28"/>
      <c r="N564" s="29"/>
      <c r="O564" s="30" t="n">
        <f aca="false">K564+N564</f>
        <v>377000</v>
      </c>
      <c r="P564" s="30" t="n">
        <f aca="false">ROUND(O564/J564, 2)</f>
        <v>9179.45</v>
      </c>
      <c r="Q564" s="25" t="s">
        <v>41</v>
      </c>
      <c r="R564" s="22" t="s">
        <v>27</v>
      </c>
      <c r="S564" s="25" t="s">
        <v>29</v>
      </c>
      <c r="T564" s="24" t="s">
        <v>30</v>
      </c>
      <c r="U564" s="31" t="s">
        <v>31</v>
      </c>
      <c r="V564" s="31" t="n">
        <v>43343</v>
      </c>
      <c r="W564" s="18"/>
      <c r="X564" s="18"/>
    </row>
    <row r="565" customFormat="false" ht="13.8" hidden="false" customHeight="false" outlineLevel="0" collapsed="false">
      <c r="A565" s="18"/>
      <c r="B565" s="19" t="n">
        <v>1488</v>
      </c>
      <c r="C565" s="20" t="n">
        <v>43256</v>
      </c>
      <c r="D565" s="21" t="s">
        <v>22</v>
      </c>
      <c r="E565" s="22" t="s">
        <v>302</v>
      </c>
      <c r="F565" s="23" t="s">
        <v>589</v>
      </c>
      <c r="G565" s="22" t="s">
        <v>845</v>
      </c>
      <c r="H565" s="24" t="s">
        <v>111</v>
      </c>
      <c r="I565" s="24" t="s">
        <v>36</v>
      </c>
      <c r="J565" s="25" t="n">
        <v>55.66</v>
      </c>
      <c r="K565" s="26" t="n">
        <v>520000</v>
      </c>
      <c r="L565" s="27" t="n">
        <f aca="false">K565/J565</f>
        <v>9342.43621990658</v>
      </c>
      <c r="M565" s="28" t="s">
        <v>64</v>
      </c>
      <c r="N565" s="29"/>
      <c r="O565" s="30" t="n">
        <f aca="false">K565+N565</f>
        <v>520000</v>
      </c>
      <c r="P565" s="30" t="n">
        <f aca="false">ROUND(O565/J565, 2)</f>
        <v>9342.44</v>
      </c>
      <c r="Q565" s="25" t="s">
        <v>465</v>
      </c>
      <c r="R565" s="22" t="s">
        <v>36</v>
      </c>
      <c r="S565" s="25" t="s">
        <v>29</v>
      </c>
      <c r="T565" s="24" t="s">
        <v>30</v>
      </c>
      <c r="U565" s="31" t="s">
        <v>31</v>
      </c>
      <c r="V565" s="31" t="n">
        <v>43343</v>
      </c>
      <c r="W565" s="18"/>
      <c r="X565" s="18"/>
    </row>
    <row r="566" customFormat="false" ht="13.8" hidden="false" customHeight="false" outlineLevel="0" collapsed="false">
      <c r="A566" s="18"/>
      <c r="B566" s="19" t="n">
        <v>2724</v>
      </c>
      <c r="C566" s="20" t="n">
        <v>43257</v>
      </c>
      <c r="D566" s="21" t="s">
        <v>22</v>
      </c>
      <c r="E566" s="22" t="s">
        <v>343</v>
      </c>
      <c r="F566" s="23" t="s">
        <v>344</v>
      </c>
      <c r="G566" s="22" t="s">
        <v>177</v>
      </c>
      <c r="H566" s="24" t="s">
        <v>269</v>
      </c>
      <c r="I566" s="24" t="s">
        <v>36</v>
      </c>
      <c r="J566" s="25" t="n">
        <v>92.85</v>
      </c>
      <c r="K566" s="26" t="n">
        <v>945000</v>
      </c>
      <c r="L566" s="27" t="n">
        <f aca="false">K566/J566</f>
        <v>10177.7059773829</v>
      </c>
      <c r="M566" s="28" t="s">
        <v>360</v>
      </c>
      <c r="N566" s="29"/>
      <c r="O566" s="30" t="n">
        <f aca="false">K566+N566</f>
        <v>945000</v>
      </c>
      <c r="P566" s="30" t="n">
        <f aca="false">ROUND(O566/J566, 2)</f>
        <v>10177.71</v>
      </c>
      <c r="Q566" s="25" t="s">
        <v>91</v>
      </c>
      <c r="R566" s="22" t="s">
        <v>49</v>
      </c>
      <c r="S566" s="25" t="s">
        <v>29</v>
      </c>
      <c r="T566" s="24" t="s">
        <v>30</v>
      </c>
      <c r="U566" s="31" t="s">
        <v>31</v>
      </c>
      <c r="V566" s="31" t="n">
        <v>43343</v>
      </c>
      <c r="W566" s="18"/>
      <c r="X566" s="18"/>
    </row>
    <row r="567" customFormat="false" ht="13.8" hidden="false" customHeight="false" outlineLevel="0" collapsed="false">
      <c r="A567" s="18"/>
      <c r="B567" s="19" t="n">
        <v>5412</v>
      </c>
      <c r="C567" s="20" t="n">
        <v>43257</v>
      </c>
      <c r="D567" s="21" t="s">
        <v>22</v>
      </c>
      <c r="E567" s="22" t="s">
        <v>646</v>
      </c>
      <c r="F567" s="23" t="s">
        <v>846</v>
      </c>
      <c r="G567" s="22" t="s">
        <v>25</v>
      </c>
      <c r="H567" s="24" t="s">
        <v>421</v>
      </c>
      <c r="I567" s="24" t="s">
        <v>143</v>
      </c>
      <c r="J567" s="25" t="n">
        <f aca="false">39.97-0.77</f>
        <v>39.2</v>
      </c>
      <c r="K567" s="26" t="n">
        <v>325000</v>
      </c>
      <c r="L567" s="27" t="n">
        <f aca="false">K567/J567</f>
        <v>8290.81632653061</v>
      </c>
      <c r="M567" s="28" t="s">
        <v>847</v>
      </c>
      <c r="N567" s="29"/>
      <c r="O567" s="30" t="n">
        <f aca="false">K567+N567</f>
        <v>325000</v>
      </c>
      <c r="P567" s="30" t="n">
        <f aca="false">ROUND(O567/J567, 2)</f>
        <v>8290.82</v>
      </c>
      <c r="Q567" s="25" t="s">
        <v>50</v>
      </c>
      <c r="R567" s="22" t="s">
        <v>36</v>
      </c>
      <c r="S567" s="25" t="s">
        <v>29</v>
      </c>
      <c r="T567" s="24" t="s">
        <v>30</v>
      </c>
      <c r="U567" s="31" t="s">
        <v>31</v>
      </c>
      <c r="V567" s="31" t="n">
        <v>43343</v>
      </c>
      <c r="W567" s="18"/>
      <c r="X567" s="18"/>
    </row>
    <row r="568" customFormat="false" ht="13.8" hidden="false" customHeight="false" outlineLevel="0" collapsed="false">
      <c r="A568" s="18"/>
      <c r="B568" s="19" t="n">
        <v>1816</v>
      </c>
      <c r="C568" s="20" t="n">
        <v>43257</v>
      </c>
      <c r="D568" s="21" t="s">
        <v>22</v>
      </c>
      <c r="E568" s="22" t="s">
        <v>276</v>
      </c>
      <c r="F568" s="23" t="s">
        <v>38</v>
      </c>
      <c r="G568" s="22" t="s">
        <v>141</v>
      </c>
      <c r="H568" s="24" t="s">
        <v>105</v>
      </c>
      <c r="I568" s="24" t="s">
        <v>82</v>
      </c>
      <c r="J568" s="25" t="n">
        <v>57.2</v>
      </c>
      <c r="K568" s="26" t="n">
        <v>385000</v>
      </c>
      <c r="L568" s="27" t="n">
        <f aca="false">K568/J568</f>
        <v>6730.76923076923</v>
      </c>
      <c r="M568" s="28"/>
      <c r="N568" s="29"/>
      <c r="O568" s="30" t="n">
        <f aca="false">K568+N568</f>
        <v>385000</v>
      </c>
      <c r="P568" s="30" t="n">
        <f aca="false">ROUND(O568/J568, 2)</f>
        <v>6730.77</v>
      </c>
      <c r="Q568" s="25" t="s">
        <v>85</v>
      </c>
      <c r="R568" s="22" t="s">
        <v>26</v>
      </c>
      <c r="S568" s="25" t="s">
        <v>29</v>
      </c>
      <c r="T568" s="24" t="s">
        <v>30</v>
      </c>
      <c r="U568" s="31" t="s">
        <v>31</v>
      </c>
      <c r="V568" s="31" t="n">
        <v>43343</v>
      </c>
      <c r="W568" s="18"/>
      <c r="X568" s="18"/>
    </row>
    <row r="569" customFormat="false" ht="13.8" hidden="false" customHeight="false" outlineLevel="0" collapsed="false">
      <c r="A569" s="18"/>
      <c r="B569" s="19" t="n">
        <v>1801</v>
      </c>
      <c r="C569" s="20" t="n">
        <v>43257</v>
      </c>
      <c r="D569" s="21" t="s">
        <v>22</v>
      </c>
      <c r="E569" s="22" t="s">
        <v>212</v>
      </c>
      <c r="F569" s="23" t="s">
        <v>514</v>
      </c>
      <c r="G569" s="22" t="s">
        <v>848</v>
      </c>
      <c r="H569" s="24" t="s">
        <v>778</v>
      </c>
      <c r="I569" s="24" t="s">
        <v>25</v>
      </c>
      <c r="J569" s="25" t="n">
        <f aca="false">44.39</f>
        <v>44.39</v>
      </c>
      <c r="K569" s="26" t="n">
        <v>431000</v>
      </c>
      <c r="L569" s="27" t="n">
        <f aca="false">K569/J569</f>
        <v>9709.39400765938</v>
      </c>
      <c r="M569" s="28" t="s">
        <v>849</v>
      </c>
      <c r="N569" s="29"/>
      <c r="O569" s="30" t="n">
        <f aca="false">K569+N569</f>
        <v>431000</v>
      </c>
      <c r="P569" s="30" t="n">
        <f aca="false">ROUND(O569/J569, 2)</f>
        <v>9709.39</v>
      </c>
      <c r="Q569" s="25" t="s">
        <v>50</v>
      </c>
      <c r="R569" s="22" t="s">
        <v>36</v>
      </c>
      <c r="S569" s="25" t="s">
        <v>29</v>
      </c>
      <c r="T569" s="24" t="s">
        <v>30</v>
      </c>
      <c r="U569" s="31" t="s">
        <v>31</v>
      </c>
      <c r="V569" s="31" t="n">
        <v>43343</v>
      </c>
      <c r="W569" s="34" t="s">
        <v>850</v>
      </c>
      <c r="X569" s="18"/>
    </row>
    <row r="570" customFormat="false" ht="13.8" hidden="false" customHeight="false" outlineLevel="0" collapsed="false">
      <c r="A570" s="18"/>
      <c r="B570" s="19" t="n">
        <v>3109</v>
      </c>
      <c r="C570" s="20" t="n">
        <v>43257</v>
      </c>
      <c r="D570" s="21" t="s">
        <v>22</v>
      </c>
      <c r="E570" s="22" t="s">
        <v>459</v>
      </c>
      <c r="F570" s="23" t="s">
        <v>279</v>
      </c>
      <c r="G570" s="22" t="s">
        <v>49</v>
      </c>
      <c r="H570" s="24" t="s">
        <v>77</v>
      </c>
      <c r="I570" s="24" t="s">
        <v>26</v>
      </c>
      <c r="J570" s="25" t="n">
        <v>38.28</v>
      </c>
      <c r="K570" s="26" t="n">
        <v>275000</v>
      </c>
      <c r="L570" s="27" t="n">
        <f aca="false">K570/J570</f>
        <v>7183.90804597701</v>
      </c>
      <c r="M570" s="28" t="s">
        <v>64</v>
      </c>
      <c r="N570" s="29"/>
      <c r="O570" s="30" t="n">
        <f aca="false">K570+N570</f>
        <v>275000</v>
      </c>
      <c r="P570" s="30" t="n">
        <f aca="false">ROUND(O570/J570, 2)</f>
        <v>7183.91</v>
      </c>
      <c r="Q570" s="25" t="s">
        <v>620</v>
      </c>
      <c r="R570" s="22" t="s">
        <v>36</v>
      </c>
      <c r="S570" s="25" t="s">
        <v>29</v>
      </c>
      <c r="T570" s="24" t="s">
        <v>30</v>
      </c>
      <c r="U570" s="31" t="s">
        <v>31</v>
      </c>
      <c r="V570" s="31" t="n">
        <v>43343</v>
      </c>
      <c r="W570" s="18"/>
      <c r="X570" s="18"/>
    </row>
    <row r="571" customFormat="false" ht="13.8" hidden="false" customHeight="false" outlineLevel="0" collapsed="false">
      <c r="A571" s="18"/>
      <c r="B571" s="19" t="n">
        <v>1804</v>
      </c>
      <c r="C571" s="20" t="n">
        <v>43257</v>
      </c>
      <c r="D571" s="21" t="s">
        <v>22</v>
      </c>
      <c r="E571" s="22" t="s">
        <v>171</v>
      </c>
      <c r="F571" s="23" t="s">
        <v>172</v>
      </c>
      <c r="G571" s="22" t="s">
        <v>173</v>
      </c>
      <c r="H571" s="24" t="s">
        <v>174</v>
      </c>
      <c r="I571" s="24" t="s">
        <v>57</v>
      </c>
      <c r="J571" s="25" t="n">
        <v>56.4</v>
      </c>
      <c r="K571" s="26" t="n">
        <v>480000</v>
      </c>
      <c r="L571" s="27" t="n">
        <f aca="false">K571/J571</f>
        <v>8510.63829787234</v>
      </c>
      <c r="M571" s="28"/>
      <c r="N571" s="29"/>
      <c r="O571" s="30" t="n">
        <f aca="false">K571+N571</f>
        <v>480000</v>
      </c>
      <c r="P571" s="30" t="n">
        <f aca="false">ROUND(O571/J571, 2)</f>
        <v>8510.64</v>
      </c>
      <c r="Q571" s="25" t="s">
        <v>85</v>
      </c>
      <c r="R571" s="22" t="s">
        <v>26</v>
      </c>
      <c r="S571" s="25" t="s">
        <v>29</v>
      </c>
      <c r="T571" s="24" t="s">
        <v>30</v>
      </c>
      <c r="U571" s="31" t="s">
        <v>31</v>
      </c>
      <c r="V571" s="31" t="n">
        <v>43343</v>
      </c>
      <c r="W571" s="18"/>
      <c r="X571" s="18"/>
      <c r="AMJ571" s="32"/>
    </row>
    <row r="572" s="32" customFormat="true" ht="13.8" hidden="false" customHeight="false" outlineLevel="0" collapsed="false">
      <c r="A572" s="18"/>
      <c r="B572" s="19" t="n">
        <v>2915</v>
      </c>
      <c r="C572" s="20" t="n">
        <v>43257</v>
      </c>
      <c r="D572" s="21" t="s">
        <v>22</v>
      </c>
      <c r="E572" s="22" t="s">
        <v>113</v>
      </c>
      <c r="F572" s="23" t="s">
        <v>851</v>
      </c>
      <c r="G572" s="22" t="s">
        <v>57</v>
      </c>
      <c r="H572" s="24" t="s">
        <v>25</v>
      </c>
      <c r="I572" s="24" t="s">
        <v>27</v>
      </c>
      <c r="J572" s="25" t="n">
        <f aca="false">39.52-1.32</f>
        <v>38.2</v>
      </c>
      <c r="K572" s="26" t="n">
        <v>296000</v>
      </c>
      <c r="L572" s="27" t="n">
        <f aca="false">K572/J572</f>
        <v>7748.69109947644</v>
      </c>
      <c r="M572" s="28" t="s">
        <v>852</v>
      </c>
      <c r="N572" s="29"/>
      <c r="O572" s="30" t="n">
        <f aca="false">K572+N572</f>
        <v>296000</v>
      </c>
      <c r="P572" s="30" t="n">
        <f aca="false">ROUND(O572/J572, 2)</f>
        <v>7748.69</v>
      </c>
      <c r="Q572" s="25" t="s">
        <v>50</v>
      </c>
      <c r="R572" s="22" t="s">
        <v>36</v>
      </c>
      <c r="S572" s="25" t="s">
        <v>29</v>
      </c>
      <c r="T572" s="24" t="s">
        <v>30</v>
      </c>
      <c r="U572" s="31" t="s">
        <v>31</v>
      </c>
      <c r="V572" s="31" t="n">
        <v>43343</v>
      </c>
      <c r="W572" s="18"/>
      <c r="X572" s="18"/>
    </row>
    <row r="573" customFormat="false" ht="13.8" hidden="false" customHeight="false" outlineLevel="0" collapsed="false">
      <c r="A573" s="18"/>
      <c r="B573" s="19" t="n">
        <v>8566</v>
      </c>
      <c r="C573" s="20" t="n">
        <v>43257</v>
      </c>
      <c r="D573" s="21" t="s">
        <v>22</v>
      </c>
      <c r="E573" s="22" t="s">
        <v>302</v>
      </c>
      <c r="F573" s="23" t="s">
        <v>485</v>
      </c>
      <c r="G573" s="22" t="s">
        <v>154</v>
      </c>
      <c r="H573" s="24" t="s">
        <v>112</v>
      </c>
      <c r="I573" s="24" t="s">
        <v>26</v>
      </c>
      <c r="J573" s="25" t="n">
        <v>79.76</v>
      </c>
      <c r="K573" s="26" t="n">
        <v>770000</v>
      </c>
      <c r="L573" s="27" t="n">
        <f aca="false">K573/J573</f>
        <v>9653.96188565697</v>
      </c>
      <c r="M573" s="28" t="s">
        <v>64</v>
      </c>
      <c r="N573" s="29"/>
      <c r="O573" s="30" t="n">
        <f aca="false">K573+N573</f>
        <v>770000</v>
      </c>
      <c r="P573" s="30" t="n">
        <f aca="false">ROUND(O573/J573, 2)</f>
        <v>9653.96</v>
      </c>
      <c r="Q573" s="25" t="s">
        <v>85</v>
      </c>
      <c r="R573" s="22" t="s">
        <v>26</v>
      </c>
      <c r="S573" s="25" t="s">
        <v>29</v>
      </c>
      <c r="T573" s="24" t="s">
        <v>30</v>
      </c>
      <c r="U573" s="31" t="s">
        <v>31</v>
      </c>
      <c r="V573" s="31" t="n">
        <v>43343</v>
      </c>
      <c r="W573" s="34"/>
      <c r="X573" s="34"/>
    </row>
    <row r="574" customFormat="false" ht="13.8" hidden="false" customHeight="false" outlineLevel="0" collapsed="false">
      <c r="A574" s="18"/>
      <c r="B574" s="19" t="n">
        <v>1496</v>
      </c>
      <c r="C574" s="20" t="n">
        <v>43257</v>
      </c>
      <c r="D574" s="21" t="s">
        <v>22</v>
      </c>
      <c r="E574" s="22" t="s">
        <v>109</v>
      </c>
      <c r="F574" s="23" t="s">
        <v>271</v>
      </c>
      <c r="G574" s="22" t="s">
        <v>48</v>
      </c>
      <c r="H574" s="24" t="s">
        <v>280</v>
      </c>
      <c r="I574" s="24" t="s">
        <v>26</v>
      </c>
      <c r="J574" s="25" t="n">
        <v>46.5</v>
      </c>
      <c r="K574" s="26" t="n">
        <v>460000</v>
      </c>
      <c r="L574" s="27" t="n">
        <f aca="false">K574/J574</f>
        <v>9892.47311827957</v>
      </c>
      <c r="M574" s="28" t="s">
        <v>64</v>
      </c>
      <c r="N574" s="29"/>
      <c r="O574" s="30" t="n">
        <f aca="false">K574+N574</f>
        <v>460000</v>
      </c>
      <c r="P574" s="30" t="n">
        <f aca="false">ROUND(O574/J574, 2)</f>
        <v>9892.47</v>
      </c>
      <c r="Q574" s="25" t="s">
        <v>50</v>
      </c>
      <c r="R574" s="22" t="s">
        <v>36</v>
      </c>
      <c r="S574" s="25" t="s">
        <v>29</v>
      </c>
      <c r="T574" s="24" t="s">
        <v>30</v>
      </c>
      <c r="U574" s="31" t="s">
        <v>31</v>
      </c>
      <c r="V574" s="31" t="n">
        <v>43343</v>
      </c>
      <c r="W574" s="18"/>
      <c r="X574" s="18"/>
    </row>
    <row r="575" customFormat="false" ht="13.8" hidden="false" customHeight="false" outlineLevel="0" collapsed="false">
      <c r="A575" s="18"/>
      <c r="B575" s="19" t="n">
        <v>535</v>
      </c>
      <c r="C575" s="20" t="n">
        <v>43257</v>
      </c>
      <c r="D575" s="21" t="s">
        <v>22</v>
      </c>
      <c r="E575" s="22" t="s">
        <v>235</v>
      </c>
      <c r="F575" s="23" t="s">
        <v>853</v>
      </c>
      <c r="G575" s="22" t="s">
        <v>410</v>
      </c>
      <c r="H575" s="24" t="s">
        <v>336</v>
      </c>
      <c r="I575" s="24" t="s">
        <v>36</v>
      </c>
      <c r="J575" s="25" t="n">
        <v>19.96</v>
      </c>
      <c r="K575" s="26" t="n">
        <v>235000</v>
      </c>
      <c r="L575" s="27" t="n">
        <f aca="false">K575/J575</f>
        <v>11773.5470941884</v>
      </c>
      <c r="M575" s="28"/>
      <c r="N575" s="29"/>
      <c r="O575" s="30" t="n">
        <f aca="false">K575+N575</f>
        <v>235000</v>
      </c>
      <c r="P575" s="30" t="n">
        <f aca="false">ROUND(O575/J575, 2)</f>
        <v>11773.55</v>
      </c>
      <c r="Q575" s="25" t="s">
        <v>182</v>
      </c>
      <c r="R575" s="22" t="s">
        <v>27</v>
      </c>
      <c r="S575" s="25" t="s">
        <v>29</v>
      </c>
      <c r="T575" s="24" t="s">
        <v>30</v>
      </c>
      <c r="U575" s="31" t="s">
        <v>31</v>
      </c>
      <c r="V575" s="31" t="n">
        <v>43343</v>
      </c>
      <c r="W575" s="34"/>
      <c r="X575" s="34"/>
    </row>
    <row r="576" customFormat="false" ht="13.8" hidden="false" customHeight="false" outlineLevel="0" collapsed="false">
      <c r="A576" s="18"/>
      <c r="B576" s="19" t="n">
        <v>8694</v>
      </c>
      <c r="C576" s="20" t="n">
        <v>43258</v>
      </c>
      <c r="D576" s="21" t="s">
        <v>22</v>
      </c>
      <c r="E576" s="22" t="s">
        <v>235</v>
      </c>
      <c r="F576" s="23" t="s">
        <v>854</v>
      </c>
      <c r="G576" s="22" t="s">
        <v>111</v>
      </c>
      <c r="H576" s="24" t="s">
        <v>120</v>
      </c>
      <c r="I576" s="24" t="s">
        <v>27</v>
      </c>
      <c r="J576" s="25" t="n">
        <v>18.56</v>
      </c>
      <c r="K576" s="26" t="n">
        <v>222000</v>
      </c>
      <c r="L576" s="27" t="n">
        <f aca="false">K576/J576</f>
        <v>11961.2068965517</v>
      </c>
      <c r="M576" s="28"/>
      <c r="N576" s="29"/>
      <c r="O576" s="30" t="n">
        <f aca="false">K576+N576</f>
        <v>222000</v>
      </c>
      <c r="P576" s="30" t="n">
        <f aca="false">ROUND(O576/J576, 2)</f>
        <v>11961.21</v>
      </c>
      <c r="Q576" s="25" t="s">
        <v>855</v>
      </c>
      <c r="R576" s="22" t="s">
        <v>27</v>
      </c>
      <c r="S576" s="25" t="s">
        <v>29</v>
      </c>
      <c r="T576" s="24" t="s">
        <v>30</v>
      </c>
      <c r="U576" s="31" t="s">
        <v>31</v>
      </c>
      <c r="V576" s="31" t="n">
        <v>43343</v>
      </c>
      <c r="W576" s="34"/>
      <c r="X576" s="34"/>
    </row>
    <row r="577" customFormat="false" ht="13.8" hidden="false" customHeight="false" outlineLevel="0" collapsed="false">
      <c r="A577" s="18"/>
      <c r="B577" s="19" t="n">
        <v>8515</v>
      </c>
      <c r="C577" s="20" t="n">
        <v>43258</v>
      </c>
      <c r="D577" s="21" t="s">
        <v>22</v>
      </c>
      <c r="E577" s="22" t="s">
        <v>122</v>
      </c>
      <c r="F577" s="23" t="s">
        <v>723</v>
      </c>
      <c r="G577" s="22" t="s">
        <v>26</v>
      </c>
      <c r="H577" s="24" t="s">
        <v>48</v>
      </c>
      <c r="I577" s="24" t="s">
        <v>57</v>
      </c>
      <c r="J577" s="25" t="n">
        <v>56.4</v>
      </c>
      <c r="K577" s="26" t="n">
        <v>395000</v>
      </c>
      <c r="L577" s="27" t="n">
        <f aca="false">K577/J577</f>
        <v>7003.54609929078</v>
      </c>
      <c r="M577" s="28" t="s">
        <v>856</v>
      </c>
      <c r="N577" s="29"/>
      <c r="O577" s="30" t="n">
        <f aca="false">K577+N577</f>
        <v>395000</v>
      </c>
      <c r="P577" s="30" t="n">
        <f aca="false">ROUND(O577/J577, 2)</f>
        <v>7003.55</v>
      </c>
      <c r="Q577" s="25" t="s">
        <v>724</v>
      </c>
      <c r="R577" s="22" t="s">
        <v>26</v>
      </c>
      <c r="S577" s="25" t="s">
        <v>29</v>
      </c>
      <c r="T577" s="24" t="s">
        <v>30</v>
      </c>
      <c r="U577" s="31" t="s">
        <v>31</v>
      </c>
      <c r="V577" s="31" t="n">
        <v>43343</v>
      </c>
      <c r="W577" s="34"/>
      <c r="X577" s="34"/>
    </row>
    <row r="578" customFormat="false" ht="13.8" hidden="false" customHeight="false" outlineLevel="0" collapsed="false">
      <c r="A578" s="18"/>
      <c r="B578" s="19" t="n">
        <v>7842</v>
      </c>
      <c r="C578" s="20" t="n">
        <v>43258</v>
      </c>
      <c r="D578" s="21" t="s">
        <v>22</v>
      </c>
      <c r="E578" s="22" t="s">
        <v>372</v>
      </c>
      <c r="F578" s="23" t="s">
        <v>272</v>
      </c>
      <c r="G578" s="22" t="s">
        <v>217</v>
      </c>
      <c r="H578" s="24" t="s">
        <v>52</v>
      </c>
      <c r="I578" s="24" t="s">
        <v>857</v>
      </c>
      <c r="J578" s="25" t="n">
        <f aca="false">112.53-9.76</f>
        <v>102.77</v>
      </c>
      <c r="K578" s="26" t="n">
        <v>1216950</v>
      </c>
      <c r="L578" s="27" t="n">
        <f aca="false">K578/J578</f>
        <v>11841.4907074049</v>
      </c>
      <c r="M578" s="28" t="s">
        <v>858</v>
      </c>
      <c r="N578" s="29" t="n">
        <v>63050</v>
      </c>
      <c r="O578" s="30" t="n">
        <f aca="false">K578+N578</f>
        <v>1280000</v>
      </c>
      <c r="P578" s="30" t="n">
        <f aca="false">ROUND(O578/J578, 2)</f>
        <v>12455</v>
      </c>
      <c r="Q578" s="25" t="s">
        <v>859</v>
      </c>
      <c r="R578" s="22" t="s">
        <v>49</v>
      </c>
      <c r="S578" s="25" t="s">
        <v>29</v>
      </c>
      <c r="T578" s="24" t="s">
        <v>30</v>
      </c>
      <c r="U578" s="31" t="s">
        <v>31</v>
      </c>
      <c r="V578" s="31" t="n">
        <v>43343</v>
      </c>
      <c r="W578" s="18"/>
      <c r="X578" s="18"/>
    </row>
    <row r="579" customFormat="false" ht="13.8" hidden="false" customHeight="false" outlineLevel="0" collapsed="false">
      <c r="A579" s="18" t="n">
        <v>94022</v>
      </c>
      <c r="B579" s="19" t="n">
        <v>3632</v>
      </c>
      <c r="C579" s="20" t="n">
        <v>43259</v>
      </c>
      <c r="D579" s="21" t="s">
        <v>22</v>
      </c>
      <c r="E579" s="22" t="s">
        <v>109</v>
      </c>
      <c r="F579" s="23" t="s">
        <v>94</v>
      </c>
      <c r="G579" s="22" t="s">
        <v>664</v>
      </c>
      <c r="H579" s="24" t="s">
        <v>57</v>
      </c>
      <c r="I579" s="24" t="s">
        <v>36</v>
      </c>
      <c r="J579" s="25" t="n">
        <v>48.15</v>
      </c>
      <c r="K579" s="26" t="n">
        <v>450000</v>
      </c>
      <c r="L579" s="27" t="n">
        <f aca="false">K579/J579</f>
        <v>9345.79439252336</v>
      </c>
      <c r="M579" s="28" t="s">
        <v>64</v>
      </c>
      <c r="N579" s="29"/>
      <c r="O579" s="30" t="n">
        <f aca="false">K579+N579</f>
        <v>450000</v>
      </c>
      <c r="P579" s="30" t="n">
        <f aca="false">ROUND(O579/J579, 2)</f>
        <v>9345.79</v>
      </c>
      <c r="Q579" s="25" t="s">
        <v>620</v>
      </c>
      <c r="R579" s="22" t="s">
        <v>36</v>
      </c>
      <c r="S579" s="25" t="s">
        <v>29</v>
      </c>
      <c r="T579" s="24" t="s">
        <v>30</v>
      </c>
      <c r="U579" s="31" t="s">
        <v>31</v>
      </c>
      <c r="V579" s="31" t="n">
        <v>43343</v>
      </c>
      <c r="W579" s="34"/>
      <c r="X579" s="34"/>
    </row>
    <row r="580" customFormat="false" ht="13.8" hidden="false" customHeight="false" outlineLevel="0" collapsed="false">
      <c r="A580" s="18"/>
      <c r="B580" s="19" t="n">
        <v>2905</v>
      </c>
      <c r="C580" s="20" t="n">
        <v>43259</v>
      </c>
      <c r="D580" s="38" t="s">
        <v>22</v>
      </c>
      <c r="E580" s="22" t="s">
        <v>53</v>
      </c>
      <c r="F580" s="34" t="s">
        <v>614</v>
      </c>
      <c r="G580" s="19" t="s">
        <v>860</v>
      </c>
      <c r="H580" s="19" t="n">
        <v>905</v>
      </c>
      <c r="I580" s="19" t="n">
        <v>9</v>
      </c>
      <c r="J580" s="19" t="n">
        <v>56.8</v>
      </c>
      <c r="K580" s="39" t="n">
        <v>430000</v>
      </c>
      <c r="L580" s="39" t="n">
        <f aca="false">K580/J580</f>
        <v>7570.42253521127</v>
      </c>
      <c r="M580" s="34"/>
      <c r="N580" s="40"/>
      <c r="O580" s="30" t="n">
        <f aca="false">K580+N580</f>
        <v>430000</v>
      </c>
      <c r="P580" s="39" t="n">
        <f aca="false">O580/J580</f>
        <v>7570.42253521127</v>
      </c>
      <c r="Q580" s="19" t="s">
        <v>861</v>
      </c>
      <c r="R580" s="22" t="s">
        <v>26</v>
      </c>
      <c r="S580" s="19" t="s">
        <v>862</v>
      </c>
      <c r="T580" s="19" t="s">
        <v>30</v>
      </c>
      <c r="U580" s="19" t="s">
        <v>31</v>
      </c>
      <c r="V580" s="41" t="n">
        <v>43514</v>
      </c>
      <c r="W580" s="34" t="s">
        <v>863</v>
      </c>
      <c r="X580" s="18"/>
    </row>
    <row r="581" customFormat="false" ht="13.8" hidden="false" customHeight="false" outlineLevel="0" collapsed="false">
      <c r="A581" s="18"/>
      <c r="B581" s="19" t="n">
        <v>1870</v>
      </c>
      <c r="C581" s="20" t="n">
        <v>43259</v>
      </c>
      <c r="D581" s="21" t="s">
        <v>22</v>
      </c>
      <c r="E581" s="22" t="s">
        <v>389</v>
      </c>
      <c r="F581" s="23" t="s">
        <v>582</v>
      </c>
      <c r="G581" s="22" t="s">
        <v>246</v>
      </c>
      <c r="H581" s="24" t="s">
        <v>413</v>
      </c>
      <c r="I581" s="24" t="s">
        <v>200</v>
      </c>
      <c r="J581" s="25" t="n">
        <v>137.3</v>
      </c>
      <c r="K581" s="26" t="n">
        <v>1350000</v>
      </c>
      <c r="L581" s="27" t="n">
        <f aca="false">K581/J581</f>
        <v>9832.48361252731</v>
      </c>
      <c r="M581" s="28" t="s">
        <v>864</v>
      </c>
      <c r="N581" s="29"/>
      <c r="O581" s="30" t="n">
        <f aca="false">K581+N581</f>
        <v>1350000</v>
      </c>
      <c r="P581" s="30" t="n">
        <f aca="false">ROUND(O581/J581, 2)</f>
        <v>9832.48</v>
      </c>
      <c r="Q581" s="25" t="s">
        <v>91</v>
      </c>
      <c r="R581" s="22" t="s">
        <v>49</v>
      </c>
      <c r="S581" s="25" t="s">
        <v>29</v>
      </c>
      <c r="T581" s="24" t="s">
        <v>30</v>
      </c>
      <c r="U581" s="31" t="s">
        <v>31</v>
      </c>
      <c r="V581" s="31" t="n">
        <v>43343</v>
      </c>
      <c r="W581" s="18"/>
      <c r="X581" s="18"/>
    </row>
    <row r="582" customFormat="false" ht="13.8" hidden="false" customHeight="false" outlineLevel="0" collapsed="false">
      <c r="A582" s="18"/>
      <c r="B582" s="19" t="n">
        <v>4549</v>
      </c>
      <c r="C582" s="20" t="n">
        <v>43262</v>
      </c>
      <c r="D582" s="21" t="s">
        <v>22</v>
      </c>
      <c r="E582" s="22" t="s">
        <v>251</v>
      </c>
      <c r="F582" s="23" t="s">
        <v>252</v>
      </c>
      <c r="G582" s="22" t="s">
        <v>111</v>
      </c>
      <c r="H582" s="24" t="s">
        <v>48</v>
      </c>
      <c r="I582" s="24" t="s">
        <v>111</v>
      </c>
      <c r="J582" s="25" t="n">
        <f aca="false">51.4-2.8</f>
        <v>48.6</v>
      </c>
      <c r="K582" s="26" t="n">
        <v>441000</v>
      </c>
      <c r="L582" s="27" t="n">
        <f aca="false">K582/J582</f>
        <v>9074.07407407407</v>
      </c>
      <c r="M582" s="28" t="s">
        <v>371</v>
      </c>
      <c r="N582" s="29"/>
      <c r="O582" s="30" t="n">
        <f aca="false">K582+N582</f>
        <v>441000</v>
      </c>
      <c r="P582" s="30" t="n">
        <f aca="false">ROUND(O582/J582, 2)</f>
        <v>9074.07</v>
      </c>
      <c r="Q582" s="25" t="s">
        <v>50</v>
      </c>
      <c r="R582" s="22" t="s">
        <v>36</v>
      </c>
      <c r="S582" s="25" t="s">
        <v>29</v>
      </c>
      <c r="T582" s="24" t="s">
        <v>30</v>
      </c>
      <c r="U582" s="31" t="s">
        <v>31</v>
      </c>
      <c r="V582" s="31" t="n">
        <v>43343</v>
      </c>
      <c r="W582" s="18"/>
      <c r="X582" s="18"/>
    </row>
    <row r="583" customFormat="false" ht="13.8" hidden="false" customHeight="false" outlineLevel="0" collapsed="false">
      <c r="A583" s="18"/>
      <c r="B583" s="19" t="n">
        <v>3055</v>
      </c>
      <c r="C583" s="20" t="n">
        <v>43262</v>
      </c>
      <c r="D583" s="21" t="s">
        <v>22</v>
      </c>
      <c r="E583" s="22" t="s">
        <v>522</v>
      </c>
      <c r="F583" s="23" t="s">
        <v>523</v>
      </c>
      <c r="G583" s="22" t="s">
        <v>865</v>
      </c>
      <c r="H583" s="24" t="s">
        <v>280</v>
      </c>
      <c r="I583" s="24" t="s">
        <v>26</v>
      </c>
      <c r="J583" s="25" t="n">
        <v>54.43</v>
      </c>
      <c r="K583" s="26" t="n">
        <v>609000</v>
      </c>
      <c r="L583" s="27" t="n">
        <f aca="false">K583/J583</f>
        <v>11188.6827117399</v>
      </c>
      <c r="M583" s="28" t="s">
        <v>866</v>
      </c>
      <c r="N583" s="29" t="n">
        <v>1000</v>
      </c>
      <c r="O583" s="30" t="n">
        <f aca="false">K583+N583</f>
        <v>610000</v>
      </c>
      <c r="P583" s="30" t="n">
        <f aca="false">ROUND(O583/J583, 2)</f>
        <v>11207.05</v>
      </c>
      <c r="Q583" s="25" t="s">
        <v>50</v>
      </c>
      <c r="R583" s="22" t="s">
        <v>36</v>
      </c>
      <c r="S583" s="25" t="s">
        <v>29</v>
      </c>
      <c r="T583" s="24" t="s">
        <v>30</v>
      </c>
      <c r="U583" s="31" t="s">
        <v>31</v>
      </c>
      <c r="V583" s="31" t="n">
        <v>43343</v>
      </c>
      <c r="W583" s="18"/>
      <c r="X583" s="18"/>
    </row>
    <row r="584" customFormat="false" ht="13.8" hidden="false" customHeight="false" outlineLevel="0" collapsed="false">
      <c r="A584" s="18"/>
      <c r="B584" s="19" t="n">
        <v>8192</v>
      </c>
      <c r="C584" s="20" t="n">
        <v>43262</v>
      </c>
      <c r="D584" s="21" t="s">
        <v>22</v>
      </c>
      <c r="E584" s="22" t="s">
        <v>350</v>
      </c>
      <c r="F584" s="23" t="s">
        <v>351</v>
      </c>
      <c r="G584" s="22" t="s">
        <v>26</v>
      </c>
      <c r="H584" s="24" t="s">
        <v>867</v>
      </c>
      <c r="I584" s="24" t="s">
        <v>27</v>
      </c>
      <c r="J584" s="25" t="n">
        <v>39.77</v>
      </c>
      <c r="K584" s="26" t="n">
        <v>202000</v>
      </c>
      <c r="L584" s="27" t="n">
        <f aca="false">K584/J584</f>
        <v>5079.20543122957</v>
      </c>
      <c r="M584" s="28" t="s">
        <v>868</v>
      </c>
      <c r="N584" s="29" t="n">
        <v>24000</v>
      </c>
      <c r="O584" s="30" t="n">
        <f aca="false">K584+N584</f>
        <v>226000</v>
      </c>
      <c r="P584" s="30" t="n">
        <f aca="false">ROUND(O584/J584, 2)</f>
        <v>5682.68</v>
      </c>
      <c r="Q584" s="25" t="s">
        <v>869</v>
      </c>
      <c r="R584" s="22" t="s">
        <v>36</v>
      </c>
      <c r="S584" s="25" t="s">
        <v>29</v>
      </c>
      <c r="T584" s="24" t="s">
        <v>30</v>
      </c>
      <c r="U584" s="31" t="s">
        <v>31</v>
      </c>
      <c r="V584" s="31" t="n">
        <v>43343</v>
      </c>
      <c r="W584" s="18"/>
      <c r="X584" s="18"/>
    </row>
    <row r="585" customFormat="false" ht="13.8" hidden="false" customHeight="false" outlineLevel="0" collapsed="false">
      <c r="A585" s="18"/>
      <c r="B585" s="19" t="n">
        <v>1675</v>
      </c>
      <c r="C585" s="20" t="n">
        <v>43262</v>
      </c>
      <c r="D585" s="21" t="s">
        <v>22</v>
      </c>
      <c r="E585" s="22" t="s">
        <v>350</v>
      </c>
      <c r="F585" s="23" t="s">
        <v>351</v>
      </c>
      <c r="G585" s="22" t="s">
        <v>26</v>
      </c>
      <c r="H585" s="24" t="s">
        <v>870</v>
      </c>
      <c r="I585" s="24" t="s">
        <v>27</v>
      </c>
      <c r="J585" s="25" t="n">
        <v>46.35</v>
      </c>
      <c r="K585" s="26" t="n">
        <v>550000</v>
      </c>
      <c r="L585" s="27" t="n">
        <f aca="false">K585/J585</f>
        <v>11866.235167206</v>
      </c>
      <c r="M585" s="28" t="s">
        <v>871</v>
      </c>
      <c r="N585" s="29" t="n">
        <v>50000</v>
      </c>
      <c r="O585" s="30" t="n">
        <f aca="false">K585+N585</f>
        <v>600000</v>
      </c>
      <c r="P585" s="30" t="n">
        <f aca="false">ROUND(O585/J585, 2)</f>
        <v>12944.98</v>
      </c>
      <c r="Q585" s="25" t="s">
        <v>872</v>
      </c>
      <c r="R585" s="22" t="s">
        <v>27</v>
      </c>
      <c r="S585" s="25" t="s">
        <v>29</v>
      </c>
      <c r="T585" s="24" t="s">
        <v>30</v>
      </c>
      <c r="U585" s="31" t="s">
        <v>31</v>
      </c>
      <c r="V585" s="31" t="n">
        <v>43343</v>
      </c>
      <c r="W585" s="34"/>
      <c r="X585" s="34"/>
      <c r="AMJ585" s="32"/>
    </row>
    <row r="586" s="32" customFormat="true" ht="13.8" hidden="false" customHeight="false" outlineLevel="0" collapsed="false">
      <c r="A586" s="18"/>
      <c r="B586" s="19" t="n">
        <v>1632</v>
      </c>
      <c r="C586" s="20" t="n">
        <v>43262</v>
      </c>
      <c r="D586" s="21" t="s">
        <v>22</v>
      </c>
      <c r="E586" s="22" t="s">
        <v>109</v>
      </c>
      <c r="F586" s="23" t="s">
        <v>271</v>
      </c>
      <c r="G586" s="22" t="s">
        <v>48</v>
      </c>
      <c r="H586" s="24" t="s">
        <v>128</v>
      </c>
      <c r="I586" s="24" t="s">
        <v>36</v>
      </c>
      <c r="J586" s="25" t="n">
        <v>33.2</v>
      </c>
      <c r="K586" s="26" t="n">
        <v>410000</v>
      </c>
      <c r="L586" s="27" t="n">
        <f aca="false">K586/J586</f>
        <v>12349.3975903614</v>
      </c>
      <c r="M586" s="28" t="s">
        <v>64</v>
      </c>
      <c r="N586" s="29"/>
      <c r="O586" s="30" t="n">
        <f aca="false">K586+N586</f>
        <v>410000</v>
      </c>
      <c r="P586" s="30" t="n">
        <f aca="false">ROUND(O586/J586, 2)</f>
        <v>12349.4</v>
      </c>
      <c r="Q586" s="25" t="s">
        <v>41</v>
      </c>
      <c r="R586" s="22" t="s">
        <v>27</v>
      </c>
      <c r="S586" s="25" t="s">
        <v>29</v>
      </c>
      <c r="T586" s="24" t="s">
        <v>30</v>
      </c>
      <c r="U586" s="31" t="s">
        <v>31</v>
      </c>
      <c r="V586" s="31" t="n">
        <v>43343</v>
      </c>
      <c r="W586" s="34"/>
      <c r="X586" s="34"/>
    </row>
    <row r="587" s="32" customFormat="true" ht="13.8" hidden="false" customHeight="false" outlineLevel="0" collapsed="false">
      <c r="A587" s="18"/>
      <c r="B587" s="19" t="n">
        <v>26300</v>
      </c>
      <c r="C587" s="20" t="n">
        <v>43262</v>
      </c>
      <c r="D587" s="21" t="s">
        <v>22</v>
      </c>
      <c r="E587" s="22" t="s">
        <v>281</v>
      </c>
      <c r="F587" s="23" t="s">
        <v>569</v>
      </c>
      <c r="G587" s="22" t="s">
        <v>443</v>
      </c>
      <c r="H587" s="24" t="s">
        <v>47</v>
      </c>
      <c r="I587" s="24" t="s">
        <v>26</v>
      </c>
      <c r="J587" s="25" t="n">
        <f aca="false">65.17-2.38</f>
        <v>62.79</v>
      </c>
      <c r="K587" s="26" t="n">
        <v>504000</v>
      </c>
      <c r="L587" s="27" t="n">
        <f aca="false">K587/J587</f>
        <v>8026.75585284281</v>
      </c>
      <c r="M587" s="28" t="s">
        <v>873</v>
      </c>
      <c r="N587" s="29" t="n">
        <v>1000</v>
      </c>
      <c r="O587" s="30" t="n">
        <f aca="false">K587+N587</f>
        <v>505000</v>
      </c>
      <c r="P587" s="30" t="n">
        <f aca="false">ROUND(O587/J587, 2)</f>
        <v>8042.68</v>
      </c>
      <c r="Q587" s="25" t="s">
        <v>85</v>
      </c>
      <c r="R587" s="22" t="s">
        <v>26</v>
      </c>
      <c r="S587" s="25" t="s">
        <v>29</v>
      </c>
      <c r="T587" s="24" t="s">
        <v>30</v>
      </c>
      <c r="U587" s="31" t="s">
        <v>31</v>
      </c>
      <c r="V587" s="31" t="n">
        <v>43343</v>
      </c>
      <c r="W587" s="18"/>
      <c r="X587" s="18"/>
    </row>
    <row r="588" s="32" customFormat="true" ht="13.8" hidden="false" customHeight="false" outlineLevel="0" collapsed="false">
      <c r="A588" s="18"/>
      <c r="B588" s="19" t="s">
        <v>874</v>
      </c>
      <c r="C588" s="20" t="n">
        <v>43263</v>
      </c>
      <c r="D588" s="21" t="s">
        <v>22</v>
      </c>
      <c r="E588" s="22" t="s">
        <v>23</v>
      </c>
      <c r="F588" s="23" t="s">
        <v>301</v>
      </c>
      <c r="G588" s="22" t="s">
        <v>26</v>
      </c>
      <c r="H588" s="24" t="s">
        <v>154</v>
      </c>
      <c r="I588" s="24" t="s">
        <v>36</v>
      </c>
      <c r="J588" s="25" t="n">
        <v>48.26</v>
      </c>
      <c r="K588" s="26" t="n">
        <v>410000</v>
      </c>
      <c r="L588" s="27" t="n">
        <f aca="false">K588/J588</f>
        <v>8495.64857024451</v>
      </c>
      <c r="M588" s="28"/>
      <c r="N588" s="29"/>
      <c r="O588" s="30" t="n">
        <f aca="false">K588+N588</f>
        <v>410000</v>
      </c>
      <c r="P588" s="30" t="n">
        <f aca="false">ROUND(O588/J588, 2)</f>
        <v>8495.65</v>
      </c>
      <c r="Q588" s="25" t="s">
        <v>50</v>
      </c>
      <c r="R588" s="22" t="s">
        <v>36</v>
      </c>
      <c r="S588" s="25" t="s">
        <v>29</v>
      </c>
      <c r="T588" s="24" t="s">
        <v>30</v>
      </c>
      <c r="U588" s="31" t="s">
        <v>31</v>
      </c>
      <c r="V588" s="31" t="n">
        <v>43343</v>
      </c>
      <c r="W588" s="34" t="s">
        <v>875</v>
      </c>
      <c r="X588" s="18"/>
    </row>
    <row r="589" customFormat="false" ht="13.8" hidden="false" customHeight="false" outlineLevel="0" collapsed="false">
      <c r="A589" s="18"/>
      <c r="B589" s="19" t="n">
        <v>5749</v>
      </c>
      <c r="C589" s="20" t="n">
        <v>43263</v>
      </c>
      <c r="D589" s="21" t="s">
        <v>22</v>
      </c>
      <c r="E589" s="22" t="s">
        <v>350</v>
      </c>
      <c r="F589" s="23" t="s">
        <v>351</v>
      </c>
      <c r="G589" s="22" t="s">
        <v>27</v>
      </c>
      <c r="H589" s="24" t="s">
        <v>442</v>
      </c>
      <c r="I589" s="24" t="s">
        <v>36</v>
      </c>
      <c r="J589" s="25" t="n">
        <f aca="false">96.63</f>
        <v>96.63</v>
      </c>
      <c r="K589" s="26" t="n">
        <v>880000</v>
      </c>
      <c r="L589" s="27" t="n">
        <f aca="false">K589/J589</f>
        <v>9106.9026182345</v>
      </c>
      <c r="M589" s="28" t="s">
        <v>876</v>
      </c>
      <c r="N589" s="29" t="n">
        <f aca="false">2*25000</f>
        <v>50000</v>
      </c>
      <c r="O589" s="30" t="n">
        <f aca="false">K589+N589</f>
        <v>930000</v>
      </c>
      <c r="P589" s="30" t="n">
        <f aca="false">ROUND(O589/J589, 2)</f>
        <v>9624.34</v>
      </c>
      <c r="Q589" s="25" t="s">
        <v>85</v>
      </c>
      <c r="R589" s="22" t="s">
        <v>26</v>
      </c>
      <c r="S589" s="25" t="s">
        <v>29</v>
      </c>
      <c r="T589" s="24" t="s">
        <v>30</v>
      </c>
      <c r="U589" s="31" t="s">
        <v>31</v>
      </c>
      <c r="V589" s="31" t="n">
        <v>43343</v>
      </c>
      <c r="W589" s="34" t="s">
        <v>877</v>
      </c>
      <c r="X589" s="18"/>
    </row>
    <row r="590" customFormat="false" ht="13.8" hidden="false" customHeight="false" outlineLevel="0" collapsed="false">
      <c r="A590" s="18"/>
      <c r="B590" s="19" t="n">
        <v>3839</v>
      </c>
      <c r="C590" s="20" t="n">
        <v>43263</v>
      </c>
      <c r="D590" s="21" t="s">
        <v>22</v>
      </c>
      <c r="E590" s="22" t="s">
        <v>308</v>
      </c>
      <c r="F590" s="23" t="s">
        <v>46</v>
      </c>
      <c r="G590" s="22" t="s">
        <v>274</v>
      </c>
      <c r="H590" s="24" t="s">
        <v>55</v>
      </c>
      <c r="I590" s="24" t="s">
        <v>49</v>
      </c>
      <c r="J590" s="25" t="n">
        <v>45.3</v>
      </c>
      <c r="K590" s="26" t="n">
        <v>550000</v>
      </c>
      <c r="L590" s="27" t="n">
        <f aca="false">K590/J590</f>
        <v>12141.2803532009</v>
      </c>
      <c r="M590" s="28" t="s">
        <v>64</v>
      </c>
      <c r="N590" s="29"/>
      <c r="O590" s="30" t="n">
        <f aca="false">K590+N590</f>
        <v>550000</v>
      </c>
      <c r="P590" s="30" t="n">
        <f aca="false">ROUND(O590/J590, 2)</f>
        <v>12141.28</v>
      </c>
      <c r="Q590" s="25" t="s">
        <v>878</v>
      </c>
      <c r="R590" s="22" t="s">
        <v>36</v>
      </c>
      <c r="S590" s="25" t="s">
        <v>29</v>
      </c>
      <c r="T590" s="24" t="s">
        <v>30</v>
      </c>
      <c r="U590" s="31" t="s">
        <v>31</v>
      </c>
      <c r="V590" s="31" t="n">
        <v>43343</v>
      </c>
      <c r="W590" s="18"/>
      <c r="X590" s="18"/>
    </row>
    <row r="591" customFormat="false" ht="13.8" hidden="false" customHeight="false" outlineLevel="0" collapsed="false">
      <c r="A591" s="18"/>
      <c r="B591" s="19" t="n">
        <v>4834</v>
      </c>
      <c r="C591" s="20" t="n">
        <v>43263</v>
      </c>
      <c r="D591" s="21" t="s">
        <v>22</v>
      </c>
      <c r="E591" s="22" t="s">
        <v>80</v>
      </c>
      <c r="F591" s="23" t="s">
        <v>754</v>
      </c>
      <c r="G591" s="22" t="s">
        <v>57</v>
      </c>
      <c r="H591" s="24" t="s">
        <v>67</v>
      </c>
      <c r="I591" s="24" t="s">
        <v>57</v>
      </c>
      <c r="J591" s="25" t="n">
        <f aca="false">116.46-2.98-7.67</f>
        <v>105.81</v>
      </c>
      <c r="K591" s="26" t="n">
        <v>1380000</v>
      </c>
      <c r="L591" s="27" t="n">
        <f aca="false">K591/J591</f>
        <v>13042.2455344485</v>
      </c>
      <c r="M591" s="28" t="s">
        <v>879</v>
      </c>
      <c r="N591" s="29"/>
      <c r="O591" s="30" t="n">
        <f aca="false">K591+N591</f>
        <v>1380000</v>
      </c>
      <c r="P591" s="30" t="n">
        <f aca="false">ROUND(O591/J591, 2)</f>
        <v>13042.25</v>
      </c>
      <c r="Q591" s="25" t="s">
        <v>85</v>
      </c>
      <c r="R591" s="22" t="s">
        <v>26</v>
      </c>
      <c r="S591" s="25" t="s">
        <v>29</v>
      </c>
      <c r="T591" s="24" t="s">
        <v>30</v>
      </c>
      <c r="U591" s="31" t="s">
        <v>31</v>
      </c>
      <c r="V591" s="31" t="n">
        <v>43343</v>
      </c>
      <c r="W591" s="18"/>
      <c r="X591" s="18"/>
    </row>
    <row r="592" customFormat="false" ht="13.8" hidden="false" customHeight="false" outlineLevel="0" collapsed="false">
      <c r="A592" s="18"/>
      <c r="B592" s="19" t="n">
        <v>2295</v>
      </c>
      <c r="C592" s="20" t="n">
        <v>43264</v>
      </c>
      <c r="D592" s="21" t="s">
        <v>22</v>
      </c>
      <c r="E592" s="22" t="s">
        <v>281</v>
      </c>
      <c r="F592" s="23" t="s">
        <v>94</v>
      </c>
      <c r="G592" s="22" t="s">
        <v>880</v>
      </c>
      <c r="H592" s="24" t="s">
        <v>730</v>
      </c>
      <c r="I592" s="24" t="s">
        <v>57</v>
      </c>
      <c r="J592" s="25" t="n">
        <v>37.46</v>
      </c>
      <c r="K592" s="26" t="n">
        <v>425000</v>
      </c>
      <c r="L592" s="27" t="n">
        <f aca="false">K592/J592</f>
        <v>11345.4351308062</v>
      </c>
      <c r="M592" s="28" t="s">
        <v>64</v>
      </c>
      <c r="N592" s="29"/>
      <c r="O592" s="30" t="n">
        <f aca="false">K592+N592</f>
        <v>425000</v>
      </c>
      <c r="P592" s="30" t="n">
        <f aca="false">ROUND(O592/J592, 2)</f>
        <v>11345.44</v>
      </c>
      <c r="Q592" s="25" t="s">
        <v>41</v>
      </c>
      <c r="R592" s="22" t="s">
        <v>27</v>
      </c>
      <c r="S592" s="25" t="s">
        <v>29</v>
      </c>
      <c r="T592" s="24" t="s">
        <v>30</v>
      </c>
      <c r="U592" s="31" t="s">
        <v>31</v>
      </c>
      <c r="V592" s="31" t="n">
        <v>43343</v>
      </c>
      <c r="W592" s="18"/>
      <c r="X592" s="18"/>
    </row>
    <row r="593" customFormat="false" ht="13.8" hidden="false" customHeight="false" outlineLevel="0" collapsed="false">
      <c r="A593" s="18"/>
      <c r="B593" s="19" t="n">
        <v>4859</v>
      </c>
      <c r="C593" s="20" t="n">
        <v>43264</v>
      </c>
      <c r="D593" s="21" t="s">
        <v>22</v>
      </c>
      <c r="E593" s="22" t="s">
        <v>75</v>
      </c>
      <c r="F593" s="23" t="s">
        <v>76</v>
      </c>
      <c r="G593" s="22" t="s">
        <v>684</v>
      </c>
      <c r="H593" s="24" t="s">
        <v>380</v>
      </c>
      <c r="I593" s="24" t="s">
        <v>82</v>
      </c>
      <c r="J593" s="25" t="n">
        <f aca="false">105.48-3.77</f>
        <v>101.71</v>
      </c>
      <c r="K593" s="26" t="n">
        <f aca="false">432320+967680</f>
        <v>1400000</v>
      </c>
      <c r="L593" s="27" t="n">
        <f aca="false">K593/J593</f>
        <v>13764.6249139711</v>
      </c>
      <c r="M593" s="28" t="s">
        <v>881</v>
      </c>
      <c r="N593" s="29" t="n">
        <v>30000</v>
      </c>
      <c r="O593" s="30" t="n">
        <f aca="false">K593+N593</f>
        <v>1430000</v>
      </c>
      <c r="P593" s="30" t="n">
        <f aca="false">ROUND(O593/J593, 2)</f>
        <v>14059.58</v>
      </c>
      <c r="Q593" s="25" t="s">
        <v>491</v>
      </c>
      <c r="R593" s="22" t="s">
        <v>49</v>
      </c>
      <c r="S593" s="25" t="s">
        <v>29</v>
      </c>
      <c r="T593" s="24" t="s">
        <v>30</v>
      </c>
      <c r="U593" s="31" t="s">
        <v>31</v>
      </c>
      <c r="V593" s="31" t="n">
        <v>43343</v>
      </c>
      <c r="W593" s="18"/>
      <c r="X593" s="18"/>
    </row>
    <row r="594" customFormat="false" ht="13.8" hidden="false" customHeight="false" outlineLevel="0" collapsed="false">
      <c r="A594" s="18"/>
      <c r="B594" s="19" t="n">
        <v>2313</v>
      </c>
      <c r="C594" s="20" t="n">
        <v>43264</v>
      </c>
      <c r="D594" s="21" t="s">
        <v>22</v>
      </c>
      <c r="E594" s="22" t="s">
        <v>882</v>
      </c>
      <c r="F594" s="23" t="s">
        <v>883</v>
      </c>
      <c r="G594" s="22" t="s">
        <v>395</v>
      </c>
      <c r="H594" s="24" t="s">
        <v>200</v>
      </c>
      <c r="I594" s="24" t="s">
        <v>26</v>
      </c>
      <c r="J594" s="25" t="n">
        <v>36.3</v>
      </c>
      <c r="K594" s="26" t="n">
        <v>330000</v>
      </c>
      <c r="L594" s="27" t="n">
        <f aca="false">K594/J594</f>
        <v>9090.90909090909</v>
      </c>
      <c r="M594" s="28"/>
      <c r="N594" s="29"/>
      <c r="O594" s="30" t="n">
        <f aca="false">K594+N594</f>
        <v>330000</v>
      </c>
      <c r="P594" s="30" t="n">
        <f aca="false">ROUND(O594/J594, 2)</f>
        <v>9090.91</v>
      </c>
      <c r="Q594" s="25" t="s">
        <v>383</v>
      </c>
      <c r="R594" s="22" t="s">
        <v>27</v>
      </c>
      <c r="S594" s="25" t="s">
        <v>29</v>
      </c>
      <c r="T594" s="24" t="s">
        <v>30</v>
      </c>
      <c r="U594" s="31" t="s">
        <v>31</v>
      </c>
      <c r="V594" s="31" t="n">
        <v>43343</v>
      </c>
      <c r="W594" s="18"/>
      <c r="X594" s="18"/>
    </row>
    <row r="595" customFormat="false" ht="13.8" hidden="false" customHeight="false" outlineLevel="0" collapsed="false">
      <c r="A595" s="18"/>
      <c r="B595" s="19" t="n">
        <v>26604</v>
      </c>
      <c r="C595" s="20" t="n">
        <v>43264</v>
      </c>
      <c r="D595" s="21" t="s">
        <v>22</v>
      </c>
      <c r="E595" s="22" t="s">
        <v>517</v>
      </c>
      <c r="F595" s="23" t="s">
        <v>592</v>
      </c>
      <c r="G595" s="22" t="s">
        <v>126</v>
      </c>
      <c r="H595" s="24" t="s">
        <v>67</v>
      </c>
      <c r="I595" s="24" t="s">
        <v>82</v>
      </c>
      <c r="J595" s="25" t="n">
        <v>31</v>
      </c>
      <c r="K595" s="26" t="n">
        <v>259000</v>
      </c>
      <c r="L595" s="27" t="n">
        <f aca="false">K595/J595</f>
        <v>8354.83870967742</v>
      </c>
      <c r="M595" s="28"/>
      <c r="N595" s="29"/>
      <c r="O595" s="30" t="n">
        <f aca="false">K595+N595</f>
        <v>259000</v>
      </c>
      <c r="P595" s="30" t="n">
        <f aca="false">ROUND(O595/J595, 2)</f>
        <v>8354.84</v>
      </c>
      <c r="Q595" s="25" t="s">
        <v>41</v>
      </c>
      <c r="R595" s="22" t="s">
        <v>27</v>
      </c>
      <c r="S595" s="25" t="s">
        <v>29</v>
      </c>
      <c r="T595" s="24" t="s">
        <v>30</v>
      </c>
      <c r="U595" s="31" t="s">
        <v>31</v>
      </c>
      <c r="V595" s="31" t="n">
        <v>43343</v>
      </c>
      <c r="W595" s="18"/>
      <c r="X595" s="18"/>
    </row>
    <row r="596" customFormat="false" ht="13.8" hidden="false" customHeight="false" outlineLevel="0" collapsed="false">
      <c r="A596" s="18"/>
      <c r="B596" s="19" t="n">
        <v>4693</v>
      </c>
      <c r="C596" s="20" t="n">
        <v>43264</v>
      </c>
      <c r="D596" s="21" t="s">
        <v>22</v>
      </c>
      <c r="E596" s="22" t="s">
        <v>308</v>
      </c>
      <c r="F596" s="23" t="s">
        <v>788</v>
      </c>
      <c r="G596" s="22" t="s">
        <v>884</v>
      </c>
      <c r="H596" s="24" t="s">
        <v>259</v>
      </c>
      <c r="I596" s="24" t="s">
        <v>57</v>
      </c>
      <c r="J596" s="25" t="n">
        <v>29.58</v>
      </c>
      <c r="K596" s="26" t="n">
        <v>310000</v>
      </c>
      <c r="L596" s="27" t="n">
        <f aca="false">K596/J596</f>
        <v>10480.0540906018</v>
      </c>
      <c r="M596" s="28" t="s">
        <v>64</v>
      </c>
      <c r="N596" s="29"/>
      <c r="O596" s="30" t="n">
        <f aca="false">K596+N596</f>
        <v>310000</v>
      </c>
      <c r="P596" s="30" t="n">
        <f aca="false">ROUND(O596/J596, 2)</f>
        <v>10480.05</v>
      </c>
      <c r="Q596" s="25" t="s">
        <v>41</v>
      </c>
      <c r="R596" s="22" t="s">
        <v>27</v>
      </c>
      <c r="S596" s="25" t="s">
        <v>29</v>
      </c>
      <c r="T596" s="24" t="s">
        <v>30</v>
      </c>
      <c r="U596" s="31" t="s">
        <v>31</v>
      </c>
      <c r="V596" s="31" t="n">
        <v>43343</v>
      </c>
      <c r="W596" s="18"/>
      <c r="X596" s="18"/>
    </row>
    <row r="597" customFormat="false" ht="13.8" hidden="false" customHeight="false" outlineLevel="0" collapsed="false">
      <c r="A597" s="18"/>
      <c r="B597" s="19" t="n">
        <v>3703</v>
      </c>
      <c r="C597" s="20" t="n">
        <v>43264</v>
      </c>
      <c r="D597" s="21" t="s">
        <v>22</v>
      </c>
      <c r="E597" s="22" t="s">
        <v>389</v>
      </c>
      <c r="F597" s="23" t="s">
        <v>46</v>
      </c>
      <c r="G597" s="22" t="s">
        <v>885</v>
      </c>
      <c r="H597" s="24" t="s">
        <v>259</v>
      </c>
      <c r="I597" s="24" t="s">
        <v>57</v>
      </c>
      <c r="J597" s="25" t="n">
        <v>15.35</v>
      </c>
      <c r="K597" s="26" t="n">
        <v>227000</v>
      </c>
      <c r="L597" s="27" t="n">
        <f aca="false">K597/J597</f>
        <v>14788.2736156352</v>
      </c>
      <c r="M597" s="28"/>
      <c r="N597" s="29"/>
      <c r="O597" s="30" t="n">
        <f aca="false">K597+N597</f>
        <v>227000</v>
      </c>
      <c r="P597" s="30" t="n">
        <f aca="false">ROUND(O597/J597, 2)</f>
        <v>14788.27</v>
      </c>
      <c r="Q597" s="25" t="s">
        <v>479</v>
      </c>
      <c r="R597" s="22" t="s">
        <v>27</v>
      </c>
      <c r="S597" s="25" t="s">
        <v>29</v>
      </c>
      <c r="T597" s="24" t="s">
        <v>30</v>
      </c>
      <c r="U597" s="31" t="s">
        <v>31</v>
      </c>
      <c r="V597" s="31" t="n">
        <v>43343</v>
      </c>
      <c r="W597" s="18"/>
      <c r="X597" s="18"/>
    </row>
    <row r="598" customFormat="false" ht="13.8" hidden="false" customHeight="false" outlineLevel="0" collapsed="false">
      <c r="A598" s="18"/>
      <c r="B598" s="19" t="n">
        <v>18598</v>
      </c>
      <c r="C598" s="20" t="n">
        <v>43264</v>
      </c>
      <c r="D598" s="21" t="s">
        <v>22</v>
      </c>
      <c r="E598" s="22" t="s">
        <v>665</v>
      </c>
      <c r="F598" s="23" t="s">
        <v>544</v>
      </c>
      <c r="G598" s="22" t="s">
        <v>755</v>
      </c>
      <c r="H598" s="24" t="s">
        <v>111</v>
      </c>
      <c r="I598" s="24" t="s">
        <v>26</v>
      </c>
      <c r="J598" s="25" t="n">
        <v>50.71</v>
      </c>
      <c r="K598" s="26" t="n">
        <v>720000</v>
      </c>
      <c r="L598" s="27" t="n">
        <f aca="false">K598/J598</f>
        <v>14198.3829619404</v>
      </c>
      <c r="M598" s="28"/>
      <c r="N598" s="29"/>
      <c r="O598" s="30" t="n">
        <f aca="false">K598+N598</f>
        <v>720000</v>
      </c>
      <c r="P598" s="30" t="n">
        <f aca="false">ROUND(O598/J598, 2)</f>
        <v>14198.38</v>
      </c>
      <c r="Q598" s="25" t="s">
        <v>161</v>
      </c>
      <c r="R598" s="22" t="s">
        <v>36</v>
      </c>
      <c r="S598" s="25" t="s">
        <v>29</v>
      </c>
      <c r="T598" s="24" t="s">
        <v>30</v>
      </c>
      <c r="U598" s="31" t="s">
        <v>31</v>
      </c>
      <c r="V598" s="31" t="n">
        <v>43343</v>
      </c>
      <c r="W598" s="34"/>
      <c r="X598" s="34"/>
    </row>
    <row r="599" customFormat="false" ht="13.8" hidden="false" customHeight="false" outlineLevel="0" collapsed="false">
      <c r="A599" s="18"/>
      <c r="B599" s="19" t="n">
        <v>4861</v>
      </c>
      <c r="C599" s="20" t="n">
        <v>43264</v>
      </c>
      <c r="D599" s="21" t="s">
        <v>22</v>
      </c>
      <c r="E599" s="22" t="s">
        <v>302</v>
      </c>
      <c r="F599" s="23" t="s">
        <v>450</v>
      </c>
      <c r="G599" s="22" t="s">
        <v>246</v>
      </c>
      <c r="H599" s="24" t="s">
        <v>286</v>
      </c>
      <c r="I599" s="24" t="s">
        <v>49</v>
      </c>
      <c r="J599" s="25" t="n">
        <v>42.2</v>
      </c>
      <c r="K599" s="26" t="n">
        <v>407000</v>
      </c>
      <c r="L599" s="27" t="n">
        <f aca="false">K599/J599</f>
        <v>9644.54976303317</v>
      </c>
      <c r="M599" s="28"/>
      <c r="N599" s="29"/>
      <c r="O599" s="30" t="n">
        <f aca="false">K599+N599</f>
        <v>407000</v>
      </c>
      <c r="P599" s="30" t="n">
        <f aca="false">ROUND(O599/J599, 2)</f>
        <v>9644.55</v>
      </c>
      <c r="Q599" s="25" t="s">
        <v>50</v>
      </c>
      <c r="R599" s="22" t="s">
        <v>36</v>
      </c>
      <c r="S599" s="25" t="s">
        <v>29</v>
      </c>
      <c r="T599" s="24" t="s">
        <v>30</v>
      </c>
      <c r="U599" s="31" t="s">
        <v>31</v>
      </c>
      <c r="V599" s="31" t="n">
        <v>43343</v>
      </c>
      <c r="W599" s="18"/>
      <c r="X599" s="18"/>
    </row>
    <row r="600" customFormat="false" ht="13.8" hidden="false" customHeight="false" outlineLevel="0" collapsed="false">
      <c r="A600" s="18"/>
      <c r="B600" s="19" t="n">
        <v>1082</v>
      </c>
      <c r="C600" s="20" t="n">
        <v>43264</v>
      </c>
      <c r="D600" s="21" t="s">
        <v>22</v>
      </c>
      <c r="E600" s="22" t="s">
        <v>183</v>
      </c>
      <c r="F600" s="23" t="s">
        <v>486</v>
      </c>
      <c r="G600" s="22" t="s">
        <v>154</v>
      </c>
      <c r="H600" s="24" t="s">
        <v>147</v>
      </c>
      <c r="I600" s="24" t="s">
        <v>26</v>
      </c>
      <c r="J600" s="25" t="n">
        <f aca="false">39.05-2.75</f>
        <v>36.3</v>
      </c>
      <c r="K600" s="26" t="n">
        <v>335000</v>
      </c>
      <c r="L600" s="27" t="n">
        <f aca="false">K600/J600</f>
        <v>9228.65013774105</v>
      </c>
      <c r="M600" s="28" t="s">
        <v>886</v>
      </c>
      <c r="N600" s="29"/>
      <c r="O600" s="30" t="n">
        <f aca="false">K600+N600</f>
        <v>335000</v>
      </c>
      <c r="P600" s="30" t="n">
        <f aca="false">ROUND(O600/J600, 2)</f>
        <v>9228.65</v>
      </c>
      <c r="Q600" s="25" t="s">
        <v>50</v>
      </c>
      <c r="R600" s="22" t="s">
        <v>36</v>
      </c>
      <c r="S600" s="25" t="s">
        <v>29</v>
      </c>
      <c r="T600" s="24" t="s">
        <v>30</v>
      </c>
      <c r="U600" s="31" t="s">
        <v>31</v>
      </c>
      <c r="V600" s="31" t="n">
        <v>43343</v>
      </c>
      <c r="W600" s="18"/>
      <c r="X600" s="18"/>
    </row>
    <row r="601" customFormat="false" ht="13.8" hidden="false" customHeight="false" outlineLevel="0" collapsed="false">
      <c r="A601" s="18"/>
      <c r="B601" s="19" t="s">
        <v>887</v>
      </c>
      <c r="C601" s="20" t="n">
        <v>43264</v>
      </c>
      <c r="D601" s="38" t="s">
        <v>22</v>
      </c>
      <c r="E601" s="22" t="s">
        <v>183</v>
      </c>
      <c r="F601" s="45" t="s">
        <v>888</v>
      </c>
      <c r="G601" s="19" t="n">
        <v>23</v>
      </c>
      <c r="H601" s="19"/>
      <c r="I601" s="19" t="n">
        <v>3</v>
      </c>
      <c r="J601" s="25" t="n">
        <v>39.05</v>
      </c>
      <c r="K601" s="39" t="n">
        <v>335000</v>
      </c>
      <c r="L601" s="39" t="n">
        <f aca="false">K601/J601</f>
        <v>8578.74519846351</v>
      </c>
      <c r="M601" s="34"/>
      <c r="N601" s="40"/>
      <c r="O601" s="30" t="n">
        <f aca="false">K601+N601</f>
        <v>335000</v>
      </c>
      <c r="P601" s="39" t="n">
        <f aca="false">O601/J601</f>
        <v>8578.74519846351</v>
      </c>
      <c r="Q601" s="19" t="s">
        <v>889</v>
      </c>
      <c r="R601" s="19" t="n">
        <v>3</v>
      </c>
      <c r="S601" s="19" t="s">
        <v>890</v>
      </c>
      <c r="T601" s="19"/>
      <c r="U601" s="19" t="s">
        <v>31</v>
      </c>
      <c r="V601" s="41" t="n">
        <v>43727</v>
      </c>
      <c r="W601" s="18"/>
      <c r="X601" s="18"/>
    </row>
    <row r="602" customFormat="false" ht="13.8" hidden="false" customHeight="false" outlineLevel="0" collapsed="false">
      <c r="A602" s="18"/>
      <c r="B602" s="19" t="s">
        <v>891</v>
      </c>
      <c r="C602" s="20" t="n">
        <v>43265</v>
      </c>
      <c r="D602" s="21" t="s">
        <v>22</v>
      </c>
      <c r="E602" s="22" t="s">
        <v>187</v>
      </c>
      <c r="F602" s="23" t="s">
        <v>94</v>
      </c>
      <c r="G602" s="22" t="s">
        <v>188</v>
      </c>
      <c r="H602" s="24" t="s">
        <v>474</v>
      </c>
      <c r="I602" s="24" t="s">
        <v>82</v>
      </c>
      <c r="J602" s="25" t="n">
        <v>55.76</v>
      </c>
      <c r="K602" s="26" t="n">
        <v>485000</v>
      </c>
      <c r="L602" s="27" t="n">
        <f aca="false">K602/J602</f>
        <v>8697.99139167862</v>
      </c>
      <c r="M602" s="28"/>
      <c r="N602" s="29"/>
      <c r="O602" s="30" t="n">
        <f aca="false">K602+N602</f>
        <v>485000</v>
      </c>
      <c r="P602" s="30" t="n">
        <f aca="false">ROUND(O602/J602, 2)</f>
        <v>8697.99</v>
      </c>
      <c r="Q602" s="25" t="s">
        <v>50</v>
      </c>
      <c r="R602" s="22" t="s">
        <v>36</v>
      </c>
      <c r="S602" s="25" t="s">
        <v>29</v>
      </c>
      <c r="T602" s="24" t="s">
        <v>30</v>
      </c>
      <c r="U602" s="31" t="s">
        <v>31</v>
      </c>
      <c r="V602" s="31" t="n">
        <v>43343</v>
      </c>
      <c r="W602" s="34" t="s">
        <v>892</v>
      </c>
      <c r="X602" s="18"/>
    </row>
    <row r="603" customFormat="false" ht="13.8" hidden="false" customHeight="false" outlineLevel="0" collapsed="false">
      <c r="A603" s="18"/>
      <c r="B603" s="19" t="n">
        <v>1274</v>
      </c>
      <c r="C603" s="20" t="n">
        <v>43265</v>
      </c>
      <c r="D603" s="21" t="s">
        <v>22</v>
      </c>
      <c r="E603" s="22" t="s">
        <v>235</v>
      </c>
      <c r="F603" s="23" t="s">
        <v>236</v>
      </c>
      <c r="G603" s="22" t="s">
        <v>180</v>
      </c>
      <c r="H603" s="24" t="s">
        <v>82</v>
      </c>
      <c r="I603" s="24" t="s">
        <v>57</v>
      </c>
      <c r="J603" s="25" t="n">
        <f aca="false">64.95-2.14</f>
        <v>62.81</v>
      </c>
      <c r="K603" s="26" t="n">
        <v>590000</v>
      </c>
      <c r="L603" s="27" t="n">
        <f aca="false">K603/J603</f>
        <v>9393.4086928833</v>
      </c>
      <c r="M603" s="28" t="s">
        <v>893</v>
      </c>
      <c r="N603" s="29"/>
      <c r="O603" s="30" t="n">
        <f aca="false">K603+N603</f>
        <v>590000</v>
      </c>
      <c r="P603" s="30" t="n">
        <f aca="false">ROUND(O603/J603, 2)</f>
        <v>9393.41</v>
      </c>
      <c r="Q603" s="25" t="s">
        <v>85</v>
      </c>
      <c r="R603" s="22" t="s">
        <v>26</v>
      </c>
      <c r="S603" s="25" t="s">
        <v>29</v>
      </c>
      <c r="T603" s="24" t="s">
        <v>30</v>
      </c>
      <c r="U603" s="31" t="s">
        <v>31</v>
      </c>
      <c r="V603" s="31" t="n">
        <v>43343</v>
      </c>
      <c r="W603" s="18"/>
      <c r="X603" s="18"/>
      <c r="Y603" s="35"/>
      <c r="Z603" s="36"/>
    </row>
    <row r="604" customFormat="false" ht="13.8" hidden="false" customHeight="false" outlineLevel="0" collapsed="false">
      <c r="A604" s="18"/>
      <c r="B604" s="19" t="n">
        <v>3918</v>
      </c>
      <c r="C604" s="20" t="n">
        <v>43265</v>
      </c>
      <c r="D604" s="21" t="s">
        <v>22</v>
      </c>
      <c r="E604" s="22" t="s">
        <v>235</v>
      </c>
      <c r="F604" s="23" t="s">
        <v>236</v>
      </c>
      <c r="G604" s="22" t="s">
        <v>894</v>
      </c>
      <c r="H604" s="24" t="s">
        <v>200</v>
      </c>
      <c r="I604" s="24" t="s">
        <v>49</v>
      </c>
      <c r="J604" s="25" t="n">
        <v>29.07</v>
      </c>
      <c r="K604" s="26" t="n">
        <v>315000</v>
      </c>
      <c r="L604" s="27" t="n">
        <f aca="false">K604/J604</f>
        <v>10835.9133126935</v>
      </c>
      <c r="M604" s="28" t="s">
        <v>64</v>
      </c>
      <c r="N604" s="29"/>
      <c r="O604" s="30" t="n">
        <f aca="false">K604+N604</f>
        <v>315000</v>
      </c>
      <c r="P604" s="30" t="n">
        <f aca="false">ROUND(O604/J604, 2)</f>
        <v>10835.91</v>
      </c>
      <c r="Q604" s="25" t="s">
        <v>41</v>
      </c>
      <c r="R604" s="22" t="s">
        <v>27</v>
      </c>
      <c r="S604" s="25" t="s">
        <v>29</v>
      </c>
      <c r="T604" s="24" t="s">
        <v>30</v>
      </c>
      <c r="U604" s="31" t="s">
        <v>31</v>
      </c>
      <c r="V604" s="31" t="n">
        <v>43343</v>
      </c>
      <c r="W604" s="18"/>
      <c r="X604" s="18"/>
    </row>
    <row r="605" customFormat="false" ht="13.8" hidden="false" customHeight="false" outlineLevel="0" collapsed="false">
      <c r="A605" s="18"/>
      <c r="B605" s="19" t="n">
        <v>1251</v>
      </c>
      <c r="C605" s="20" t="n">
        <v>43265</v>
      </c>
      <c r="D605" s="21" t="s">
        <v>22</v>
      </c>
      <c r="E605" s="22" t="s">
        <v>284</v>
      </c>
      <c r="F605" s="23" t="s">
        <v>661</v>
      </c>
      <c r="G605" s="22" t="s">
        <v>48</v>
      </c>
      <c r="H605" s="24" t="s">
        <v>36</v>
      </c>
      <c r="I605" s="24" t="s">
        <v>27</v>
      </c>
      <c r="J605" s="25" t="n">
        <v>16.95</v>
      </c>
      <c r="K605" s="26" t="n">
        <v>210000</v>
      </c>
      <c r="L605" s="27" t="n">
        <f aca="false">K605/J605</f>
        <v>12389.3805309735</v>
      </c>
      <c r="M605" s="28"/>
      <c r="N605" s="29"/>
      <c r="O605" s="30" t="n">
        <f aca="false">K605+N605</f>
        <v>210000</v>
      </c>
      <c r="P605" s="30" t="n">
        <f aca="false">ROUND(O605/J605, 2)</f>
        <v>12389.38</v>
      </c>
      <c r="Q605" s="25" t="s">
        <v>479</v>
      </c>
      <c r="R605" s="22" t="s">
        <v>27</v>
      </c>
      <c r="S605" s="25" t="s">
        <v>29</v>
      </c>
      <c r="T605" s="24" t="s">
        <v>30</v>
      </c>
      <c r="U605" s="31" t="s">
        <v>31</v>
      </c>
      <c r="V605" s="31" t="n">
        <v>43343</v>
      </c>
      <c r="W605" s="18"/>
      <c r="X605" s="18"/>
    </row>
    <row r="606" customFormat="false" ht="13.8" hidden="false" customHeight="false" outlineLevel="0" collapsed="false">
      <c r="A606" s="18"/>
      <c r="B606" s="19" t="n">
        <v>1476</v>
      </c>
      <c r="C606" s="20" t="n">
        <v>43265</v>
      </c>
      <c r="D606" s="21" t="s">
        <v>22</v>
      </c>
      <c r="E606" s="22" t="s">
        <v>247</v>
      </c>
      <c r="F606" s="23" t="s">
        <v>248</v>
      </c>
      <c r="G606" s="22" t="s">
        <v>27</v>
      </c>
      <c r="H606" s="24" t="s">
        <v>489</v>
      </c>
      <c r="I606" s="24" t="s">
        <v>57</v>
      </c>
      <c r="J606" s="25" t="n">
        <f aca="false">61.7-1.1</f>
        <v>60.6</v>
      </c>
      <c r="K606" s="26" t="n">
        <v>480000</v>
      </c>
      <c r="L606" s="27" t="n">
        <f aca="false">K606/J606</f>
        <v>7920.79207920792</v>
      </c>
      <c r="M606" s="28" t="s">
        <v>895</v>
      </c>
      <c r="N606" s="29"/>
      <c r="O606" s="30" t="n">
        <f aca="false">K606+N606</f>
        <v>480000</v>
      </c>
      <c r="P606" s="30" t="n">
        <f aca="false">ROUND(O606/J606, 2)</f>
        <v>7920.79</v>
      </c>
      <c r="Q606" s="25" t="s">
        <v>85</v>
      </c>
      <c r="R606" s="22" t="s">
        <v>26</v>
      </c>
      <c r="S606" s="25" t="s">
        <v>29</v>
      </c>
      <c r="T606" s="24" t="s">
        <v>30</v>
      </c>
      <c r="U606" s="31" t="s">
        <v>31</v>
      </c>
      <c r="V606" s="31" t="n">
        <v>43343</v>
      </c>
      <c r="W606" s="18"/>
      <c r="X606" s="18"/>
    </row>
    <row r="607" customFormat="false" ht="13.8" hidden="false" customHeight="false" outlineLevel="0" collapsed="false">
      <c r="A607" s="18"/>
      <c r="B607" s="19" t="n">
        <v>2853</v>
      </c>
      <c r="C607" s="20" t="n">
        <v>43265</v>
      </c>
      <c r="D607" s="21" t="s">
        <v>22</v>
      </c>
      <c r="E607" s="22" t="s">
        <v>65</v>
      </c>
      <c r="F607" s="23" t="s">
        <v>619</v>
      </c>
      <c r="G607" s="22" t="s">
        <v>27</v>
      </c>
      <c r="H607" s="24" t="s">
        <v>286</v>
      </c>
      <c r="I607" s="24" t="s">
        <v>101</v>
      </c>
      <c r="J607" s="25" t="n">
        <v>63.6</v>
      </c>
      <c r="K607" s="26" t="n">
        <v>485000</v>
      </c>
      <c r="L607" s="27" t="n">
        <f aca="false">K607/J607</f>
        <v>7625.78616352201</v>
      </c>
      <c r="M607" s="28"/>
      <c r="N607" s="29"/>
      <c r="O607" s="30" t="n">
        <f aca="false">K607+N607</f>
        <v>485000</v>
      </c>
      <c r="P607" s="30" t="n">
        <f aca="false">ROUND(O607/J607, 2)</f>
        <v>7625.79</v>
      </c>
      <c r="Q607" s="25" t="s">
        <v>91</v>
      </c>
      <c r="R607" s="22" t="s">
        <v>49</v>
      </c>
      <c r="S607" s="25" t="s">
        <v>29</v>
      </c>
      <c r="T607" s="24" t="s">
        <v>30</v>
      </c>
      <c r="U607" s="31" t="s">
        <v>31</v>
      </c>
      <c r="V607" s="31" t="n">
        <v>43343</v>
      </c>
      <c r="W607" s="18"/>
      <c r="X607" s="18"/>
    </row>
    <row r="608" customFormat="false" ht="13.8" hidden="false" customHeight="false" outlineLevel="0" collapsed="false">
      <c r="A608" s="18"/>
      <c r="B608" s="19" t="n">
        <v>964</v>
      </c>
      <c r="C608" s="20" t="n">
        <v>43266</v>
      </c>
      <c r="D608" s="21" t="s">
        <v>22</v>
      </c>
      <c r="E608" s="22" t="s">
        <v>212</v>
      </c>
      <c r="F608" s="23" t="s">
        <v>76</v>
      </c>
      <c r="G608" s="22" t="s">
        <v>797</v>
      </c>
      <c r="H608" s="24" t="s">
        <v>141</v>
      </c>
      <c r="I608" s="24" t="s">
        <v>49</v>
      </c>
      <c r="J608" s="25" t="n">
        <f aca="false">57.8</f>
        <v>57.8</v>
      </c>
      <c r="K608" s="26" t="n">
        <v>430000</v>
      </c>
      <c r="L608" s="27" t="n">
        <f aca="false">K608/J608</f>
        <v>7439.44636678201</v>
      </c>
      <c r="M608" s="28" t="s">
        <v>849</v>
      </c>
      <c r="N608" s="29"/>
      <c r="O608" s="30" t="n">
        <f aca="false">K608+N608</f>
        <v>430000</v>
      </c>
      <c r="P608" s="30" t="n">
        <f aca="false">ROUND(O608/J608, 2)</f>
        <v>7439.45</v>
      </c>
      <c r="Q608" s="25" t="s">
        <v>85</v>
      </c>
      <c r="R608" s="22" t="s">
        <v>26</v>
      </c>
      <c r="S608" s="25" t="s">
        <v>29</v>
      </c>
      <c r="T608" s="24" t="s">
        <v>30</v>
      </c>
      <c r="U608" s="31" t="s">
        <v>31</v>
      </c>
      <c r="V608" s="31" t="n">
        <v>43343</v>
      </c>
      <c r="W608" s="18"/>
      <c r="X608" s="18"/>
    </row>
    <row r="609" customFormat="false" ht="13.8" hidden="false" customHeight="false" outlineLevel="0" collapsed="false">
      <c r="A609" s="18"/>
      <c r="B609" s="19" t="n">
        <v>1270</v>
      </c>
      <c r="C609" s="20" t="n">
        <v>43266</v>
      </c>
      <c r="D609" s="21" t="s">
        <v>22</v>
      </c>
      <c r="E609" s="22" t="s">
        <v>53</v>
      </c>
      <c r="F609" s="23" t="s">
        <v>614</v>
      </c>
      <c r="G609" s="22" t="s">
        <v>26</v>
      </c>
      <c r="H609" s="24" t="s">
        <v>896</v>
      </c>
      <c r="I609" s="24" t="s">
        <v>82</v>
      </c>
      <c r="J609" s="25" t="n">
        <f aca="false">66.6-2.8</f>
        <v>63.8</v>
      </c>
      <c r="K609" s="26" t="n">
        <v>490000</v>
      </c>
      <c r="L609" s="27" t="n">
        <f aca="false">K609/J609</f>
        <v>7680.25078369906</v>
      </c>
      <c r="M609" s="28" t="s">
        <v>897</v>
      </c>
      <c r="N609" s="29"/>
      <c r="O609" s="30" t="n">
        <f aca="false">K609+N609</f>
        <v>490000</v>
      </c>
      <c r="P609" s="30" t="n">
        <f aca="false">ROUND(O609/J609, 2)</f>
        <v>7680.25</v>
      </c>
      <c r="Q609" s="25" t="s">
        <v>85</v>
      </c>
      <c r="R609" s="22" t="s">
        <v>26</v>
      </c>
      <c r="S609" s="25" t="s">
        <v>29</v>
      </c>
      <c r="T609" s="24" t="s">
        <v>30</v>
      </c>
      <c r="U609" s="31" t="s">
        <v>31</v>
      </c>
      <c r="V609" s="31" t="n">
        <v>43343</v>
      </c>
      <c r="W609" s="18"/>
      <c r="X609" s="18"/>
      <c r="AMJ609" s="32"/>
    </row>
    <row r="610" s="32" customFormat="true" ht="13.8" hidden="false" customHeight="false" outlineLevel="0" collapsed="false">
      <c r="A610" s="18"/>
      <c r="B610" s="19" t="s">
        <v>898</v>
      </c>
      <c r="C610" s="20" t="n">
        <v>43266</v>
      </c>
      <c r="D610" s="21" t="s">
        <v>22</v>
      </c>
      <c r="E610" s="22" t="s">
        <v>203</v>
      </c>
      <c r="F610" s="23" t="s">
        <v>138</v>
      </c>
      <c r="G610" s="22" t="s">
        <v>200</v>
      </c>
      <c r="H610" s="24" t="s">
        <v>899</v>
      </c>
      <c r="I610" s="24" t="s">
        <v>143</v>
      </c>
      <c r="J610" s="25" t="n">
        <v>65.04</v>
      </c>
      <c r="K610" s="26" t="n">
        <v>660000</v>
      </c>
      <c r="L610" s="27" t="n">
        <f aca="false">K610/J610</f>
        <v>10147.6014760148</v>
      </c>
      <c r="M610" s="28" t="s">
        <v>205</v>
      </c>
      <c r="N610" s="29" t="n">
        <v>30000</v>
      </c>
      <c r="O610" s="30" t="n">
        <f aca="false">K610+N610</f>
        <v>690000</v>
      </c>
      <c r="P610" s="30" t="n">
        <f aca="false">ROUND(O610/J610, 2)</f>
        <v>10608.86</v>
      </c>
      <c r="Q610" s="25" t="s">
        <v>232</v>
      </c>
      <c r="R610" s="22" t="s">
        <v>26</v>
      </c>
      <c r="S610" s="25" t="s">
        <v>29</v>
      </c>
      <c r="T610" s="24" t="s">
        <v>30</v>
      </c>
      <c r="U610" s="31" t="s">
        <v>31</v>
      </c>
      <c r="V610" s="31" t="n">
        <v>43343</v>
      </c>
      <c r="W610" s="34" t="s">
        <v>900</v>
      </c>
      <c r="X610" s="18"/>
    </row>
    <row r="611" customFormat="false" ht="13.8" hidden="false" customHeight="false" outlineLevel="0" collapsed="false">
      <c r="A611" s="18"/>
      <c r="B611" s="19" t="n">
        <v>2806</v>
      </c>
      <c r="C611" s="20" t="n">
        <v>43266</v>
      </c>
      <c r="D611" s="21" t="s">
        <v>22</v>
      </c>
      <c r="E611" s="22" t="s">
        <v>350</v>
      </c>
      <c r="F611" s="23" t="s">
        <v>323</v>
      </c>
      <c r="G611" s="22" t="s">
        <v>715</v>
      </c>
      <c r="H611" s="24" t="s">
        <v>275</v>
      </c>
      <c r="I611" s="24" t="s">
        <v>57</v>
      </c>
      <c r="J611" s="25" t="n">
        <v>76.93</v>
      </c>
      <c r="K611" s="26" t="n">
        <v>685000</v>
      </c>
      <c r="L611" s="27" t="n">
        <f aca="false">K611/J611</f>
        <v>8904.19862212401</v>
      </c>
      <c r="M611" s="28" t="s">
        <v>901</v>
      </c>
      <c r="N611" s="29" t="n">
        <v>24900</v>
      </c>
      <c r="O611" s="30" t="n">
        <f aca="false">K611+N611</f>
        <v>709900</v>
      </c>
      <c r="P611" s="30" t="n">
        <f aca="false">ROUND(O611/J611, 2)</f>
        <v>9227.87</v>
      </c>
      <c r="Q611" s="25" t="s">
        <v>232</v>
      </c>
      <c r="R611" s="22" t="s">
        <v>26</v>
      </c>
      <c r="S611" s="25" t="s">
        <v>29</v>
      </c>
      <c r="T611" s="24" t="s">
        <v>30</v>
      </c>
      <c r="U611" s="31" t="s">
        <v>31</v>
      </c>
      <c r="V611" s="31" t="n">
        <v>43343</v>
      </c>
      <c r="W611" s="18"/>
      <c r="X611" s="18"/>
    </row>
    <row r="612" customFormat="false" ht="13.8" hidden="false" customHeight="false" outlineLevel="0" collapsed="false">
      <c r="A612" s="18"/>
      <c r="B612" s="19" t="n">
        <v>2933</v>
      </c>
      <c r="C612" s="20" t="n">
        <v>43266</v>
      </c>
      <c r="D612" s="21" t="s">
        <v>22</v>
      </c>
      <c r="E612" s="22" t="s">
        <v>144</v>
      </c>
      <c r="F612" s="23" t="s">
        <v>145</v>
      </c>
      <c r="G612" s="22" t="s">
        <v>168</v>
      </c>
      <c r="H612" s="24" t="s">
        <v>902</v>
      </c>
      <c r="I612" s="24" t="s">
        <v>26</v>
      </c>
      <c r="J612" s="25" t="n">
        <v>45.25</v>
      </c>
      <c r="K612" s="26" t="n">
        <v>460000</v>
      </c>
      <c r="L612" s="27" t="n">
        <f aca="false">K612/J612</f>
        <v>10165.7458563536</v>
      </c>
      <c r="M612" s="28"/>
      <c r="N612" s="29"/>
      <c r="O612" s="30" t="n">
        <f aca="false">K612+N612</f>
        <v>460000</v>
      </c>
      <c r="P612" s="30" t="n">
        <f aca="false">ROUND(O612/J612, 2)</f>
        <v>10165.75</v>
      </c>
      <c r="Q612" s="25" t="s">
        <v>50</v>
      </c>
      <c r="R612" s="22" t="s">
        <v>36</v>
      </c>
      <c r="S612" s="25" t="s">
        <v>29</v>
      </c>
      <c r="T612" s="24" t="s">
        <v>30</v>
      </c>
      <c r="U612" s="31" t="s">
        <v>31</v>
      </c>
      <c r="V612" s="31" t="n">
        <v>43343</v>
      </c>
      <c r="W612" s="34"/>
      <c r="X612" s="34"/>
      <c r="AMJ612" s="32"/>
    </row>
    <row r="613" s="32" customFormat="true" ht="13.8" hidden="false" customHeight="false" outlineLevel="0" collapsed="false">
      <c r="A613" s="18"/>
      <c r="B613" s="19" t="n">
        <v>1392</v>
      </c>
      <c r="C613" s="20" t="n">
        <v>43266</v>
      </c>
      <c r="D613" s="21" t="s">
        <v>22</v>
      </c>
      <c r="E613" s="22" t="s">
        <v>543</v>
      </c>
      <c r="F613" s="23" t="s">
        <v>172</v>
      </c>
      <c r="G613" s="22" t="s">
        <v>294</v>
      </c>
      <c r="H613" s="24" t="s">
        <v>82</v>
      </c>
      <c r="I613" s="24" t="s">
        <v>26</v>
      </c>
      <c r="J613" s="25" t="n">
        <v>68.5</v>
      </c>
      <c r="K613" s="26" t="n">
        <v>543000</v>
      </c>
      <c r="L613" s="27" t="n">
        <f aca="false">K613/J613</f>
        <v>7927.00729927007</v>
      </c>
      <c r="M613" s="28" t="s">
        <v>64</v>
      </c>
      <c r="N613" s="29"/>
      <c r="O613" s="30" t="n">
        <f aca="false">K613+N613</f>
        <v>543000</v>
      </c>
      <c r="P613" s="30" t="n">
        <f aca="false">ROUND(O613/J613, 2)</f>
        <v>7927.01</v>
      </c>
      <c r="Q613" s="25" t="s">
        <v>85</v>
      </c>
      <c r="R613" s="22" t="s">
        <v>26</v>
      </c>
      <c r="S613" s="25" t="s">
        <v>29</v>
      </c>
      <c r="T613" s="24" t="s">
        <v>30</v>
      </c>
      <c r="U613" s="31" t="s">
        <v>31</v>
      </c>
      <c r="V613" s="31" t="n">
        <v>43343</v>
      </c>
      <c r="W613" s="34"/>
      <c r="X613" s="34"/>
    </row>
    <row r="614" s="32" customFormat="true" ht="13.8" hidden="false" customHeight="false" outlineLevel="0" collapsed="false">
      <c r="A614" s="18"/>
      <c r="B614" s="19" t="n">
        <v>1633</v>
      </c>
      <c r="C614" s="20" t="n">
        <v>43266</v>
      </c>
      <c r="D614" s="21" t="s">
        <v>22</v>
      </c>
      <c r="E614" s="22" t="s">
        <v>308</v>
      </c>
      <c r="F614" s="23" t="s">
        <v>46</v>
      </c>
      <c r="G614" s="22" t="s">
        <v>27</v>
      </c>
      <c r="H614" s="24" t="s">
        <v>112</v>
      </c>
      <c r="I614" s="24" t="s">
        <v>26</v>
      </c>
      <c r="J614" s="25" t="n">
        <v>106.31</v>
      </c>
      <c r="K614" s="26" t="n">
        <v>1081000</v>
      </c>
      <c r="L614" s="27" t="n">
        <f aca="false">K614/J614</f>
        <v>10168.3755055968</v>
      </c>
      <c r="M614" s="28" t="s">
        <v>64</v>
      </c>
      <c r="N614" s="29"/>
      <c r="O614" s="30" t="n">
        <f aca="false">K614+N614</f>
        <v>1081000</v>
      </c>
      <c r="P614" s="30" t="n">
        <f aca="false">ROUND(O614/J614, 2)</f>
        <v>10168.38</v>
      </c>
      <c r="Q614" s="25" t="s">
        <v>133</v>
      </c>
      <c r="R614" s="22" t="s">
        <v>26</v>
      </c>
      <c r="S614" s="25" t="s">
        <v>29</v>
      </c>
      <c r="T614" s="24" t="s">
        <v>30</v>
      </c>
      <c r="U614" s="31" t="s">
        <v>31</v>
      </c>
      <c r="V614" s="31" t="n">
        <v>43343</v>
      </c>
      <c r="W614" s="34"/>
      <c r="X614" s="34"/>
    </row>
    <row r="615" customFormat="false" ht="13.8" hidden="false" customHeight="false" outlineLevel="0" collapsed="false">
      <c r="A615" s="18"/>
      <c r="B615" s="19" t="n">
        <v>1156</v>
      </c>
      <c r="C615" s="20" t="n">
        <v>43266</v>
      </c>
      <c r="D615" s="38" t="s">
        <v>22</v>
      </c>
      <c r="E615" s="22" t="s">
        <v>45</v>
      </c>
      <c r="F615" s="34" t="s">
        <v>544</v>
      </c>
      <c r="G615" s="19" t="s">
        <v>845</v>
      </c>
      <c r="H615" s="19" t="n">
        <v>1</v>
      </c>
      <c r="I615" s="19" t="n">
        <v>1</v>
      </c>
      <c r="J615" s="19" t="n">
        <v>51.87</v>
      </c>
      <c r="K615" s="39" t="n">
        <v>525000</v>
      </c>
      <c r="L615" s="39" t="n">
        <f aca="false">K615/J615</f>
        <v>10121.4574898785</v>
      </c>
      <c r="M615" s="18"/>
      <c r="N615" s="40"/>
      <c r="O615" s="30" t="n">
        <f aca="false">K615+N615</f>
        <v>525000</v>
      </c>
      <c r="P615" s="39" t="n">
        <f aca="false">O615/J615</f>
        <v>10121.4574898785</v>
      </c>
      <c r="Q615" s="19" t="s">
        <v>903</v>
      </c>
      <c r="R615" s="22" t="s">
        <v>36</v>
      </c>
      <c r="S615" s="19" t="s">
        <v>29</v>
      </c>
      <c r="T615" s="19" t="s">
        <v>30</v>
      </c>
      <c r="U615" s="19" t="s">
        <v>31</v>
      </c>
      <c r="V615" s="41" t="n">
        <v>43514</v>
      </c>
      <c r="W615" s="34" t="s">
        <v>904</v>
      </c>
      <c r="X615" s="18"/>
    </row>
    <row r="616" customFormat="false" ht="13.8" hidden="false" customHeight="false" outlineLevel="0" collapsed="false">
      <c r="A616" s="18"/>
      <c r="B616" s="19" t="n">
        <v>609</v>
      </c>
      <c r="C616" s="20" t="n">
        <v>43266</v>
      </c>
      <c r="D616" s="21" t="s">
        <v>22</v>
      </c>
      <c r="E616" s="22" t="s">
        <v>354</v>
      </c>
      <c r="F616" s="23" t="s">
        <v>456</v>
      </c>
      <c r="G616" s="22" t="s">
        <v>192</v>
      </c>
      <c r="H616" s="24" t="s">
        <v>259</v>
      </c>
      <c r="I616" s="24" t="s">
        <v>36</v>
      </c>
      <c r="J616" s="25" t="n">
        <v>37.7</v>
      </c>
      <c r="K616" s="26" t="n">
        <v>340000</v>
      </c>
      <c r="L616" s="27" t="n">
        <f aca="false">K616/J616</f>
        <v>9018.56763925729</v>
      </c>
      <c r="M616" s="28" t="s">
        <v>64</v>
      </c>
      <c r="N616" s="29"/>
      <c r="O616" s="30" t="n">
        <f aca="false">K616+N616</f>
        <v>340000</v>
      </c>
      <c r="P616" s="30" t="n">
        <f aca="false">ROUND(O616/J616, 2)</f>
        <v>9018.57</v>
      </c>
      <c r="Q616" s="25" t="s">
        <v>41</v>
      </c>
      <c r="R616" s="22" t="s">
        <v>27</v>
      </c>
      <c r="S616" s="25" t="s">
        <v>29</v>
      </c>
      <c r="T616" s="24" t="s">
        <v>30</v>
      </c>
      <c r="U616" s="31" t="s">
        <v>31</v>
      </c>
      <c r="V616" s="31" t="n">
        <v>43343</v>
      </c>
      <c r="W616" s="18"/>
      <c r="X616" s="18"/>
    </row>
    <row r="617" customFormat="false" ht="13.8" hidden="false" customHeight="false" outlineLevel="0" collapsed="false">
      <c r="A617" s="18"/>
      <c r="B617" s="19" t="n">
        <v>3328</v>
      </c>
      <c r="C617" s="20" t="n">
        <v>43266</v>
      </c>
      <c r="D617" s="21" t="s">
        <v>22</v>
      </c>
      <c r="E617" s="22" t="s">
        <v>354</v>
      </c>
      <c r="F617" s="23" t="s">
        <v>355</v>
      </c>
      <c r="G617" s="22" t="s">
        <v>111</v>
      </c>
      <c r="H617" s="24" t="s">
        <v>905</v>
      </c>
      <c r="I617" s="24" t="s">
        <v>57</v>
      </c>
      <c r="J617" s="25" t="n">
        <v>63.8</v>
      </c>
      <c r="K617" s="26" t="n">
        <v>640000</v>
      </c>
      <c r="L617" s="27" t="n">
        <f aca="false">K617/J617</f>
        <v>10031.3479623824</v>
      </c>
      <c r="M617" s="28"/>
      <c r="N617" s="29"/>
      <c r="O617" s="30" t="n">
        <f aca="false">K617+N617</f>
        <v>640000</v>
      </c>
      <c r="P617" s="30" t="n">
        <f aca="false">ROUND(O617/J617, 2)</f>
        <v>10031.35</v>
      </c>
      <c r="Q617" s="25" t="s">
        <v>232</v>
      </c>
      <c r="R617" s="22" t="s">
        <v>26</v>
      </c>
      <c r="S617" s="25" t="s">
        <v>29</v>
      </c>
      <c r="T617" s="24" t="s">
        <v>30</v>
      </c>
      <c r="U617" s="31" t="s">
        <v>31</v>
      </c>
      <c r="V617" s="31" t="n">
        <v>43343</v>
      </c>
      <c r="W617" s="18"/>
      <c r="X617" s="18"/>
    </row>
    <row r="618" customFormat="false" ht="13.8" hidden="false" customHeight="false" outlineLevel="0" collapsed="false">
      <c r="A618" s="18"/>
      <c r="B618" s="19" t="n">
        <v>5843</v>
      </c>
      <c r="C618" s="20" t="n">
        <v>43269</v>
      </c>
      <c r="D618" s="21" t="s">
        <v>22</v>
      </c>
      <c r="E618" s="22" t="s">
        <v>137</v>
      </c>
      <c r="F618" s="23" t="s">
        <v>138</v>
      </c>
      <c r="G618" s="22" t="s">
        <v>210</v>
      </c>
      <c r="H618" s="24" t="s">
        <v>101</v>
      </c>
      <c r="I618" s="24" t="s">
        <v>27</v>
      </c>
      <c r="J618" s="25" t="n">
        <v>18.7</v>
      </c>
      <c r="K618" s="26" t="n">
        <v>185000</v>
      </c>
      <c r="L618" s="27" t="n">
        <f aca="false">K618/J618</f>
        <v>9893.04812834225</v>
      </c>
      <c r="M618" s="28" t="s">
        <v>64</v>
      </c>
      <c r="N618" s="29"/>
      <c r="O618" s="30" t="n">
        <f aca="false">K618+N618</f>
        <v>185000</v>
      </c>
      <c r="P618" s="30" t="n">
        <f aca="false">ROUND(O618/J618, 2)</f>
        <v>9893.05</v>
      </c>
      <c r="Q618" s="25" t="s">
        <v>479</v>
      </c>
      <c r="R618" s="22" t="s">
        <v>27</v>
      </c>
      <c r="S618" s="25" t="s">
        <v>29</v>
      </c>
      <c r="T618" s="24" t="s">
        <v>30</v>
      </c>
      <c r="U618" s="31" t="s">
        <v>31</v>
      </c>
      <c r="V618" s="31" t="n">
        <v>43343</v>
      </c>
      <c r="W618" s="18"/>
      <c r="X618" s="18"/>
      <c r="AMJ618" s="32"/>
    </row>
    <row r="619" s="32" customFormat="true" ht="13.8" hidden="false" customHeight="false" outlineLevel="0" collapsed="false">
      <c r="A619" s="18"/>
      <c r="B619" s="19" t="n">
        <v>1970</v>
      </c>
      <c r="C619" s="20" t="n">
        <v>43269</v>
      </c>
      <c r="D619" s="21" t="s">
        <v>22</v>
      </c>
      <c r="E619" s="22" t="s">
        <v>906</v>
      </c>
      <c r="F619" s="23" t="s">
        <v>907</v>
      </c>
      <c r="G619" s="22" t="s">
        <v>95</v>
      </c>
      <c r="H619" s="24" t="s">
        <v>413</v>
      </c>
      <c r="I619" s="24" t="s">
        <v>111</v>
      </c>
      <c r="J619" s="25" t="n">
        <f aca="false">63.6-1.5</f>
        <v>62.1</v>
      </c>
      <c r="K619" s="26" t="n">
        <v>445000</v>
      </c>
      <c r="L619" s="27" t="n">
        <f aca="false">K619/J619</f>
        <v>7165.8615136876</v>
      </c>
      <c r="M619" s="28" t="s">
        <v>908</v>
      </c>
      <c r="N619" s="29"/>
      <c r="O619" s="30" t="n">
        <f aca="false">K619+N619</f>
        <v>445000</v>
      </c>
      <c r="P619" s="30" t="n">
        <f aca="false">ROUND(O619/J619, 2)</f>
        <v>7165.86</v>
      </c>
      <c r="Q619" s="25" t="s">
        <v>85</v>
      </c>
      <c r="R619" s="22" t="s">
        <v>26</v>
      </c>
      <c r="S619" s="25" t="s">
        <v>29</v>
      </c>
      <c r="T619" s="24" t="s">
        <v>30</v>
      </c>
      <c r="U619" s="31" t="s">
        <v>31</v>
      </c>
      <c r="V619" s="31" t="n">
        <v>43343</v>
      </c>
      <c r="W619" s="18"/>
      <c r="X619" s="18"/>
    </row>
    <row r="620" customFormat="false" ht="13.8" hidden="false" customHeight="false" outlineLevel="0" collapsed="false">
      <c r="A620" s="18"/>
      <c r="B620" s="19" t="n">
        <v>3394</v>
      </c>
      <c r="C620" s="20" t="n">
        <v>43269</v>
      </c>
      <c r="D620" s="21" t="s">
        <v>22</v>
      </c>
      <c r="E620" s="22" t="s">
        <v>109</v>
      </c>
      <c r="F620" s="23" t="s">
        <v>127</v>
      </c>
      <c r="G620" s="22" t="s">
        <v>464</v>
      </c>
      <c r="H620" s="24" t="s">
        <v>197</v>
      </c>
      <c r="I620" s="24" t="s">
        <v>36</v>
      </c>
      <c r="J620" s="25" t="n">
        <v>51.28</v>
      </c>
      <c r="K620" s="26" t="n">
        <v>330000</v>
      </c>
      <c r="L620" s="27" t="n">
        <f aca="false">K620/J620</f>
        <v>6435.25741029641</v>
      </c>
      <c r="M620" s="28" t="s">
        <v>64</v>
      </c>
      <c r="N620" s="29"/>
      <c r="O620" s="30" t="n">
        <f aca="false">K620+N620</f>
        <v>330000</v>
      </c>
      <c r="P620" s="30" t="n">
        <f aca="false">ROUND(O620/J620, 2)</f>
        <v>6435.26</v>
      </c>
      <c r="Q620" s="25" t="s">
        <v>620</v>
      </c>
      <c r="R620" s="22" t="s">
        <v>36</v>
      </c>
      <c r="S620" s="25" t="s">
        <v>29</v>
      </c>
      <c r="T620" s="24" t="s">
        <v>30</v>
      </c>
      <c r="U620" s="31" t="s">
        <v>31</v>
      </c>
      <c r="V620" s="31" t="n">
        <v>43343</v>
      </c>
      <c r="W620" s="18"/>
      <c r="X620" s="18"/>
    </row>
    <row r="621" customFormat="false" ht="13.8" hidden="false" customHeight="false" outlineLevel="0" collapsed="false">
      <c r="A621" s="18"/>
      <c r="B621" s="19" t="n">
        <v>3202</v>
      </c>
      <c r="C621" s="20" t="n">
        <v>43270</v>
      </c>
      <c r="D621" s="21" t="s">
        <v>22</v>
      </c>
      <c r="E621" s="22" t="s">
        <v>178</v>
      </c>
      <c r="F621" s="23" t="s">
        <v>220</v>
      </c>
      <c r="G621" s="22" t="s">
        <v>27</v>
      </c>
      <c r="H621" s="24" t="s">
        <v>294</v>
      </c>
      <c r="I621" s="24" t="s">
        <v>49</v>
      </c>
      <c r="J621" s="25" t="n">
        <v>49.53</v>
      </c>
      <c r="K621" s="26" t="n">
        <v>425000</v>
      </c>
      <c r="L621" s="27" t="n">
        <f aca="false">K621/J621</f>
        <v>8580.6581869574</v>
      </c>
      <c r="M621" s="28" t="s">
        <v>64</v>
      </c>
      <c r="N621" s="29"/>
      <c r="O621" s="30" t="n">
        <f aca="false">K621+N621</f>
        <v>425000</v>
      </c>
      <c r="P621" s="30" t="n">
        <f aca="false">ROUND(O621/J621, 2)</f>
        <v>8580.66</v>
      </c>
      <c r="Q621" s="25" t="s">
        <v>50</v>
      </c>
      <c r="R621" s="22" t="s">
        <v>36</v>
      </c>
      <c r="S621" s="25" t="s">
        <v>29</v>
      </c>
      <c r="T621" s="24" t="s">
        <v>30</v>
      </c>
      <c r="U621" s="31" t="s">
        <v>31</v>
      </c>
      <c r="V621" s="31" t="n">
        <v>43343</v>
      </c>
      <c r="W621" s="18"/>
      <c r="X621" s="18"/>
    </row>
    <row r="622" customFormat="false" ht="13.8" hidden="false" customHeight="false" outlineLevel="0" collapsed="false">
      <c r="A622" s="18"/>
      <c r="B622" s="19" t="n">
        <v>1281</v>
      </c>
      <c r="C622" s="20" t="n">
        <v>43270</v>
      </c>
      <c r="D622" s="21" t="s">
        <v>22</v>
      </c>
      <c r="E622" s="22" t="s">
        <v>276</v>
      </c>
      <c r="F622" s="23" t="s">
        <v>38</v>
      </c>
      <c r="G622" s="22" t="s">
        <v>222</v>
      </c>
      <c r="H622" s="24" t="s">
        <v>253</v>
      </c>
      <c r="I622" s="24" t="s">
        <v>57</v>
      </c>
      <c r="J622" s="25" t="n">
        <v>37.7</v>
      </c>
      <c r="K622" s="26" t="n">
        <v>240000</v>
      </c>
      <c r="L622" s="27" t="n">
        <f aca="false">K622/J622</f>
        <v>6366.04774535809</v>
      </c>
      <c r="M622" s="28"/>
      <c r="N622" s="29"/>
      <c r="O622" s="30" t="n">
        <f aca="false">K622+N622</f>
        <v>240000</v>
      </c>
      <c r="P622" s="30" t="n">
        <f aca="false">ROUND(O622/J622, 2)</f>
        <v>6366.05</v>
      </c>
      <c r="Q622" s="25" t="s">
        <v>50</v>
      </c>
      <c r="R622" s="22" t="s">
        <v>36</v>
      </c>
      <c r="S622" s="25" t="s">
        <v>29</v>
      </c>
      <c r="T622" s="24" t="s">
        <v>30</v>
      </c>
      <c r="U622" s="31" t="s">
        <v>31</v>
      </c>
      <c r="V622" s="31" t="n">
        <v>43343</v>
      </c>
      <c r="W622" s="18"/>
      <c r="X622" s="18"/>
      <c r="AMJ622" s="32"/>
    </row>
    <row r="623" s="32" customFormat="true" ht="13.8" hidden="false" customHeight="false" outlineLevel="0" collapsed="false">
      <c r="A623" s="18"/>
      <c r="B623" s="19" t="n">
        <v>3338</v>
      </c>
      <c r="C623" s="20" t="n">
        <v>43271</v>
      </c>
      <c r="D623" s="21" t="s">
        <v>22</v>
      </c>
      <c r="E623" s="22" t="s">
        <v>23</v>
      </c>
      <c r="F623" s="23" t="s">
        <v>24</v>
      </c>
      <c r="G623" s="22" t="s">
        <v>25</v>
      </c>
      <c r="H623" s="24" t="s">
        <v>200</v>
      </c>
      <c r="I623" s="24" t="s">
        <v>36</v>
      </c>
      <c r="J623" s="25" t="n">
        <v>38</v>
      </c>
      <c r="K623" s="26" t="n">
        <v>365000</v>
      </c>
      <c r="L623" s="27" t="n">
        <f aca="false">K623/J623</f>
        <v>9605.26315789474</v>
      </c>
      <c r="M623" s="28"/>
      <c r="N623" s="29"/>
      <c r="O623" s="30" t="n">
        <f aca="false">K623+N623</f>
        <v>365000</v>
      </c>
      <c r="P623" s="30" t="n">
        <f aca="false">ROUND(O623/J623, 2)</f>
        <v>9605.26</v>
      </c>
      <c r="Q623" s="25" t="s">
        <v>50</v>
      </c>
      <c r="R623" s="22" t="s">
        <v>36</v>
      </c>
      <c r="S623" s="25" t="s">
        <v>29</v>
      </c>
      <c r="T623" s="24" t="s">
        <v>30</v>
      </c>
      <c r="U623" s="31" t="s">
        <v>31</v>
      </c>
      <c r="V623" s="31" t="n">
        <v>43343</v>
      </c>
      <c r="W623" s="18"/>
      <c r="X623" s="18"/>
    </row>
    <row r="624" s="32" customFormat="true" ht="13.8" hidden="false" customHeight="false" outlineLevel="0" collapsed="false">
      <c r="A624" s="18"/>
      <c r="B624" s="19" t="n">
        <v>2026</v>
      </c>
      <c r="C624" s="20" t="n">
        <v>43271</v>
      </c>
      <c r="D624" s="21" t="s">
        <v>22</v>
      </c>
      <c r="E624" s="22" t="s">
        <v>37</v>
      </c>
      <c r="F624" s="23" t="s">
        <v>591</v>
      </c>
      <c r="G624" s="22" t="s">
        <v>68</v>
      </c>
      <c r="H624" s="24" t="s">
        <v>105</v>
      </c>
      <c r="I624" s="24" t="s">
        <v>36</v>
      </c>
      <c r="J624" s="25" t="n">
        <f aca="false">38.04-1.59</f>
        <v>36.45</v>
      </c>
      <c r="K624" s="26" t="n">
        <v>250000</v>
      </c>
      <c r="L624" s="27" t="n">
        <f aca="false">K624/J624</f>
        <v>6858.71056241427</v>
      </c>
      <c r="M624" s="28" t="s">
        <v>909</v>
      </c>
      <c r="N624" s="29"/>
      <c r="O624" s="30" t="n">
        <f aca="false">K624+N624</f>
        <v>250000</v>
      </c>
      <c r="P624" s="30" t="n">
        <f aca="false">ROUND(O624/J624, 2)</f>
        <v>6858.71</v>
      </c>
      <c r="Q624" s="25" t="s">
        <v>41</v>
      </c>
      <c r="R624" s="22" t="s">
        <v>27</v>
      </c>
      <c r="S624" s="25" t="s">
        <v>29</v>
      </c>
      <c r="T624" s="24" t="s">
        <v>30</v>
      </c>
      <c r="U624" s="31" t="s">
        <v>31</v>
      </c>
      <c r="V624" s="31" t="n">
        <v>43343</v>
      </c>
      <c r="W624" s="18"/>
      <c r="X624" s="18"/>
    </row>
    <row r="625" customFormat="false" ht="13.8" hidden="false" customHeight="false" outlineLevel="0" collapsed="false">
      <c r="A625" s="18"/>
      <c r="B625" s="19" t="n">
        <v>2029</v>
      </c>
      <c r="C625" s="20" t="n">
        <v>43271</v>
      </c>
      <c r="D625" s="21" t="s">
        <v>22</v>
      </c>
      <c r="E625" s="22" t="s">
        <v>369</v>
      </c>
      <c r="F625" s="23" t="s">
        <v>661</v>
      </c>
      <c r="G625" s="22" t="s">
        <v>300</v>
      </c>
      <c r="H625" s="24" t="s">
        <v>180</v>
      </c>
      <c r="I625" s="24" t="s">
        <v>26</v>
      </c>
      <c r="J625" s="25" t="n">
        <v>35.51</v>
      </c>
      <c r="K625" s="26" t="n">
        <v>420000</v>
      </c>
      <c r="L625" s="27" t="n">
        <f aca="false">K625/J625</f>
        <v>11827.6541819206</v>
      </c>
      <c r="M625" s="28"/>
      <c r="N625" s="29"/>
      <c r="O625" s="30" t="n">
        <f aca="false">K625+N625</f>
        <v>420000</v>
      </c>
      <c r="P625" s="30" t="n">
        <f aca="false">ROUND(O625/J625, 2)</f>
        <v>11827.65</v>
      </c>
      <c r="Q625" s="25" t="s">
        <v>41</v>
      </c>
      <c r="R625" s="22" t="s">
        <v>27</v>
      </c>
      <c r="S625" s="25" t="s">
        <v>29</v>
      </c>
      <c r="T625" s="24" t="s">
        <v>30</v>
      </c>
      <c r="U625" s="31" t="s">
        <v>31</v>
      </c>
      <c r="V625" s="31" t="n">
        <v>43343</v>
      </c>
      <c r="W625" s="18"/>
      <c r="X625" s="18"/>
    </row>
    <row r="626" customFormat="false" ht="13.8" hidden="false" customHeight="false" outlineLevel="0" collapsed="false">
      <c r="A626" s="18"/>
      <c r="B626" s="19" t="n">
        <v>2383</v>
      </c>
      <c r="C626" s="20" t="n">
        <v>43271</v>
      </c>
      <c r="D626" s="21" t="s">
        <v>22</v>
      </c>
      <c r="E626" s="22" t="s">
        <v>72</v>
      </c>
      <c r="F626" s="23" t="s">
        <v>261</v>
      </c>
      <c r="G626" s="22" t="s">
        <v>95</v>
      </c>
      <c r="H626" s="24" t="s">
        <v>68</v>
      </c>
      <c r="I626" s="24" t="s">
        <v>36</v>
      </c>
      <c r="J626" s="25" t="n">
        <v>33</v>
      </c>
      <c r="K626" s="26" t="n">
        <v>320000</v>
      </c>
      <c r="L626" s="27" t="n">
        <f aca="false">K626/J626</f>
        <v>9696.9696969697</v>
      </c>
      <c r="M626" s="28" t="s">
        <v>64</v>
      </c>
      <c r="N626" s="29"/>
      <c r="O626" s="30" t="n">
        <f aca="false">K626+N626</f>
        <v>320000</v>
      </c>
      <c r="P626" s="30" t="n">
        <f aca="false">ROUND(O626/J626, 2)</f>
        <v>9696.97</v>
      </c>
      <c r="Q626" s="25" t="s">
        <v>41</v>
      </c>
      <c r="R626" s="22" t="s">
        <v>27</v>
      </c>
      <c r="S626" s="25" t="s">
        <v>29</v>
      </c>
      <c r="T626" s="24" t="s">
        <v>30</v>
      </c>
      <c r="U626" s="31" t="s">
        <v>31</v>
      </c>
      <c r="V626" s="31" t="n">
        <v>43343</v>
      </c>
      <c r="W626" s="18"/>
      <c r="X626" s="18"/>
      <c r="AMJ626" s="32"/>
    </row>
    <row r="627" s="32" customFormat="true" ht="13.8" hidden="false" customHeight="false" outlineLevel="0" collapsed="false">
      <c r="A627" s="18"/>
      <c r="B627" s="19" t="n">
        <v>3396</v>
      </c>
      <c r="C627" s="20" t="n">
        <v>43271</v>
      </c>
      <c r="D627" s="21" t="s">
        <v>22</v>
      </c>
      <c r="E627" s="22" t="s">
        <v>350</v>
      </c>
      <c r="F627" s="23" t="s">
        <v>351</v>
      </c>
      <c r="G627" s="22" t="s">
        <v>910</v>
      </c>
      <c r="H627" s="24" t="s">
        <v>126</v>
      </c>
      <c r="I627" s="24" t="s">
        <v>26</v>
      </c>
      <c r="J627" s="25" t="n">
        <v>74.34</v>
      </c>
      <c r="K627" s="26" t="n">
        <v>720000</v>
      </c>
      <c r="L627" s="27" t="n">
        <f aca="false">K627/J627</f>
        <v>9685.23002421308</v>
      </c>
      <c r="M627" s="28" t="s">
        <v>911</v>
      </c>
      <c r="N627" s="29" t="n">
        <v>30000</v>
      </c>
      <c r="O627" s="30" t="n">
        <f aca="false">K627+N627</f>
        <v>750000</v>
      </c>
      <c r="P627" s="30" t="n">
        <f aca="false">ROUND(O627/J627, 2)</f>
        <v>10088.78</v>
      </c>
      <c r="Q627" s="25" t="s">
        <v>85</v>
      </c>
      <c r="R627" s="22" t="s">
        <v>26</v>
      </c>
      <c r="S627" s="25" t="s">
        <v>29</v>
      </c>
      <c r="T627" s="24" t="s">
        <v>30</v>
      </c>
      <c r="U627" s="31" t="s">
        <v>31</v>
      </c>
      <c r="V627" s="31" t="n">
        <v>43343</v>
      </c>
      <c r="W627" s="18"/>
      <c r="X627" s="18"/>
    </row>
    <row r="628" s="32" customFormat="true" ht="14.15" hidden="false" customHeight="false" outlineLevel="0" collapsed="false">
      <c r="A628" s="18"/>
      <c r="B628" s="19" t="n">
        <v>9524</v>
      </c>
      <c r="C628" s="20" t="n">
        <v>43272</v>
      </c>
      <c r="D628" s="21" t="s">
        <v>22</v>
      </c>
      <c r="E628" s="22" t="s">
        <v>198</v>
      </c>
      <c r="F628" s="23" t="s">
        <v>199</v>
      </c>
      <c r="G628" s="22" t="s">
        <v>912</v>
      </c>
      <c r="H628" s="24" t="s">
        <v>116</v>
      </c>
      <c r="I628" s="24" t="s">
        <v>25</v>
      </c>
      <c r="J628" s="25" t="n">
        <f aca="false">74.96-4.06</f>
        <v>70.9</v>
      </c>
      <c r="K628" s="26" t="n">
        <v>850000</v>
      </c>
      <c r="L628" s="27" t="n">
        <f aca="false">K628/J628</f>
        <v>11988.7165021157</v>
      </c>
      <c r="M628" s="28" t="s">
        <v>913</v>
      </c>
      <c r="N628" s="29"/>
      <c r="O628" s="30" t="n">
        <f aca="false">K628+N628</f>
        <v>850000</v>
      </c>
      <c r="P628" s="30" t="n">
        <f aca="false">ROUND(O628/J628, 2)</f>
        <v>11988.72</v>
      </c>
      <c r="Q628" s="46" t="s">
        <v>914</v>
      </c>
      <c r="R628" s="22" t="s">
        <v>26</v>
      </c>
      <c r="S628" s="25" t="s">
        <v>29</v>
      </c>
      <c r="T628" s="24" t="s">
        <v>30</v>
      </c>
      <c r="U628" s="31" t="s">
        <v>31</v>
      </c>
      <c r="V628" s="31" t="n">
        <v>43343</v>
      </c>
      <c r="W628" s="34" t="s">
        <v>915</v>
      </c>
      <c r="X628" s="18"/>
    </row>
    <row r="629" s="32" customFormat="true" ht="13.8" hidden="false" customHeight="false" outlineLevel="0" collapsed="false">
      <c r="A629" s="18"/>
      <c r="B629" s="19" t="n">
        <v>2054</v>
      </c>
      <c r="C629" s="20" t="n">
        <v>43272</v>
      </c>
      <c r="D629" s="21" t="s">
        <v>22</v>
      </c>
      <c r="E629" s="22" t="s">
        <v>23</v>
      </c>
      <c r="F629" s="23" t="s">
        <v>24</v>
      </c>
      <c r="G629" s="22" t="s">
        <v>25</v>
      </c>
      <c r="H629" s="24" t="s">
        <v>26</v>
      </c>
      <c r="I629" s="24" t="s">
        <v>27</v>
      </c>
      <c r="J629" s="25" t="n">
        <v>28.1</v>
      </c>
      <c r="K629" s="26" t="n">
        <v>310000</v>
      </c>
      <c r="L629" s="27" t="n">
        <f aca="false">K629/J629</f>
        <v>11032.0284697509</v>
      </c>
      <c r="M629" s="28"/>
      <c r="N629" s="29"/>
      <c r="O629" s="30" t="n">
        <f aca="false">K629+N629</f>
        <v>310000</v>
      </c>
      <c r="P629" s="30" t="n">
        <f aca="false">ROUND(O629/J629, 2)</f>
        <v>11032.03</v>
      </c>
      <c r="Q629" s="25" t="s">
        <v>41</v>
      </c>
      <c r="R629" s="22" t="s">
        <v>27</v>
      </c>
      <c r="S629" s="25" t="s">
        <v>29</v>
      </c>
      <c r="T629" s="24" t="s">
        <v>30</v>
      </c>
      <c r="U629" s="31" t="s">
        <v>31</v>
      </c>
      <c r="V629" s="31" t="n">
        <v>43343</v>
      </c>
      <c r="W629" s="18"/>
      <c r="X629" s="18"/>
    </row>
    <row r="630" s="32" customFormat="true" ht="13.8" hidden="false" customHeight="false" outlineLevel="0" collapsed="false">
      <c r="A630" s="18"/>
      <c r="B630" s="19" t="n">
        <v>2987</v>
      </c>
      <c r="C630" s="20" t="n">
        <v>43272</v>
      </c>
      <c r="D630" s="21" t="s">
        <v>22</v>
      </c>
      <c r="E630" s="22" t="s">
        <v>667</v>
      </c>
      <c r="F630" s="23" t="s">
        <v>729</v>
      </c>
      <c r="G630" s="22" t="s">
        <v>730</v>
      </c>
      <c r="H630" s="24" t="s">
        <v>294</v>
      </c>
      <c r="I630" s="24" t="s">
        <v>36</v>
      </c>
      <c r="J630" s="25" t="n">
        <v>48.75</v>
      </c>
      <c r="K630" s="26" t="n">
        <v>500000</v>
      </c>
      <c r="L630" s="27" t="n">
        <f aca="false">K630/J630</f>
        <v>10256.4102564103</v>
      </c>
      <c r="M630" s="28"/>
      <c r="N630" s="29"/>
      <c r="O630" s="30" t="n">
        <f aca="false">K630+N630</f>
        <v>500000</v>
      </c>
      <c r="P630" s="30" t="n">
        <f aca="false">ROUND(O630/J630, 2)</f>
        <v>10256.41</v>
      </c>
      <c r="Q630" s="25" t="s">
        <v>50</v>
      </c>
      <c r="R630" s="22" t="s">
        <v>36</v>
      </c>
      <c r="S630" s="25" t="s">
        <v>29</v>
      </c>
      <c r="T630" s="24" t="s">
        <v>30</v>
      </c>
      <c r="U630" s="31" t="s">
        <v>31</v>
      </c>
      <c r="V630" s="31" t="n">
        <v>43343</v>
      </c>
      <c r="W630" s="18"/>
      <c r="X630" s="18"/>
    </row>
    <row r="631" s="32" customFormat="true" ht="13.8" hidden="false" customHeight="false" outlineLevel="0" collapsed="false">
      <c r="A631" s="18"/>
      <c r="B631" s="19" t="n">
        <v>6434</v>
      </c>
      <c r="C631" s="20" t="n">
        <v>43273</v>
      </c>
      <c r="D631" s="21" t="s">
        <v>22</v>
      </c>
      <c r="E631" s="22" t="s">
        <v>171</v>
      </c>
      <c r="F631" s="23" t="s">
        <v>628</v>
      </c>
      <c r="G631" s="22" t="s">
        <v>111</v>
      </c>
      <c r="H631" s="24" t="s">
        <v>453</v>
      </c>
      <c r="I631" s="24" t="s">
        <v>57</v>
      </c>
      <c r="J631" s="25" t="n">
        <v>55.3</v>
      </c>
      <c r="K631" s="26" t="n">
        <v>395000</v>
      </c>
      <c r="L631" s="27" t="n">
        <f aca="false">K631/J631</f>
        <v>7142.85714285714</v>
      </c>
      <c r="M631" s="28" t="s">
        <v>64</v>
      </c>
      <c r="N631" s="28"/>
      <c r="O631" s="30" t="n">
        <f aca="false">K631+N631</f>
        <v>395000</v>
      </c>
      <c r="P631" s="30" t="n">
        <f aca="false">ROUND(O631/J631, 2)</f>
        <v>7142.86</v>
      </c>
      <c r="Q631" s="25" t="s">
        <v>85</v>
      </c>
      <c r="R631" s="22" t="s">
        <v>26</v>
      </c>
      <c r="S631" s="25" t="s">
        <v>29</v>
      </c>
      <c r="T631" s="24" t="s">
        <v>30</v>
      </c>
      <c r="U631" s="31" t="s">
        <v>31</v>
      </c>
      <c r="V631" s="31" t="n">
        <v>43343</v>
      </c>
      <c r="W631" s="18"/>
      <c r="X631" s="18"/>
    </row>
    <row r="632" s="32" customFormat="true" ht="13.8" hidden="false" customHeight="false" outlineLevel="0" collapsed="false">
      <c r="A632" s="18"/>
      <c r="B632" s="19" t="n">
        <v>3603</v>
      </c>
      <c r="C632" s="20" t="n">
        <v>43273</v>
      </c>
      <c r="D632" s="21" t="s">
        <v>22</v>
      </c>
      <c r="E632" s="22" t="s">
        <v>212</v>
      </c>
      <c r="F632" s="23" t="s">
        <v>195</v>
      </c>
      <c r="G632" s="22" t="s">
        <v>213</v>
      </c>
      <c r="H632" s="24" t="s">
        <v>916</v>
      </c>
      <c r="I632" s="24" t="s">
        <v>82</v>
      </c>
      <c r="J632" s="25" t="n">
        <v>53.31</v>
      </c>
      <c r="K632" s="26" t="n">
        <v>450000</v>
      </c>
      <c r="L632" s="27" t="n">
        <f aca="false">K632/J632</f>
        <v>8441.1930219471</v>
      </c>
      <c r="M632" s="28"/>
      <c r="N632" s="29"/>
      <c r="O632" s="30" t="n">
        <f aca="false">K632+N632</f>
        <v>450000</v>
      </c>
      <c r="P632" s="30" t="n">
        <f aca="false">ROUND(O632/J632, 2)</f>
        <v>8441.19</v>
      </c>
      <c r="Q632" s="25" t="s">
        <v>85</v>
      </c>
      <c r="R632" s="22" t="s">
        <v>26</v>
      </c>
      <c r="S632" s="25" t="s">
        <v>29</v>
      </c>
      <c r="T632" s="24" t="s">
        <v>30</v>
      </c>
      <c r="U632" s="31" t="s">
        <v>31</v>
      </c>
      <c r="V632" s="31" t="n">
        <v>43343</v>
      </c>
      <c r="W632" s="18"/>
      <c r="X632" s="18"/>
    </row>
    <row r="633" s="32" customFormat="true" ht="13.8" hidden="false" customHeight="false" outlineLevel="0" collapsed="false">
      <c r="A633" s="18" t="n">
        <v>100024</v>
      </c>
      <c r="B633" s="19" t="n">
        <v>1910</v>
      </c>
      <c r="C633" s="20" t="n">
        <v>43276</v>
      </c>
      <c r="D633" s="21" t="s">
        <v>22</v>
      </c>
      <c r="E633" s="22" t="s">
        <v>156</v>
      </c>
      <c r="F633" s="23" t="s">
        <v>917</v>
      </c>
      <c r="G633" s="22" t="s">
        <v>860</v>
      </c>
      <c r="H633" s="24" t="s">
        <v>473</v>
      </c>
      <c r="I633" s="24" t="s">
        <v>49</v>
      </c>
      <c r="J633" s="25" t="n">
        <v>61.98</v>
      </c>
      <c r="K633" s="26" t="n">
        <v>585000</v>
      </c>
      <c r="L633" s="27" t="n">
        <f aca="false">K633/J633</f>
        <v>9438.52855759923</v>
      </c>
      <c r="M633" s="28" t="s">
        <v>234</v>
      </c>
      <c r="N633" s="29"/>
      <c r="O633" s="30" t="n">
        <f aca="false">K633+N633</f>
        <v>585000</v>
      </c>
      <c r="P633" s="30" t="n">
        <f aca="false">ROUND(O633/J633, 2)</f>
        <v>9438.53</v>
      </c>
      <c r="Q633" s="25" t="s">
        <v>85</v>
      </c>
      <c r="R633" s="22" t="s">
        <v>26</v>
      </c>
      <c r="S633" s="25" t="s">
        <v>29</v>
      </c>
      <c r="T633" s="24" t="s">
        <v>30</v>
      </c>
      <c r="U633" s="31" t="s">
        <v>31</v>
      </c>
      <c r="V633" s="31" t="n">
        <v>43343</v>
      </c>
      <c r="W633" s="18"/>
      <c r="X633" s="18"/>
    </row>
    <row r="634" s="32" customFormat="true" ht="13.8" hidden="false" customHeight="false" outlineLevel="0" collapsed="false">
      <c r="A634" s="18"/>
      <c r="B634" s="19" t="n">
        <v>3334</v>
      </c>
      <c r="C634" s="20" t="n">
        <v>43276</v>
      </c>
      <c r="D634" s="21" t="s">
        <v>22</v>
      </c>
      <c r="E634" s="22" t="s">
        <v>175</v>
      </c>
      <c r="F634" s="23" t="s">
        <v>176</v>
      </c>
      <c r="G634" s="22" t="s">
        <v>196</v>
      </c>
      <c r="H634" s="24" t="s">
        <v>26</v>
      </c>
      <c r="I634" s="24" t="s">
        <v>27</v>
      </c>
      <c r="J634" s="25" t="n">
        <v>30.22</v>
      </c>
      <c r="K634" s="26" t="n">
        <v>338000</v>
      </c>
      <c r="L634" s="27" t="n">
        <f aca="false">K634/J634</f>
        <v>11184.6459298478</v>
      </c>
      <c r="M634" s="28" t="s">
        <v>64</v>
      </c>
      <c r="N634" s="29"/>
      <c r="O634" s="30" t="n">
        <f aca="false">K634+N634</f>
        <v>338000</v>
      </c>
      <c r="P634" s="30" t="n">
        <f aca="false">ROUND(O634/J634, 2)</f>
        <v>11184.65</v>
      </c>
      <c r="Q634" s="25" t="s">
        <v>41</v>
      </c>
      <c r="R634" s="22" t="s">
        <v>27</v>
      </c>
      <c r="S634" s="25" t="s">
        <v>29</v>
      </c>
      <c r="T634" s="24" t="s">
        <v>30</v>
      </c>
      <c r="U634" s="31" t="s">
        <v>31</v>
      </c>
      <c r="V634" s="31" t="n">
        <v>43343</v>
      </c>
      <c r="W634" s="18"/>
      <c r="X634" s="18"/>
    </row>
    <row r="635" customFormat="false" ht="13.8" hidden="false" customHeight="false" outlineLevel="0" collapsed="false">
      <c r="A635" s="18"/>
      <c r="B635" s="19" t="n">
        <v>2791</v>
      </c>
      <c r="C635" s="20" t="n">
        <v>43276</v>
      </c>
      <c r="D635" s="21" t="s">
        <v>22</v>
      </c>
      <c r="E635" s="22" t="s">
        <v>389</v>
      </c>
      <c r="F635" s="23" t="s">
        <v>46</v>
      </c>
      <c r="G635" s="22" t="s">
        <v>458</v>
      </c>
      <c r="H635" s="24" t="s">
        <v>249</v>
      </c>
      <c r="I635" s="24" t="s">
        <v>36</v>
      </c>
      <c r="J635" s="25" t="n">
        <v>53.44</v>
      </c>
      <c r="K635" s="26" t="n">
        <v>600000</v>
      </c>
      <c r="L635" s="27" t="n">
        <f aca="false">K635/J635</f>
        <v>11227.5449101796</v>
      </c>
      <c r="M635" s="28"/>
      <c r="N635" s="29"/>
      <c r="O635" s="30" t="n">
        <f aca="false">K635+N635</f>
        <v>600000</v>
      </c>
      <c r="P635" s="30" t="n">
        <f aca="false">ROUND(O635/J635, 2)</f>
        <v>11227.54</v>
      </c>
      <c r="Q635" s="25" t="s">
        <v>50</v>
      </c>
      <c r="R635" s="22" t="s">
        <v>36</v>
      </c>
      <c r="S635" s="25" t="s">
        <v>29</v>
      </c>
      <c r="T635" s="24" t="s">
        <v>30</v>
      </c>
      <c r="U635" s="31" t="s">
        <v>31</v>
      </c>
      <c r="V635" s="31" t="n">
        <v>43343</v>
      </c>
      <c r="W635" s="18"/>
      <c r="X635" s="18"/>
      <c r="AMJ635" s="32"/>
    </row>
    <row r="636" s="32" customFormat="true" ht="13.8" hidden="false" customHeight="false" outlineLevel="0" collapsed="false">
      <c r="A636" s="18"/>
      <c r="B636" s="19" t="s">
        <v>918</v>
      </c>
      <c r="C636" s="20" t="n">
        <v>43276</v>
      </c>
      <c r="D636" s="21" t="s">
        <v>22</v>
      </c>
      <c r="E636" s="22" t="s">
        <v>187</v>
      </c>
      <c r="F636" s="23" t="s">
        <v>271</v>
      </c>
      <c r="G636" s="22" t="s">
        <v>246</v>
      </c>
      <c r="H636" s="24" t="s">
        <v>533</v>
      </c>
      <c r="I636" s="24" t="s">
        <v>26</v>
      </c>
      <c r="J636" s="25" t="n">
        <v>48.8</v>
      </c>
      <c r="K636" s="26" t="n">
        <v>420000</v>
      </c>
      <c r="L636" s="27" t="n">
        <f aca="false">K636/J636</f>
        <v>8606.55737704918</v>
      </c>
      <c r="M636" s="28" t="s">
        <v>64</v>
      </c>
      <c r="N636" s="29"/>
      <c r="O636" s="30" t="n">
        <f aca="false">K636+N636</f>
        <v>420000</v>
      </c>
      <c r="P636" s="30" t="n">
        <f aca="false">ROUND(O636/J636, 2)</f>
        <v>8606.56</v>
      </c>
      <c r="Q636" s="25" t="s">
        <v>50</v>
      </c>
      <c r="R636" s="22" t="s">
        <v>36</v>
      </c>
      <c r="S636" s="25" t="s">
        <v>29</v>
      </c>
      <c r="T636" s="24" t="s">
        <v>30</v>
      </c>
      <c r="U636" s="31" t="s">
        <v>31</v>
      </c>
      <c r="V636" s="31" t="n">
        <v>43343</v>
      </c>
      <c r="W636" s="34" t="s">
        <v>919</v>
      </c>
      <c r="X636" s="18"/>
    </row>
    <row r="637" customFormat="false" ht="13.8" hidden="false" customHeight="false" outlineLevel="0" collapsed="false">
      <c r="A637" s="18"/>
      <c r="B637" s="19" t="n">
        <v>616</v>
      </c>
      <c r="C637" s="20" t="n">
        <v>43276</v>
      </c>
      <c r="D637" s="21" t="s">
        <v>22</v>
      </c>
      <c r="E637" s="22" t="s">
        <v>375</v>
      </c>
      <c r="F637" s="23" t="s">
        <v>544</v>
      </c>
      <c r="G637" s="22" t="s">
        <v>197</v>
      </c>
      <c r="H637" s="24" t="s">
        <v>26</v>
      </c>
      <c r="I637" s="24" t="s">
        <v>36</v>
      </c>
      <c r="J637" s="25" t="n">
        <v>61.08</v>
      </c>
      <c r="K637" s="26" t="n">
        <v>451824</v>
      </c>
      <c r="L637" s="27" t="n">
        <f aca="false">K637/J637</f>
        <v>7397.24950884087</v>
      </c>
      <c r="M637" s="28"/>
      <c r="N637" s="29"/>
      <c r="O637" s="30" t="n">
        <f aca="false">K637+N637</f>
        <v>451824</v>
      </c>
      <c r="P637" s="30" t="n">
        <f aca="false">ROUND(O637/J637, 2)</f>
        <v>7397.25</v>
      </c>
      <c r="Q637" s="25" t="s">
        <v>50</v>
      </c>
      <c r="R637" s="22" t="s">
        <v>36</v>
      </c>
      <c r="S637" s="25" t="s">
        <v>29</v>
      </c>
      <c r="T637" s="24" t="s">
        <v>30</v>
      </c>
      <c r="U637" s="31" t="s">
        <v>31</v>
      </c>
      <c r="V637" s="31" t="n">
        <v>43343</v>
      </c>
      <c r="W637" s="18"/>
      <c r="X637" s="18"/>
    </row>
    <row r="638" customFormat="false" ht="13.8" hidden="false" customHeight="false" outlineLevel="0" collapsed="false">
      <c r="A638" s="18"/>
      <c r="B638" s="19" t="n">
        <v>2648</v>
      </c>
      <c r="C638" s="20" t="n">
        <v>43277</v>
      </c>
      <c r="D638" s="21" t="s">
        <v>22</v>
      </c>
      <c r="E638" s="22" t="s">
        <v>343</v>
      </c>
      <c r="F638" s="23" t="s">
        <v>344</v>
      </c>
      <c r="G638" s="22" t="s">
        <v>193</v>
      </c>
      <c r="H638" s="24" t="s">
        <v>920</v>
      </c>
      <c r="I638" s="24" t="s">
        <v>25</v>
      </c>
      <c r="J638" s="25" t="n">
        <v>59.11</v>
      </c>
      <c r="K638" s="26" t="n">
        <v>520000</v>
      </c>
      <c r="L638" s="27" t="n">
        <f aca="false">K638/J638</f>
        <v>8797.15784131281</v>
      </c>
      <c r="M638" s="28" t="s">
        <v>921</v>
      </c>
      <c r="N638" s="29" t="n">
        <f aca="false">20000+10000</f>
        <v>30000</v>
      </c>
      <c r="O638" s="30" t="n">
        <f aca="false">K638+N638</f>
        <v>550000</v>
      </c>
      <c r="P638" s="30" t="n">
        <f aca="false">ROUND(O638/J638, 2)</f>
        <v>9304.69</v>
      </c>
      <c r="Q638" s="25" t="s">
        <v>232</v>
      </c>
      <c r="R638" s="22" t="s">
        <v>26</v>
      </c>
      <c r="S638" s="25" t="s">
        <v>29</v>
      </c>
      <c r="T638" s="24" t="s">
        <v>30</v>
      </c>
      <c r="U638" s="31" t="s">
        <v>31</v>
      </c>
      <c r="V638" s="31" t="n">
        <v>43343</v>
      </c>
      <c r="W638" s="34"/>
      <c r="X638" s="34"/>
    </row>
    <row r="639" customFormat="false" ht="13.8" hidden="false" customHeight="false" outlineLevel="0" collapsed="false">
      <c r="A639" s="18"/>
      <c r="B639" s="19" t="n">
        <v>709</v>
      </c>
      <c r="C639" s="20" t="n">
        <v>43278</v>
      </c>
      <c r="D639" s="21" t="s">
        <v>22</v>
      </c>
      <c r="E639" s="22" t="s">
        <v>350</v>
      </c>
      <c r="F639" s="23" t="s">
        <v>323</v>
      </c>
      <c r="G639" s="22" t="s">
        <v>731</v>
      </c>
      <c r="H639" s="24" t="s">
        <v>181</v>
      </c>
      <c r="I639" s="24" t="s">
        <v>294</v>
      </c>
      <c r="J639" s="25" t="n">
        <v>83.75</v>
      </c>
      <c r="K639" s="26" t="n">
        <v>790000</v>
      </c>
      <c r="L639" s="27" t="n">
        <f aca="false">K639/J639</f>
        <v>9432.83582089552</v>
      </c>
      <c r="M639" s="28" t="s">
        <v>205</v>
      </c>
      <c r="N639" s="29" t="n">
        <v>30000</v>
      </c>
      <c r="O639" s="30" t="n">
        <f aca="false">K639+N639</f>
        <v>820000</v>
      </c>
      <c r="P639" s="30" t="n">
        <f aca="false">ROUND(O639/J639, 2)</f>
        <v>9791.04</v>
      </c>
      <c r="Q639" s="25" t="s">
        <v>85</v>
      </c>
      <c r="R639" s="22" t="s">
        <v>26</v>
      </c>
      <c r="S639" s="25" t="s">
        <v>29</v>
      </c>
      <c r="T639" s="24" t="s">
        <v>30</v>
      </c>
      <c r="U639" s="31" t="s">
        <v>31</v>
      </c>
      <c r="V639" s="31" t="n">
        <v>43343</v>
      </c>
      <c r="W639" s="18"/>
      <c r="X639" s="18"/>
      <c r="AMJ639" s="32"/>
    </row>
    <row r="640" s="32" customFormat="true" ht="13.8" hidden="false" customHeight="false" outlineLevel="0" collapsed="false">
      <c r="A640" s="18"/>
      <c r="B640" s="19" t="n">
        <v>2842</v>
      </c>
      <c r="C640" s="20" t="n">
        <v>43279</v>
      </c>
      <c r="D640" s="21" t="s">
        <v>22</v>
      </c>
      <c r="E640" s="22" t="s">
        <v>235</v>
      </c>
      <c r="F640" s="23" t="s">
        <v>236</v>
      </c>
      <c r="G640" s="22" t="s">
        <v>82</v>
      </c>
      <c r="H640" s="24" t="s">
        <v>57</v>
      </c>
      <c r="I640" s="24" t="s">
        <v>26</v>
      </c>
      <c r="J640" s="25" t="n">
        <v>19.8</v>
      </c>
      <c r="K640" s="26" t="n">
        <v>165000</v>
      </c>
      <c r="L640" s="27" t="n">
        <f aca="false">K640/J640</f>
        <v>8333.33333333333</v>
      </c>
      <c r="M640" s="28" t="s">
        <v>64</v>
      </c>
      <c r="N640" s="29"/>
      <c r="O640" s="30" t="n">
        <f aca="false">K640+N640</f>
        <v>165000</v>
      </c>
      <c r="P640" s="30" t="n">
        <f aca="false">ROUND(O640/J640, 2)</f>
        <v>8333.33</v>
      </c>
      <c r="Q640" s="25" t="s">
        <v>479</v>
      </c>
      <c r="R640" s="22" t="s">
        <v>27</v>
      </c>
      <c r="S640" s="25" t="s">
        <v>29</v>
      </c>
      <c r="T640" s="24" t="s">
        <v>30</v>
      </c>
      <c r="U640" s="31" t="s">
        <v>31</v>
      </c>
      <c r="V640" s="31" t="n">
        <v>43343</v>
      </c>
      <c r="W640" s="18"/>
      <c r="X640" s="18"/>
    </row>
    <row r="641" s="32" customFormat="true" ht="13.8" hidden="false" customHeight="false" outlineLevel="0" collapsed="false">
      <c r="A641" s="18" t="n">
        <v>95648</v>
      </c>
      <c r="B641" s="19" t="n">
        <v>1245</v>
      </c>
      <c r="C641" s="20" t="n">
        <v>43279</v>
      </c>
      <c r="D641" s="21" t="s">
        <v>22</v>
      </c>
      <c r="E641" s="22" t="s">
        <v>175</v>
      </c>
      <c r="F641" s="23" t="s">
        <v>485</v>
      </c>
      <c r="G641" s="22" t="s">
        <v>411</v>
      </c>
      <c r="H641" s="24" t="s">
        <v>200</v>
      </c>
      <c r="I641" s="24" t="s">
        <v>49</v>
      </c>
      <c r="J641" s="25" t="n">
        <v>63.2</v>
      </c>
      <c r="K641" s="26" t="n">
        <v>660000</v>
      </c>
      <c r="L641" s="27" t="n">
        <f aca="false">K641/J641</f>
        <v>10443.0379746835</v>
      </c>
      <c r="M641" s="28"/>
      <c r="N641" s="29"/>
      <c r="O641" s="30" t="n">
        <f aca="false">K641+N641</f>
        <v>660000</v>
      </c>
      <c r="P641" s="30" t="n">
        <f aca="false">ROUND(O641/J641, 2)</f>
        <v>10443.04</v>
      </c>
      <c r="Q641" s="25" t="s">
        <v>50</v>
      </c>
      <c r="R641" s="22" t="s">
        <v>36</v>
      </c>
      <c r="S641" s="25" t="s">
        <v>29</v>
      </c>
      <c r="T641" s="24" t="s">
        <v>30</v>
      </c>
      <c r="U641" s="31" t="s">
        <v>31</v>
      </c>
      <c r="V641" s="31" t="n">
        <v>43343</v>
      </c>
      <c r="W641" s="18"/>
      <c r="X641" s="18"/>
    </row>
    <row r="642" customFormat="false" ht="13.8" hidden="false" customHeight="false" outlineLevel="0" collapsed="false">
      <c r="A642" s="18"/>
      <c r="B642" s="19" t="n">
        <v>1017</v>
      </c>
      <c r="C642" s="20" t="n">
        <v>43279</v>
      </c>
      <c r="D642" s="21" t="s">
        <v>22</v>
      </c>
      <c r="E642" s="22" t="s">
        <v>122</v>
      </c>
      <c r="F642" s="23" t="s">
        <v>805</v>
      </c>
      <c r="G642" s="22" t="s">
        <v>778</v>
      </c>
      <c r="H642" s="24" t="s">
        <v>181</v>
      </c>
      <c r="I642" s="24" t="s">
        <v>25</v>
      </c>
      <c r="J642" s="25" t="n">
        <v>44</v>
      </c>
      <c r="K642" s="26" t="n">
        <v>395000</v>
      </c>
      <c r="L642" s="27" t="n">
        <f aca="false">K642/J642</f>
        <v>8977.27272727273</v>
      </c>
      <c r="M642" s="28"/>
      <c r="N642" s="29"/>
      <c r="O642" s="30" t="n">
        <f aca="false">K642+N642</f>
        <v>395000</v>
      </c>
      <c r="P642" s="30" t="n">
        <f aca="false">ROUND(O642/J642, 2)</f>
        <v>8977.27</v>
      </c>
      <c r="Q642" s="25" t="s">
        <v>50</v>
      </c>
      <c r="R642" s="22" t="s">
        <v>36</v>
      </c>
      <c r="S642" s="25" t="s">
        <v>29</v>
      </c>
      <c r="T642" s="24" t="s">
        <v>30</v>
      </c>
      <c r="U642" s="31" t="s">
        <v>31</v>
      </c>
      <c r="V642" s="31" t="n">
        <v>43343</v>
      </c>
      <c r="W642" s="34"/>
      <c r="X642" s="34"/>
    </row>
    <row r="643" customFormat="false" ht="13.8" hidden="false" customHeight="false" outlineLevel="0" collapsed="false">
      <c r="A643" s="18"/>
      <c r="B643" s="19" t="n">
        <v>3628</v>
      </c>
      <c r="C643" s="20" t="n">
        <v>43280</v>
      </c>
      <c r="D643" s="21" t="s">
        <v>22</v>
      </c>
      <c r="E643" s="22" t="s">
        <v>343</v>
      </c>
      <c r="F643" s="23" t="s">
        <v>392</v>
      </c>
      <c r="G643" s="22" t="s">
        <v>657</v>
      </c>
      <c r="H643" s="24" t="s">
        <v>95</v>
      </c>
      <c r="I643" s="24" t="s">
        <v>49</v>
      </c>
      <c r="J643" s="25" t="n">
        <f aca="false">130.96</f>
        <v>130.96</v>
      </c>
      <c r="K643" s="26" t="n">
        <f aca="false">2*692500</f>
        <v>1385000</v>
      </c>
      <c r="L643" s="27" t="n">
        <f aca="false">K643/J643</f>
        <v>10575.7483200977</v>
      </c>
      <c r="M643" s="28" t="s">
        <v>922</v>
      </c>
      <c r="N643" s="29" t="n">
        <v>80000</v>
      </c>
      <c r="O643" s="30" t="n">
        <f aca="false">K643+N643</f>
        <v>1465000</v>
      </c>
      <c r="P643" s="30" t="n">
        <f aca="false">ROUND(O643/J643, 2)</f>
        <v>11186.62</v>
      </c>
      <c r="Q643" s="25" t="s">
        <v>923</v>
      </c>
      <c r="R643" s="22" t="s">
        <v>57</v>
      </c>
      <c r="S643" s="25" t="s">
        <v>29</v>
      </c>
      <c r="T643" s="24" t="s">
        <v>30</v>
      </c>
      <c r="U643" s="31" t="s">
        <v>31</v>
      </c>
      <c r="V643" s="31" t="n">
        <v>43343</v>
      </c>
      <c r="W643" s="34"/>
      <c r="X643" s="34"/>
      <c r="AMJ643" s="32"/>
    </row>
    <row r="644" s="32" customFormat="true" ht="13.8" hidden="false" customHeight="false" outlineLevel="0" collapsed="false">
      <c r="A644" s="18"/>
      <c r="B644" s="19" t="n">
        <v>4945</v>
      </c>
      <c r="C644" s="20" t="n">
        <v>43299</v>
      </c>
      <c r="D644" s="38" t="s">
        <v>22</v>
      </c>
      <c r="E644" s="22" t="s">
        <v>42</v>
      </c>
      <c r="F644" s="34" t="s">
        <v>924</v>
      </c>
      <c r="G644" s="19" t="n">
        <v>2</v>
      </c>
      <c r="H644" s="19" t="n">
        <v>24</v>
      </c>
      <c r="I644" s="19" t="n">
        <v>4</v>
      </c>
      <c r="J644" s="19" t="n">
        <v>36.8</v>
      </c>
      <c r="K644" s="39" t="n">
        <v>315000</v>
      </c>
      <c r="L644" s="39" t="n">
        <f aca="false">ROUND(K644/J644,2)</f>
        <v>8559.78</v>
      </c>
      <c r="M644" s="18"/>
      <c r="N644" s="40"/>
      <c r="O644" s="30" t="n">
        <f aca="false">K644+N644</f>
        <v>315000</v>
      </c>
      <c r="P644" s="39" t="n">
        <f aca="false">ROUND(O644/J644,2)</f>
        <v>8559.78</v>
      </c>
      <c r="Q644" s="19" t="s">
        <v>925</v>
      </c>
      <c r="R644" s="22" t="s">
        <v>26</v>
      </c>
      <c r="S644" s="19" t="s">
        <v>29</v>
      </c>
      <c r="T644" s="19" t="s">
        <v>30</v>
      </c>
      <c r="U644" s="31" t="s">
        <v>31</v>
      </c>
      <c r="V644" s="41" t="n">
        <v>43432</v>
      </c>
      <c r="W644" s="18"/>
      <c r="X644" s="18"/>
    </row>
    <row r="645" customFormat="false" ht="13.8" hidden="false" customHeight="false" outlineLevel="0" collapsed="false">
      <c r="A645" s="18"/>
      <c r="B645" s="19" t="n">
        <v>1682</v>
      </c>
      <c r="C645" s="20" t="n">
        <v>43300</v>
      </c>
      <c r="D645" s="21" t="s">
        <v>22</v>
      </c>
      <c r="E645" s="22" t="s">
        <v>178</v>
      </c>
      <c r="F645" s="34" t="s">
        <v>926</v>
      </c>
      <c r="G645" s="19" t="n">
        <v>4</v>
      </c>
      <c r="H645" s="19" t="n">
        <v>25</v>
      </c>
      <c r="I645" s="19" t="n">
        <v>1</v>
      </c>
      <c r="J645" s="19" t="n">
        <v>50.3</v>
      </c>
      <c r="K645" s="39" t="n">
        <v>393000</v>
      </c>
      <c r="L645" s="39" t="n">
        <f aca="false">ROUND(K645/J645,2)</f>
        <v>7813.12</v>
      </c>
      <c r="M645" s="18"/>
      <c r="N645" s="40"/>
      <c r="O645" s="30" t="n">
        <f aca="false">K645+N645</f>
        <v>393000</v>
      </c>
      <c r="P645" s="39" t="n">
        <f aca="false">ROUND(O645/J645,2)</f>
        <v>7813.12</v>
      </c>
      <c r="Q645" s="19" t="s">
        <v>925</v>
      </c>
      <c r="R645" s="22" t="s">
        <v>26</v>
      </c>
      <c r="S645" s="19" t="s">
        <v>29</v>
      </c>
      <c r="T645" s="19" t="s">
        <v>30</v>
      </c>
      <c r="U645" s="31" t="s">
        <v>31</v>
      </c>
      <c r="V645" s="41" t="n">
        <v>43432</v>
      </c>
      <c r="W645" s="18"/>
      <c r="X645" s="18"/>
    </row>
    <row r="646" customFormat="false" ht="13.8" hidden="false" customHeight="false" outlineLevel="0" collapsed="false">
      <c r="A646" s="18"/>
      <c r="B646" s="19" t="n">
        <v>4173</v>
      </c>
      <c r="C646" s="20" t="n">
        <v>43301</v>
      </c>
      <c r="D646" s="38" t="s">
        <v>22</v>
      </c>
      <c r="E646" s="22" t="s">
        <v>118</v>
      </c>
      <c r="F646" s="34" t="s">
        <v>119</v>
      </c>
      <c r="G646" s="19" t="n">
        <v>8</v>
      </c>
      <c r="H646" s="19" t="n">
        <v>86</v>
      </c>
      <c r="I646" s="19" t="n">
        <v>8</v>
      </c>
      <c r="J646" s="19" t="n">
        <v>52.4</v>
      </c>
      <c r="K646" s="39" t="n">
        <v>437000</v>
      </c>
      <c r="L646" s="39" t="n">
        <f aca="false">ROUND(K646/J646,2)</f>
        <v>8339.69</v>
      </c>
      <c r="M646" s="34" t="s">
        <v>927</v>
      </c>
      <c r="N646" s="40"/>
      <c r="O646" s="30" t="n">
        <f aca="false">K646+N646</f>
        <v>437000</v>
      </c>
      <c r="P646" s="39" t="n">
        <f aca="false">ROUND(O646/J646,2)</f>
        <v>8339.69</v>
      </c>
      <c r="Q646" s="19" t="s">
        <v>925</v>
      </c>
      <c r="R646" s="22" t="s">
        <v>26</v>
      </c>
      <c r="S646" s="19" t="s">
        <v>29</v>
      </c>
      <c r="T646" s="19" t="s">
        <v>30</v>
      </c>
      <c r="U646" s="31" t="s">
        <v>31</v>
      </c>
      <c r="V646" s="41" t="n">
        <v>43432</v>
      </c>
      <c r="W646" s="18"/>
      <c r="X646" s="18"/>
    </row>
    <row r="647" customFormat="false" ht="13.8" hidden="false" customHeight="false" outlineLevel="0" collapsed="false">
      <c r="A647" s="18"/>
      <c r="B647" s="19" t="n">
        <v>2028</v>
      </c>
      <c r="C647" s="20" t="n">
        <v>43304</v>
      </c>
      <c r="D647" s="21" t="s">
        <v>22</v>
      </c>
      <c r="E647" s="22" t="s">
        <v>80</v>
      </c>
      <c r="F647" s="34" t="s">
        <v>162</v>
      </c>
      <c r="G647" s="19" t="n">
        <v>1</v>
      </c>
      <c r="H647" s="19" t="n">
        <v>62</v>
      </c>
      <c r="I647" s="19" t="n">
        <v>4</v>
      </c>
      <c r="J647" s="19" t="n">
        <v>80.76</v>
      </c>
      <c r="K647" s="39" t="n">
        <v>1475000</v>
      </c>
      <c r="L647" s="39" t="n">
        <f aca="false">ROUND(K647/J647,2)</f>
        <v>18263.99</v>
      </c>
      <c r="M647" s="34" t="s">
        <v>928</v>
      </c>
      <c r="N647" s="40" t="n">
        <f aca="false">20000+30000</f>
        <v>50000</v>
      </c>
      <c r="O647" s="30" t="n">
        <f aca="false">K647+N647</f>
        <v>1525000</v>
      </c>
      <c r="P647" s="39" t="n">
        <f aca="false">ROUND(O647/J647,2)</f>
        <v>18883.11</v>
      </c>
      <c r="Q647" s="19" t="s">
        <v>929</v>
      </c>
      <c r="R647" s="22" t="s">
        <v>49</v>
      </c>
      <c r="S647" s="19" t="s">
        <v>29</v>
      </c>
      <c r="T647" s="19" t="s">
        <v>30</v>
      </c>
      <c r="U647" s="31" t="s">
        <v>31</v>
      </c>
      <c r="V647" s="41" t="n">
        <v>43432</v>
      </c>
      <c r="W647" s="18"/>
      <c r="X647" s="18"/>
    </row>
    <row r="648" customFormat="false" ht="13.8" hidden="false" customHeight="false" outlineLevel="0" collapsed="false">
      <c r="A648" s="18"/>
      <c r="B648" s="19" t="n">
        <v>8677</v>
      </c>
      <c r="C648" s="20" t="n">
        <v>43304</v>
      </c>
      <c r="D648" s="38" t="s">
        <v>22</v>
      </c>
      <c r="E648" s="22" t="s">
        <v>37</v>
      </c>
      <c r="F648" s="34" t="s">
        <v>108</v>
      </c>
      <c r="G648" s="19" t="n">
        <v>36</v>
      </c>
      <c r="H648" s="19" t="n">
        <v>59</v>
      </c>
      <c r="I648" s="19" t="n">
        <v>4</v>
      </c>
      <c r="J648" s="19" t="n">
        <v>55.9</v>
      </c>
      <c r="K648" s="39" t="n">
        <v>675000</v>
      </c>
      <c r="L648" s="39" t="n">
        <f aca="false">ROUND(K648/J648,2)</f>
        <v>12075.13</v>
      </c>
      <c r="M648" s="34" t="s">
        <v>930</v>
      </c>
      <c r="N648" s="40"/>
      <c r="O648" s="30" t="n">
        <f aca="false">K648+N648</f>
        <v>675000</v>
      </c>
      <c r="P648" s="39" t="n">
        <f aca="false">ROUND(O648/J648,2)</f>
        <v>12075.13</v>
      </c>
      <c r="Q648" s="19" t="s">
        <v>925</v>
      </c>
      <c r="R648" s="22" t="s">
        <v>26</v>
      </c>
      <c r="S648" s="19" t="s">
        <v>29</v>
      </c>
      <c r="T648" s="19" t="s">
        <v>30</v>
      </c>
      <c r="U648" s="31" t="s">
        <v>31</v>
      </c>
      <c r="V648" s="41" t="n">
        <v>43432</v>
      </c>
      <c r="W648" s="34"/>
      <c r="X648" s="34"/>
    </row>
    <row r="649" customFormat="false" ht="13.8" hidden="false" customHeight="false" outlineLevel="0" collapsed="false">
      <c r="A649" s="18"/>
      <c r="B649" s="19" t="n">
        <v>8992</v>
      </c>
      <c r="C649" s="20" t="n">
        <v>43305</v>
      </c>
      <c r="D649" s="38" t="s">
        <v>22</v>
      </c>
      <c r="E649" s="22" t="s">
        <v>75</v>
      </c>
      <c r="F649" s="34" t="s">
        <v>76</v>
      </c>
      <c r="G649" s="19" t="n">
        <v>39</v>
      </c>
      <c r="H649" s="19" t="n">
        <v>40</v>
      </c>
      <c r="I649" s="19" t="n">
        <v>4</v>
      </c>
      <c r="J649" s="19" t="n">
        <v>62.44</v>
      </c>
      <c r="K649" s="39" t="n">
        <v>435000</v>
      </c>
      <c r="L649" s="39" t="n">
        <f aca="false">ROUND(K649/J649,2)</f>
        <v>6966.69</v>
      </c>
      <c r="M649" s="34" t="s">
        <v>931</v>
      </c>
      <c r="N649" s="40"/>
      <c r="O649" s="30" t="n">
        <f aca="false">K649+N649</f>
        <v>435000</v>
      </c>
      <c r="P649" s="39" t="n">
        <f aca="false">ROUND(O649/J649,2)</f>
        <v>6966.69</v>
      </c>
      <c r="Q649" s="19" t="s">
        <v>932</v>
      </c>
      <c r="R649" s="22" t="s">
        <v>49</v>
      </c>
      <c r="S649" s="19" t="s">
        <v>29</v>
      </c>
      <c r="T649" s="19" t="s">
        <v>30</v>
      </c>
      <c r="U649" s="31" t="s">
        <v>31</v>
      </c>
      <c r="V649" s="41" t="n">
        <v>43432</v>
      </c>
      <c r="W649" s="18"/>
      <c r="X649" s="18"/>
    </row>
    <row r="650" customFormat="false" ht="13.8" hidden="false" customHeight="false" outlineLevel="0" collapsed="false">
      <c r="A650" s="18"/>
      <c r="B650" s="19" t="n">
        <v>3720</v>
      </c>
      <c r="C650" s="20" t="n">
        <v>43305</v>
      </c>
      <c r="D650" s="21" t="s">
        <v>22</v>
      </c>
      <c r="E650" s="22" t="s">
        <v>65</v>
      </c>
      <c r="F650" s="34" t="s">
        <v>764</v>
      </c>
      <c r="G650" s="19" t="n">
        <v>2</v>
      </c>
      <c r="H650" s="19" t="n">
        <v>28</v>
      </c>
      <c r="I650" s="19" t="n">
        <v>5</v>
      </c>
      <c r="J650" s="19" t="n">
        <v>52.9</v>
      </c>
      <c r="K650" s="39" t="n">
        <v>415000</v>
      </c>
      <c r="L650" s="39" t="n">
        <f aca="false">ROUND(K650/J650,2)</f>
        <v>7844.99</v>
      </c>
      <c r="M650" s="34"/>
      <c r="N650" s="40"/>
      <c r="O650" s="30" t="n">
        <f aca="false">K650+N650</f>
        <v>415000</v>
      </c>
      <c r="P650" s="39" t="n">
        <f aca="false">ROUND(O650/J650,2)</f>
        <v>7844.99</v>
      </c>
      <c r="Q650" s="19" t="s">
        <v>933</v>
      </c>
      <c r="R650" s="22" t="s">
        <v>49</v>
      </c>
      <c r="S650" s="19" t="s">
        <v>29</v>
      </c>
      <c r="T650" s="19" t="s">
        <v>30</v>
      </c>
      <c r="U650" s="31" t="s">
        <v>31</v>
      </c>
      <c r="V650" s="41" t="n">
        <v>43432</v>
      </c>
      <c r="W650" s="18"/>
      <c r="X650" s="18"/>
      <c r="AMJ650" s="32"/>
    </row>
    <row r="651" s="32" customFormat="true" ht="13.8" hidden="false" customHeight="false" outlineLevel="0" collapsed="false">
      <c r="A651" s="18"/>
      <c r="B651" s="19" t="n">
        <v>32571</v>
      </c>
      <c r="C651" s="20" t="n">
        <v>43305</v>
      </c>
      <c r="D651" s="38" t="s">
        <v>22</v>
      </c>
      <c r="E651" s="22" t="s">
        <v>934</v>
      </c>
      <c r="F651" s="34" t="s">
        <v>272</v>
      </c>
      <c r="G651" s="19" t="n">
        <v>31</v>
      </c>
      <c r="H651" s="19" t="n">
        <v>295</v>
      </c>
      <c r="I651" s="19" t="n">
        <v>2</v>
      </c>
      <c r="J651" s="19" t="n">
        <v>61.1</v>
      </c>
      <c r="K651" s="39" t="n">
        <v>670000</v>
      </c>
      <c r="L651" s="39" t="n">
        <f aca="false">ROUND(K651/J651,2)</f>
        <v>10965.63</v>
      </c>
      <c r="M651" s="34" t="s">
        <v>935</v>
      </c>
      <c r="N651" s="40" t="n">
        <v>30000</v>
      </c>
      <c r="O651" s="30" t="n">
        <f aca="false">K651+N651</f>
        <v>700000</v>
      </c>
      <c r="P651" s="39" t="n">
        <f aca="false">ROUND(O651/J651,2)</f>
        <v>11456.63</v>
      </c>
      <c r="Q651" s="19" t="s">
        <v>936</v>
      </c>
      <c r="R651" s="22" t="s">
        <v>36</v>
      </c>
      <c r="S651" s="19" t="s">
        <v>29</v>
      </c>
      <c r="T651" s="19" t="s">
        <v>30</v>
      </c>
      <c r="U651" s="31" t="s">
        <v>31</v>
      </c>
      <c r="V651" s="41" t="n">
        <v>43432</v>
      </c>
      <c r="W651" s="18"/>
      <c r="X651" s="18"/>
    </row>
    <row r="652" customFormat="false" ht="13.8" hidden="false" customHeight="false" outlineLevel="0" collapsed="false">
      <c r="A652" s="18"/>
      <c r="B652" s="19" t="n">
        <v>9862</v>
      </c>
      <c r="C652" s="20" t="n">
        <v>43306</v>
      </c>
      <c r="D652" s="38" t="s">
        <v>22</v>
      </c>
      <c r="E652" s="22" t="s">
        <v>80</v>
      </c>
      <c r="F652" s="34" t="s">
        <v>162</v>
      </c>
      <c r="G652" s="19" t="n">
        <v>2</v>
      </c>
      <c r="H652" s="19" t="n">
        <v>53</v>
      </c>
      <c r="I652" s="19" t="n">
        <v>6</v>
      </c>
      <c r="J652" s="19" t="n">
        <v>96.7</v>
      </c>
      <c r="K652" s="39" t="n">
        <v>1423000</v>
      </c>
      <c r="L652" s="39" t="n">
        <f aca="false">ROUND(K652/J652,2)</f>
        <v>14715.62</v>
      </c>
      <c r="M652" s="34" t="s">
        <v>937</v>
      </c>
      <c r="N652" s="40" t="n">
        <v>60000</v>
      </c>
      <c r="O652" s="30" t="n">
        <f aca="false">K652+N652</f>
        <v>1483000</v>
      </c>
      <c r="P652" s="39" t="n">
        <f aca="false">ROUND(O652/J652,2)</f>
        <v>15336.09</v>
      </c>
      <c r="Q652" s="19" t="s">
        <v>938</v>
      </c>
      <c r="R652" s="22" t="s">
        <v>49</v>
      </c>
      <c r="S652" s="19" t="s">
        <v>29</v>
      </c>
      <c r="T652" s="19" t="s">
        <v>30</v>
      </c>
      <c r="U652" s="31" t="s">
        <v>31</v>
      </c>
      <c r="V652" s="41" t="n">
        <v>43432</v>
      </c>
      <c r="W652" s="34"/>
      <c r="X652" s="34"/>
    </row>
    <row r="653" customFormat="false" ht="13.8" hidden="false" customHeight="false" outlineLevel="0" collapsed="false">
      <c r="A653" s="18"/>
      <c r="B653" s="19" t="s">
        <v>887</v>
      </c>
      <c r="C653" s="20" t="n">
        <v>43306</v>
      </c>
      <c r="D653" s="38" t="s">
        <v>22</v>
      </c>
      <c r="E653" s="22" t="s">
        <v>93</v>
      </c>
      <c r="F653" s="45" t="s">
        <v>514</v>
      </c>
      <c r="G653" s="19" t="s">
        <v>939</v>
      </c>
      <c r="H653" s="19"/>
      <c r="I653" s="19" t="n">
        <v>6</v>
      </c>
      <c r="J653" s="25" t="n">
        <v>47.1</v>
      </c>
      <c r="K653" s="39" t="n">
        <v>370000</v>
      </c>
      <c r="L653" s="39" t="n">
        <f aca="false">K653/J653</f>
        <v>7855.62632696391</v>
      </c>
      <c r="M653" s="34" t="s">
        <v>940</v>
      </c>
      <c r="N653" s="40" t="n">
        <v>20000</v>
      </c>
      <c r="O653" s="30" t="n">
        <f aca="false">K653+N653</f>
        <v>390000</v>
      </c>
      <c r="P653" s="39" t="n">
        <f aca="false">O653/J653</f>
        <v>8280.25477707006</v>
      </c>
      <c r="Q653" s="19" t="s">
        <v>889</v>
      </c>
      <c r="R653" s="19" t="n">
        <v>3</v>
      </c>
      <c r="S653" s="19" t="s">
        <v>890</v>
      </c>
      <c r="T653" s="19"/>
      <c r="U653" s="19" t="s">
        <v>31</v>
      </c>
      <c r="V653" s="41" t="n">
        <v>43727</v>
      </c>
      <c r="W653" s="34"/>
      <c r="X653" s="34"/>
    </row>
    <row r="654" customFormat="false" ht="13.8" hidden="false" customHeight="false" outlineLevel="0" collapsed="false">
      <c r="A654" s="18"/>
      <c r="B654" s="19" t="n">
        <v>6130</v>
      </c>
      <c r="C654" s="20" t="n">
        <v>43307</v>
      </c>
      <c r="D654" s="38" t="s">
        <v>22</v>
      </c>
      <c r="E654" s="22" t="s">
        <v>61</v>
      </c>
      <c r="F654" s="34" t="s">
        <v>62</v>
      </c>
      <c r="G654" s="19" t="n">
        <v>1</v>
      </c>
      <c r="H654" s="19" t="n">
        <v>561</v>
      </c>
      <c r="I654" s="19" t="n">
        <v>7</v>
      </c>
      <c r="J654" s="19" t="n">
        <v>42.86</v>
      </c>
      <c r="K654" s="39" t="n">
        <v>390000</v>
      </c>
      <c r="L654" s="39" t="n">
        <f aca="false">K654/J654</f>
        <v>9099.39337377508</v>
      </c>
      <c r="M654" s="34"/>
      <c r="N654" s="40"/>
      <c r="O654" s="30" t="n">
        <f aca="false">K654+N654</f>
        <v>390000</v>
      </c>
      <c r="P654" s="39" t="n">
        <f aca="false">O654/J654</f>
        <v>9099.39337377508</v>
      </c>
      <c r="Q654" s="19" t="s">
        <v>941</v>
      </c>
      <c r="R654" s="22" t="s">
        <v>36</v>
      </c>
      <c r="S654" s="19" t="s">
        <v>29</v>
      </c>
      <c r="T654" s="19" t="s">
        <v>30</v>
      </c>
      <c r="U654" s="19" t="s">
        <v>31</v>
      </c>
      <c r="V654" s="41" t="n">
        <v>43514</v>
      </c>
      <c r="W654" s="34" t="s">
        <v>942</v>
      </c>
      <c r="X654" s="18"/>
      <c r="AMJ654" s="32"/>
    </row>
    <row r="655" s="32" customFormat="true" ht="13.8" hidden="false" customHeight="false" outlineLevel="0" collapsed="false">
      <c r="A655" s="18"/>
      <c r="B655" s="19" t="n">
        <v>5026</v>
      </c>
      <c r="C655" s="20" t="n">
        <v>43307</v>
      </c>
      <c r="D655" s="38" t="s">
        <v>22</v>
      </c>
      <c r="E655" s="22" t="s">
        <v>299</v>
      </c>
      <c r="F655" s="34" t="s">
        <v>271</v>
      </c>
      <c r="G655" s="19" t="n">
        <v>29</v>
      </c>
      <c r="H655" s="19" t="n">
        <v>21</v>
      </c>
      <c r="I655" s="19" t="n">
        <v>4</v>
      </c>
      <c r="J655" s="19" t="n">
        <v>48.26</v>
      </c>
      <c r="K655" s="39" t="n">
        <v>402000</v>
      </c>
      <c r="L655" s="39" t="n">
        <f aca="false">ROUND(K655/J655,2)</f>
        <v>8329.88</v>
      </c>
      <c r="M655" s="34" t="s">
        <v>189</v>
      </c>
      <c r="N655" s="40"/>
      <c r="O655" s="30" t="n">
        <f aca="false">K655+N655</f>
        <v>402000</v>
      </c>
      <c r="P655" s="39" t="n">
        <f aca="false">ROUND(O655/J655,2)</f>
        <v>8329.88</v>
      </c>
      <c r="Q655" s="19" t="s">
        <v>925</v>
      </c>
      <c r="R655" s="22" t="s">
        <v>26</v>
      </c>
      <c r="S655" s="19" t="s">
        <v>29</v>
      </c>
      <c r="T655" s="19" t="s">
        <v>30</v>
      </c>
      <c r="U655" s="31" t="s">
        <v>31</v>
      </c>
      <c r="V655" s="41" t="n">
        <v>43432</v>
      </c>
      <c r="W655" s="34"/>
      <c r="X655" s="34"/>
    </row>
    <row r="656" s="32" customFormat="true" ht="13.8" hidden="false" customHeight="false" outlineLevel="0" collapsed="false">
      <c r="A656" s="18"/>
      <c r="B656" s="19" t="n">
        <v>5360</v>
      </c>
      <c r="C656" s="20" t="n">
        <v>43308</v>
      </c>
      <c r="D656" s="38" t="s">
        <v>22</v>
      </c>
      <c r="E656" s="22" t="s">
        <v>350</v>
      </c>
      <c r="F656" s="34" t="s">
        <v>812</v>
      </c>
      <c r="G656" s="19" t="n">
        <v>10</v>
      </c>
      <c r="H656" s="19" t="n">
        <v>58</v>
      </c>
      <c r="I656" s="19" t="n">
        <v>12</v>
      </c>
      <c r="J656" s="19" t="n">
        <v>80.91</v>
      </c>
      <c r="K656" s="39" t="n">
        <v>920000</v>
      </c>
      <c r="L656" s="39" t="n">
        <f aca="false">ROUND(K656/J656,2)</f>
        <v>11370.66</v>
      </c>
      <c r="M656" s="34" t="s">
        <v>943</v>
      </c>
      <c r="N656" s="40"/>
      <c r="O656" s="30" t="n">
        <f aca="false">K656+N656</f>
        <v>920000</v>
      </c>
      <c r="P656" s="39" t="n">
        <f aca="false">ROUND(O656/J656,2)</f>
        <v>11370.66</v>
      </c>
      <c r="Q656" s="19" t="s">
        <v>944</v>
      </c>
      <c r="R656" s="22" t="s">
        <v>26</v>
      </c>
      <c r="S656" s="19" t="s">
        <v>29</v>
      </c>
      <c r="T656" s="19" t="s">
        <v>30</v>
      </c>
      <c r="U656" s="31" t="s">
        <v>31</v>
      </c>
      <c r="V656" s="41" t="n">
        <v>43432</v>
      </c>
      <c r="W656" s="34"/>
      <c r="X656" s="34"/>
    </row>
    <row r="657" customFormat="false" ht="13.8" hidden="false" customHeight="false" outlineLevel="0" collapsed="false">
      <c r="A657" s="18"/>
      <c r="B657" s="19" t="n">
        <v>9171</v>
      </c>
      <c r="C657" s="20" t="n">
        <v>43311</v>
      </c>
      <c r="D657" s="38" t="s">
        <v>22</v>
      </c>
      <c r="E657" s="22" t="s">
        <v>178</v>
      </c>
      <c r="F657" s="34" t="s">
        <v>513</v>
      </c>
      <c r="G657" s="19" t="n">
        <v>1</v>
      </c>
      <c r="H657" s="19" t="n">
        <v>13</v>
      </c>
      <c r="I657" s="19" t="n">
        <v>4</v>
      </c>
      <c r="J657" s="19" t="n">
        <v>35.4</v>
      </c>
      <c r="K657" s="39" t="n">
        <v>315000</v>
      </c>
      <c r="L657" s="39" t="n">
        <f aca="false">ROUND(K657/J657,2)</f>
        <v>8898.31</v>
      </c>
      <c r="M657" s="34" t="s">
        <v>189</v>
      </c>
      <c r="N657" s="40"/>
      <c r="O657" s="30" t="n">
        <f aca="false">K657+N657</f>
        <v>315000</v>
      </c>
      <c r="P657" s="39" t="n">
        <f aca="false">ROUND(O657/J657,2)</f>
        <v>8898.31</v>
      </c>
      <c r="Q657" s="19" t="s">
        <v>945</v>
      </c>
      <c r="R657" s="22" t="s">
        <v>36</v>
      </c>
      <c r="S657" s="19" t="s">
        <v>29</v>
      </c>
      <c r="T657" s="19" t="s">
        <v>30</v>
      </c>
      <c r="U657" s="31" t="s">
        <v>31</v>
      </c>
      <c r="V657" s="41" t="n">
        <v>43432</v>
      </c>
      <c r="W657" s="34"/>
      <c r="X657" s="34"/>
      <c r="Z657" s="33"/>
      <c r="AB657" s="37"/>
    </row>
    <row r="658" customFormat="false" ht="13.8" hidden="false" customHeight="false" outlineLevel="0" collapsed="false">
      <c r="A658" s="18"/>
      <c r="B658" s="19" t="n">
        <v>1835</v>
      </c>
      <c r="C658" s="20" t="n">
        <v>43311</v>
      </c>
      <c r="D658" s="38" t="s">
        <v>22</v>
      </c>
      <c r="E658" s="22" t="s">
        <v>61</v>
      </c>
      <c r="F658" s="34" t="s">
        <v>581</v>
      </c>
      <c r="G658" s="19" t="n">
        <v>27</v>
      </c>
      <c r="H658" s="19" t="n">
        <v>18</v>
      </c>
      <c r="I658" s="19" t="n">
        <v>4</v>
      </c>
      <c r="J658" s="19" t="n">
        <v>57.1</v>
      </c>
      <c r="K658" s="39" t="n">
        <v>437000</v>
      </c>
      <c r="L658" s="39" t="n">
        <f aca="false">ROUND(K658/J658,2)</f>
        <v>7653.24</v>
      </c>
      <c r="M658" s="18"/>
      <c r="N658" s="40"/>
      <c r="O658" s="30" t="n">
        <f aca="false">K658+N658</f>
        <v>437000</v>
      </c>
      <c r="P658" s="39" t="n">
        <f aca="false">ROUND(O658/J658,2)</f>
        <v>7653.24</v>
      </c>
      <c r="Q658" s="19" t="s">
        <v>946</v>
      </c>
      <c r="R658" s="22" t="s">
        <v>49</v>
      </c>
      <c r="S658" s="19" t="s">
        <v>29</v>
      </c>
      <c r="T658" s="19" t="s">
        <v>30</v>
      </c>
      <c r="U658" s="31" t="s">
        <v>31</v>
      </c>
      <c r="V658" s="41" t="n">
        <v>43432</v>
      </c>
      <c r="W658" s="34"/>
      <c r="X658" s="34"/>
    </row>
    <row r="659" customFormat="false" ht="13.8" hidden="false" customHeight="false" outlineLevel="0" collapsed="false">
      <c r="A659" s="18"/>
      <c r="B659" s="19" t="n">
        <v>1984</v>
      </c>
      <c r="C659" s="20" t="n">
        <v>43311</v>
      </c>
      <c r="D659" s="38" t="s">
        <v>22</v>
      </c>
      <c r="E659" s="22" t="s">
        <v>517</v>
      </c>
      <c r="F659" s="34" t="s">
        <v>240</v>
      </c>
      <c r="G659" s="19" t="n">
        <v>72</v>
      </c>
      <c r="H659" s="19" t="n">
        <v>33</v>
      </c>
      <c r="I659" s="19" t="n">
        <v>2</v>
      </c>
      <c r="J659" s="19" t="n">
        <v>46.6</v>
      </c>
      <c r="K659" s="39" t="n">
        <v>347000</v>
      </c>
      <c r="L659" s="39" t="n">
        <f aca="false">ROUND(K659/J659,2)</f>
        <v>7446.35</v>
      </c>
      <c r="M659" s="34" t="s">
        <v>189</v>
      </c>
      <c r="N659" s="40"/>
      <c r="O659" s="30" t="n">
        <f aca="false">K659+N659</f>
        <v>347000</v>
      </c>
      <c r="P659" s="39" t="n">
        <f aca="false">ROUND(O659/J659,2)</f>
        <v>7446.35</v>
      </c>
      <c r="Q659" s="19" t="s">
        <v>947</v>
      </c>
      <c r="R659" s="22" t="s">
        <v>49</v>
      </c>
      <c r="S659" s="19" t="s">
        <v>29</v>
      </c>
      <c r="T659" s="19" t="s">
        <v>30</v>
      </c>
      <c r="U659" s="31" t="s">
        <v>31</v>
      </c>
      <c r="V659" s="41" t="n">
        <v>43432</v>
      </c>
      <c r="W659" s="34"/>
      <c r="X659" s="34"/>
    </row>
    <row r="660" customFormat="false" ht="13.8" hidden="false" customHeight="false" outlineLevel="0" collapsed="false">
      <c r="A660" s="18"/>
      <c r="B660" s="19" t="n">
        <v>11943</v>
      </c>
      <c r="C660" s="20" t="n">
        <v>43312</v>
      </c>
      <c r="D660" s="38" t="s">
        <v>22</v>
      </c>
      <c r="E660" s="22" t="s">
        <v>171</v>
      </c>
      <c r="F660" s="34" t="s">
        <v>315</v>
      </c>
      <c r="G660" s="19" t="n">
        <v>40</v>
      </c>
      <c r="H660" s="19" t="n">
        <v>41</v>
      </c>
      <c r="I660" s="19" t="n">
        <v>3</v>
      </c>
      <c r="J660" s="19" t="n">
        <v>43.7</v>
      </c>
      <c r="K660" s="39" t="n">
        <f aca="false">162500*2</f>
        <v>325000</v>
      </c>
      <c r="L660" s="39" t="n">
        <f aca="false">ROUND(K660/J660,2)</f>
        <v>7437.07</v>
      </c>
      <c r="M660" s="34"/>
      <c r="N660" s="40"/>
      <c r="O660" s="30" t="n">
        <f aca="false">K660+N660</f>
        <v>325000</v>
      </c>
      <c r="P660" s="39" t="n">
        <f aca="false">ROUND(O660/J660,2)</f>
        <v>7437.07</v>
      </c>
      <c r="Q660" s="19" t="s">
        <v>948</v>
      </c>
      <c r="R660" s="22" t="s">
        <v>49</v>
      </c>
      <c r="S660" s="19" t="s">
        <v>29</v>
      </c>
      <c r="T660" s="19" t="s">
        <v>30</v>
      </c>
      <c r="U660" s="31" t="s">
        <v>31</v>
      </c>
      <c r="V660" s="41" t="n">
        <v>43432</v>
      </c>
      <c r="W660" s="34"/>
      <c r="X660" s="34"/>
      <c r="AMJ660" s="32"/>
    </row>
    <row r="661" s="32" customFormat="true" ht="13.8" hidden="false" customHeight="false" outlineLevel="0" collapsed="false">
      <c r="A661" s="18"/>
      <c r="B661" s="19" t="n">
        <v>7422</v>
      </c>
      <c r="C661" s="20" t="n">
        <v>43312</v>
      </c>
      <c r="D661" s="38" t="s">
        <v>22</v>
      </c>
      <c r="E661" s="22" t="s">
        <v>235</v>
      </c>
      <c r="F661" s="34" t="s">
        <v>386</v>
      </c>
      <c r="G661" s="19" t="n">
        <v>29</v>
      </c>
      <c r="H661" s="19" t="n">
        <v>32</v>
      </c>
      <c r="I661" s="19" t="n">
        <v>3</v>
      </c>
      <c r="J661" s="19" t="n">
        <v>46.12</v>
      </c>
      <c r="K661" s="39" t="n">
        <v>508000</v>
      </c>
      <c r="L661" s="39" t="n">
        <f aca="false">ROUND(K661/J661,2)</f>
        <v>11014.74</v>
      </c>
      <c r="M661" s="34"/>
      <c r="N661" s="40"/>
      <c r="O661" s="30" t="n">
        <f aca="false">K661+N661</f>
        <v>508000</v>
      </c>
      <c r="P661" s="39" t="n">
        <f aca="false">ROUND(O661/J661,2)</f>
        <v>11014.74</v>
      </c>
      <c r="Q661" s="19" t="s">
        <v>925</v>
      </c>
      <c r="R661" s="22" t="s">
        <v>26</v>
      </c>
      <c r="S661" s="19" t="s">
        <v>29</v>
      </c>
      <c r="T661" s="19" t="s">
        <v>30</v>
      </c>
      <c r="U661" s="31" t="s">
        <v>31</v>
      </c>
      <c r="V661" s="41" t="n">
        <v>43432</v>
      </c>
      <c r="W661" s="34"/>
      <c r="X661" s="34"/>
      <c r="Z661" s="33"/>
      <c r="AB661" s="37"/>
    </row>
    <row r="662" customFormat="false" ht="13.8" hidden="false" customHeight="false" outlineLevel="0" collapsed="false">
      <c r="A662" s="18"/>
      <c r="B662" s="19" t="n">
        <v>2514</v>
      </c>
      <c r="C662" s="20" t="n">
        <v>43312</v>
      </c>
      <c r="D662" s="38" t="s">
        <v>22</v>
      </c>
      <c r="E662" s="22" t="s">
        <v>268</v>
      </c>
      <c r="F662" s="34" t="s">
        <v>471</v>
      </c>
      <c r="G662" s="19" t="s">
        <v>949</v>
      </c>
      <c r="H662" s="19" t="n">
        <v>13</v>
      </c>
      <c r="I662" s="19" t="n">
        <v>4</v>
      </c>
      <c r="J662" s="19" t="n">
        <v>54.6</v>
      </c>
      <c r="K662" s="39" t="n">
        <v>400000</v>
      </c>
      <c r="L662" s="39" t="n">
        <f aca="false">ROUND(K662/J662,2)</f>
        <v>7326.01</v>
      </c>
      <c r="M662" s="34"/>
      <c r="N662" s="40"/>
      <c r="O662" s="30" t="n">
        <f aca="false">K662+N662</f>
        <v>400000</v>
      </c>
      <c r="P662" s="39" t="n">
        <f aca="false">ROUND(O662/J662,2)</f>
        <v>7326.01</v>
      </c>
      <c r="Q662" s="19" t="s">
        <v>948</v>
      </c>
      <c r="R662" s="22" t="s">
        <v>49</v>
      </c>
      <c r="S662" s="19" t="s">
        <v>29</v>
      </c>
      <c r="T662" s="19" t="s">
        <v>30</v>
      </c>
      <c r="U662" s="31" t="s">
        <v>31</v>
      </c>
      <c r="V662" s="41" t="n">
        <v>43432</v>
      </c>
      <c r="W662" s="34"/>
      <c r="X662" s="34"/>
    </row>
    <row r="663" customFormat="false" ht="13.8" hidden="false" customHeight="false" outlineLevel="0" collapsed="false">
      <c r="A663" s="18"/>
      <c r="B663" s="19" t="n">
        <v>9199</v>
      </c>
      <c r="C663" s="20" t="n">
        <v>43312</v>
      </c>
      <c r="D663" s="38" t="s">
        <v>22</v>
      </c>
      <c r="E663" s="22" t="s">
        <v>278</v>
      </c>
      <c r="F663" s="34" t="s">
        <v>338</v>
      </c>
      <c r="G663" s="19" t="n">
        <v>59</v>
      </c>
      <c r="H663" s="19" t="n">
        <v>2</v>
      </c>
      <c r="I663" s="19" t="n">
        <v>1</v>
      </c>
      <c r="J663" s="19" t="n">
        <v>50.95</v>
      </c>
      <c r="K663" s="39" t="n">
        <v>395000</v>
      </c>
      <c r="L663" s="39" t="n">
        <f aca="false">ROUND(K663/J663,2)</f>
        <v>7752.7</v>
      </c>
      <c r="M663" s="34" t="s">
        <v>950</v>
      </c>
      <c r="N663" s="40"/>
      <c r="O663" s="30" t="n">
        <f aca="false">K663+N663</f>
        <v>395000</v>
      </c>
      <c r="P663" s="39" t="n">
        <f aca="false">ROUND(O663/J663,2)</f>
        <v>7752.7</v>
      </c>
      <c r="Q663" s="19" t="s">
        <v>951</v>
      </c>
      <c r="R663" s="22" t="s">
        <v>36</v>
      </c>
      <c r="S663" s="19" t="s">
        <v>29</v>
      </c>
      <c r="T663" s="19" t="s">
        <v>30</v>
      </c>
      <c r="U663" s="31" t="s">
        <v>31</v>
      </c>
      <c r="V663" s="41" t="n">
        <v>43432</v>
      </c>
      <c r="W663" s="18"/>
      <c r="X663" s="18"/>
    </row>
    <row r="664" customFormat="false" ht="13.8" hidden="false" customHeight="false" outlineLevel="0" collapsed="false">
      <c r="A664" s="18"/>
      <c r="B664" s="19" t="n">
        <v>6257</v>
      </c>
      <c r="C664" s="20" t="n">
        <v>43312</v>
      </c>
      <c r="D664" s="38" t="s">
        <v>22</v>
      </c>
      <c r="E664" s="22" t="s">
        <v>369</v>
      </c>
      <c r="F664" s="34" t="s">
        <v>46</v>
      </c>
      <c r="G664" s="19" t="n">
        <v>52</v>
      </c>
      <c r="H664" s="19" t="n">
        <v>37</v>
      </c>
      <c r="I664" s="19" t="n">
        <v>5</v>
      </c>
      <c r="J664" s="19" t="n">
        <v>58.22</v>
      </c>
      <c r="K664" s="39" t="n">
        <v>484000</v>
      </c>
      <c r="L664" s="39" t="n">
        <f aca="false">ROUND(K664/J664,2)</f>
        <v>8313.29</v>
      </c>
      <c r="M664" s="34"/>
      <c r="N664" s="40"/>
      <c r="O664" s="30" t="n">
        <f aca="false">K664+N664</f>
        <v>484000</v>
      </c>
      <c r="P664" s="39" t="n">
        <f aca="false">ROUND(O664/J664,2)</f>
        <v>8313.29</v>
      </c>
      <c r="Q664" s="19" t="s">
        <v>952</v>
      </c>
      <c r="R664" s="22" t="s">
        <v>26</v>
      </c>
      <c r="S664" s="19" t="s">
        <v>29</v>
      </c>
      <c r="T664" s="19" t="s">
        <v>30</v>
      </c>
      <c r="U664" s="31" t="s">
        <v>31</v>
      </c>
      <c r="V664" s="41" t="n">
        <v>43432</v>
      </c>
      <c r="W664" s="34"/>
      <c r="X664" s="34"/>
    </row>
    <row r="665" customFormat="false" ht="13.8" hidden="false" customHeight="false" outlineLevel="0" collapsed="false">
      <c r="A665" s="18"/>
      <c r="B665" s="19" t="n">
        <v>4435</v>
      </c>
      <c r="C665" s="20" t="n">
        <v>43312</v>
      </c>
      <c r="D665" s="21" t="s">
        <v>22</v>
      </c>
      <c r="E665" s="22" t="s">
        <v>389</v>
      </c>
      <c r="F665" s="34" t="s">
        <v>46</v>
      </c>
      <c r="G665" s="19" t="n">
        <v>152</v>
      </c>
      <c r="H665" s="19" t="n">
        <v>18</v>
      </c>
      <c r="I665" s="19" t="n">
        <v>4</v>
      </c>
      <c r="J665" s="19" t="n">
        <v>78.62</v>
      </c>
      <c r="K665" s="39" t="n">
        <v>760000</v>
      </c>
      <c r="L665" s="39" t="n">
        <f aca="false">ROUND(K665/J665,2)</f>
        <v>9666.75</v>
      </c>
      <c r="M665" s="34" t="s">
        <v>953</v>
      </c>
      <c r="N665" s="40"/>
      <c r="O665" s="30" t="n">
        <f aca="false">K665+N665</f>
        <v>760000</v>
      </c>
      <c r="P665" s="39" t="n">
        <f aca="false">ROUND(O665/J665,2)</f>
        <v>9666.75</v>
      </c>
      <c r="Q665" s="19" t="s">
        <v>954</v>
      </c>
      <c r="R665" s="22" t="s">
        <v>49</v>
      </c>
      <c r="S665" s="19" t="s">
        <v>29</v>
      </c>
      <c r="T665" s="19" t="s">
        <v>30</v>
      </c>
      <c r="U665" s="31" t="s">
        <v>31</v>
      </c>
      <c r="V665" s="41" t="n">
        <v>43432</v>
      </c>
      <c r="W665" s="18"/>
      <c r="X665" s="18"/>
      <c r="AMJ665" s="32"/>
    </row>
    <row r="666" s="32" customFormat="true" ht="13.8" hidden="false" customHeight="false" outlineLevel="0" collapsed="false">
      <c r="A666" s="18"/>
      <c r="B666" s="19" t="n">
        <v>30613</v>
      </c>
      <c r="C666" s="20" t="n">
        <v>43312</v>
      </c>
      <c r="D666" s="38" t="s">
        <v>22</v>
      </c>
      <c r="E666" s="22" t="s">
        <v>235</v>
      </c>
      <c r="F666" s="34" t="s">
        <v>456</v>
      </c>
      <c r="G666" s="19" t="n">
        <v>3</v>
      </c>
      <c r="H666" s="19" t="n">
        <v>5</v>
      </c>
      <c r="I666" s="19" t="n">
        <v>2</v>
      </c>
      <c r="J666" s="19" t="n">
        <v>49.05</v>
      </c>
      <c r="K666" s="39" t="n">
        <v>430000</v>
      </c>
      <c r="L666" s="39" t="n">
        <f aca="false">ROUND(K666/J666,2)</f>
        <v>8766.56</v>
      </c>
      <c r="M666" s="34" t="s">
        <v>189</v>
      </c>
      <c r="N666" s="40"/>
      <c r="O666" s="30" t="n">
        <f aca="false">K666+N666</f>
        <v>430000</v>
      </c>
      <c r="P666" s="39" t="n">
        <f aca="false">ROUND(O666/J666,2)</f>
        <v>8766.56</v>
      </c>
      <c r="Q666" s="19" t="s">
        <v>952</v>
      </c>
      <c r="R666" s="22" t="s">
        <v>26</v>
      </c>
      <c r="S666" s="19" t="s">
        <v>29</v>
      </c>
      <c r="T666" s="19" t="s">
        <v>30</v>
      </c>
      <c r="U666" s="31" t="s">
        <v>31</v>
      </c>
      <c r="V666" s="41" t="n">
        <v>43432</v>
      </c>
      <c r="W666" s="18"/>
      <c r="X666" s="18"/>
    </row>
    <row r="667" customFormat="false" ht="13.8" hidden="false" customHeight="false" outlineLevel="0" collapsed="false">
      <c r="A667" s="18"/>
      <c r="B667" s="19" t="n">
        <v>5473</v>
      </c>
      <c r="C667" s="20" t="n">
        <v>43313</v>
      </c>
      <c r="D667" s="38" t="s">
        <v>22</v>
      </c>
      <c r="E667" s="22" t="s">
        <v>187</v>
      </c>
      <c r="F667" s="34" t="s">
        <v>955</v>
      </c>
      <c r="G667" s="19" t="s">
        <v>956</v>
      </c>
      <c r="H667" s="19" t="n">
        <v>74</v>
      </c>
      <c r="I667" s="19" t="n">
        <v>5</v>
      </c>
      <c r="J667" s="19" t="n">
        <v>59.08</v>
      </c>
      <c r="K667" s="39" t="n">
        <v>527500</v>
      </c>
      <c r="L667" s="39" t="n">
        <f aca="false">ROUND(K667/J667,2)</f>
        <v>8928.57</v>
      </c>
      <c r="M667" s="34"/>
      <c r="N667" s="40"/>
      <c r="O667" s="30" t="n">
        <f aca="false">K667+N667</f>
        <v>527500</v>
      </c>
      <c r="P667" s="39" t="n">
        <f aca="false">ROUND(O667/J667,2)</f>
        <v>8928.57</v>
      </c>
      <c r="Q667" s="19" t="s">
        <v>946</v>
      </c>
      <c r="R667" s="22" t="s">
        <v>49</v>
      </c>
      <c r="S667" s="19" t="s">
        <v>29</v>
      </c>
      <c r="T667" s="19" t="s">
        <v>30</v>
      </c>
      <c r="U667" s="31" t="s">
        <v>31</v>
      </c>
      <c r="V667" s="41" t="n">
        <v>43432</v>
      </c>
      <c r="W667" s="18"/>
      <c r="X667" s="18"/>
    </row>
    <row r="668" customFormat="false" ht="13.8" hidden="false" customHeight="false" outlineLevel="0" collapsed="false">
      <c r="A668" s="18"/>
      <c r="B668" s="19" t="n">
        <v>1882</v>
      </c>
      <c r="C668" s="20" t="n">
        <v>43313</v>
      </c>
      <c r="D668" s="21" t="s">
        <v>22</v>
      </c>
      <c r="E668" s="22" t="s">
        <v>61</v>
      </c>
      <c r="F668" s="34" t="s">
        <v>957</v>
      </c>
      <c r="G668" s="19" t="s">
        <v>213</v>
      </c>
      <c r="H668" s="19" t="n">
        <v>88</v>
      </c>
      <c r="I668" s="19" t="n">
        <v>4</v>
      </c>
      <c r="J668" s="19" t="n">
        <v>53.31</v>
      </c>
      <c r="K668" s="39" t="n">
        <v>414000</v>
      </c>
      <c r="L668" s="39" t="n">
        <f aca="false">ROUND(K668/J668,2)</f>
        <v>7765.9</v>
      </c>
      <c r="M668" s="34"/>
      <c r="N668" s="40"/>
      <c r="O668" s="30" t="n">
        <f aca="false">K668+N668</f>
        <v>414000</v>
      </c>
      <c r="P668" s="39" t="n">
        <f aca="false">ROUND(O668/J668,2)</f>
        <v>7765.9</v>
      </c>
      <c r="Q668" s="19" t="s">
        <v>946</v>
      </c>
      <c r="R668" s="22" t="s">
        <v>49</v>
      </c>
      <c r="S668" s="19" t="s">
        <v>29</v>
      </c>
      <c r="T668" s="19" t="s">
        <v>30</v>
      </c>
      <c r="U668" s="31" t="s">
        <v>31</v>
      </c>
      <c r="V668" s="41" t="n">
        <v>43432</v>
      </c>
      <c r="W668" s="34"/>
      <c r="X668" s="34"/>
    </row>
    <row r="669" customFormat="false" ht="13.8" hidden="false" customHeight="false" outlineLevel="0" collapsed="false">
      <c r="A669" s="18"/>
      <c r="B669" s="19" t="n">
        <v>2314</v>
      </c>
      <c r="C669" s="20" t="n">
        <v>43313</v>
      </c>
      <c r="D669" s="38" t="s">
        <v>22</v>
      </c>
      <c r="E669" s="22" t="s">
        <v>284</v>
      </c>
      <c r="F669" s="34" t="s">
        <v>534</v>
      </c>
      <c r="G669" s="19" t="n">
        <v>6</v>
      </c>
      <c r="H669" s="19" t="n">
        <v>2</v>
      </c>
      <c r="I669" s="19" t="n">
        <v>1</v>
      </c>
      <c r="J669" s="19" t="n">
        <v>44.71</v>
      </c>
      <c r="K669" s="39" t="n">
        <v>393000</v>
      </c>
      <c r="L669" s="39" t="n">
        <f aca="false">ROUND(K669/J669,2)</f>
        <v>8789.98</v>
      </c>
      <c r="M669" s="34"/>
      <c r="N669" s="40"/>
      <c r="O669" s="30" t="n">
        <f aca="false">K669+N669</f>
        <v>393000</v>
      </c>
      <c r="P669" s="39" t="n">
        <f aca="false">ROUND(O669/J669,2)</f>
        <v>8789.98</v>
      </c>
      <c r="Q669" s="19" t="s">
        <v>958</v>
      </c>
      <c r="R669" s="22" t="s">
        <v>26</v>
      </c>
      <c r="S669" s="19" t="s">
        <v>29</v>
      </c>
      <c r="T669" s="19" t="s">
        <v>30</v>
      </c>
      <c r="U669" s="31" t="s">
        <v>31</v>
      </c>
      <c r="V669" s="41" t="n">
        <v>43432</v>
      </c>
      <c r="W669" s="34"/>
      <c r="X669" s="34"/>
    </row>
    <row r="670" customFormat="false" ht="13.8" hidden="false" customHeight="false" outlineLevel="0" collapsed="false">
      <c r="A670" s="18"/>
      <c r="B670" s="19" t="n">
        <v>3004</v>
      </c>
      <c r="C670" s="20" t="n">
        <v>43313</v>
      </c>
      <c r="D670" s="38" t="s">
        <v>22</v>
      </c>
      <c r="E670" s="22" t="s">
        <v>572</v>
      </c>
      <c r="F670" s="34" t="s">
        <v>959</v>
      </c>
      <c r="G670" s="19" t="n">
        <v>3</v>
      </c>
      <c r="H670" s="19" t="n">
        <v>113</v>
      </c>
      <c r="I670" s="19" t="n">
        <v>1</v>
      </c>
      <c r="J670" s="19" t="n">
        <v>47.3</v>
      </c>
      <c r="K670" s="39" t="n">
        <v>349000</v>
      </c>
      <c r="L670" s="39" t="n">
        <f aca="false">ROUND(K670/J670,2)</f>
        <v>7378.44</v>
      </c>
      <c r="M670" s="34" t="s">
        <v>960</v>
      </c>
      <c r="N670" s="40"/>
      <c r="O670" s="30" t="n">
        <f aca="false">K670+N670</f>
        <v>349000</v>
      </c>
      <c r="P670" s="39" t="n">
        <f aca="false">ROUND(O670/J670,2)</f>
        <v>7378.44</v>
      </c>
      <c r="Q670" s="19" t="s">
        <v>958</v>
      </c>
      <c r="R670" s="22" t="s">
        <v>26</v>
      </c>
      <c r="S670" s="19" t="s">
        <v>29</v>
      </c>
      <c r="T670" s="19" t="s">
        <v>30</v>
      </c>
      <c r="U670" s="31" t="s">
        <v>31</v>
      </c>
      <c r="V670" s="41" t="n">
        <v>43432</v>
      </c>
      <c r="W670" s="18"/>
      <c r="X670" s="18"/>
    </row>
    <row r="671" customFormat="false" ht="13.8" hidden="false" customHeight="false" outlineLevel="0" collapsed="false">
      <c r="A671" s="18"/>
      <c r="B671" s="19" t="n">
        <v>1437</v>
      </c>
      <c r="C671" s="20" t="n">
        <v>43314</v>
      </c>
      <c r="D671" s="38" t="s">
        <v>22</v>
      </c>
      <c r="E671" s="22" t="s">
        <v>171</v>
      </c>
      <c r="F671" s="34" t="s">
        <v>221</v>
      </c>
      <c r="G671" s="19" t="n">
        <v>8</v>
      </c>
      <c r="H671" s="19" t="n">
        <v>21</v>
      </c>
      <c r="I671" s="19" t="n">
        <v>1</v>
      </c>
      <c r="J671" s="19" t="n">
        <v>36.17</v>
      </c>
      <c r="K671" s="39" t="n">
        <v>365000</v>
      </c>
      <c r="L671" s="39" t="n">
        <f aca="false">ROUND(K671/J671,2)</f>
        <v>10091.24</v>
      </c>
      <c r="M671" s="34"/>
      <c r="N671" s="40"/>
      <c r="O671" s="30" t="n">
        <f aca="false">K671+N671</f>
        <v>365000</v>
      </c>
      <c r="P671" s="39" t="n">
        <f aca="false">ROUND(O671/J671,2)</f>
        <v>10091.24</v>
      </c>
      <c r="Q671" s="19" t="s">
        <v>961</v>
      </c>
      <c r="R671" s="22" t="s">
        <v>26</v>
      </c>
      <c r="S671" s="19" t="s">
        <v>29</v>
      </c>
      <c r="T671" s="19" t="s">
        <v>30</v>
      </c>
      <c r="U671" s="31" t="s">
        <v>31</v>
      </c>
      <c r="V671" s="41" t="n">
        <v>43432</v>
      </c>
      <c r="W671" s="18"/>
      <c r="X671" s="18"/>
    </row>
    <row r="672" customFormat="false" ht="13.8" hidden="false" customHeight="false" outlineLevel="0" collapsed="false">
      <c r="A672" s="18"/>
      <c r="B672" s="19" t="n">
        <v>1800</v>
      </c>
      <c r="C672" s="20" t="n">
        <v>43314</v>
      </c>
      <c r="D672" s="21" t="s">
        <v>22</v>
      </c>
      <c r="E672" s="22" t="s">
        <v>962</v>
      </c>
      <c r="F672" s="34" t="s">
        <v>963</v>
      </c>
      <c r="G672" s="19" t="n">
        <v>1</v>
      </c>
      <c r="H672" s="19" t="n">
        <v>27</v>
      </c>
      <c r="I672" s="19" t="n">
        <v>7</v>
      </c>
      <c r="J672" s="19" t="n">
        <v>166.66</v>
      </c>
      <c r="K672" s="39" t="n">
        <v>1757373.13</v>
      </c>
      <c r="L672" s="39" t="n">
        <f aca="false">ROUND(K672/J672,2)</f>
        <v>10544.66</v>
      </c>
      <c r="M672" s="34"/>
      <c r="N672" s="40"/>
      <c r="O672" s="30" t="n">
        <f aca="false">K672+N672</f>
        <v>1757373.13</v>
      </c>
      <c r="P672" s="39" t="n">
        <f aca="false">ROUND(O672/J672,2)</f>
        <v>10544.66</v>
      </c>
      <c r="Q672" s="19" t="s">
        <v>964</v>
      </c>
      <c r="R672" s="22" t="s">
        <v>57</v>
      </c>
      <c r="S672" s="19" t="s">
        <v>29</v>
      </c>
      <c r="T672" s="19" t="s">
        <v>30</v>
      </c>
      <c r="U672" s="31" t="s">
        <v>31</v>
      </c>
      <c r="V672" s="41" t="n">
        <v>43432</v>
      </c>
      <c r="W672" s="34"/>
      <c r="X672" s="34"/>
    </row>
    <row r="673" customFormat="false" ht="13.8" hidden="false" customHeight="false" outlineLevel="0" collapsed="false">
      <c r="A673" s="18"/>
      <c r="B673" s="19" t="n">
        <v>1490</v>
      </c>
      <c r="C673" s="20" t="n">
        <v>43314</v>
      </c>
      <c r="D673" s="21" t="s">
        <v>22</v>
      </c>
      <c r="E673" s="22" t="s">
        <v>109</v>
      </c>
      <c r="F673" s="34" t="s">
        <v>404</v>
      </c>
      <c r="G673" s="19" t="n">
        <v>53</v>
      </c>
      <c r="H673" s="19" t="n">
        <v>18</v>
      </c>
      <c r="I673" s="19" t="n">
        <v>2</v>
      </c>
      <c r="J673" s="19" t="n">
        <v>46.15</v>
      </c>
      <c r="K673" s="39" t="n">
        <v>400000</v>
      </c>
      <c r="L673" s="39" t="n">
        <f aca="false">ROUND(K673/J673,2)</f>
        <v>8667.39</v>
      </c>
      <c r="M673" s="34" t="s">
        <v>189</v>
      </c>
      <c r="N673" s="40"/>
      <c r="O673" s="30" t="n">
        <f aca="false">K673+N673</f>
        <v>400000</v>
      </c>
      <c r="P673" s="39" t="n">
        <f aca="false">ROUND(O673/J673,2)</f>
        <v>8667.39</v>
      </c>
      <c r="Q673" s="19" t="s">
        <v>925</v>
      </c>
      <c r="R673" s="22" t="s">
        <v>26</v>
      </c>
      <c r="S673" s="19" t="s">
        <v>29</v>
      </c>
      <c r="T673" s="19" t="s">
        <v>30</v>
      </c>
      <c r="U673" s="31" t="s">
        <v>31</v>
      </c>
      <c r="V673" s="41" t="n">
        <v>43432</v>
      </c>
      <c r="W673" s="18"/>
      <c r="X673" s="18"/>
    </row>
    <row r="674" customFormat="false" ht="13.8" hidden="false" customHeight="false" outlineLevel="0" collapsed="false">
      <c r="A674" s="18"/>
      <c r="B674" s="19" t="n">
        <v>1303</v>
      </c>
      <c r="C674" s="20" t="n">
        <v>43314</v>
      </c>
      <c r="D674" s="38" t="s">
        <v>22</v>
      </c>
      <c r="E674" s="22" t="s">
        <v>23</v>
      </c>
      <c r="F674" s="34" t="s">
        <v>387</v>
      </c>
      <c r="G674" s="19" t="n">
        <v>57</v>
      </c>
      <c r="H674" s="19" t="n">
        <v>69</v>
      </c>
      <c r="I674" s="19" t="n">
        <v>4</v>
      </c>
      <c r="J674" s="19" t="n">
        <v>39.72</v>
      </c>
      <c r="K674" s="39" t="n">
        <v>330000</v>
      </c>
      <c r="L674" s="39" t="n">
        <f aca="false">ROUND(K674/J674,2)</f>
        <v>8308.16</v>
      </c>
      <c r="M674" s="34" t="s">
        <v>189</v>
      </c>
      <c r="N674" s="40"/>
      <c r="O674" s="30" t="n">
        <f aca="false">K674+N674</f>
        <v>330000</v>
      </c>
      <c r="P674" s="39" t="n">
        <f aca="false">ROUND(O674/J674,2)</f>
        <v>8308.16</v>
      </c>
      <c r="Q674" s="19" t="s">
        <v>945</v>
      </c>
      <c r="R674" s="22" t="s">
        <v>36</v>
      </c>
      <c r="S674" s="19" t="s">
        <v>29</v>
      </c>
      <c r="T674" s="19" t="s">
        <v>30</v>
      </c>
      <c r="U674" s="31" t="s">
        <v>31</v>
      </c>
      <c r="V674" s="41" t="n">
        <v>43432</v>
      </c>
      <c r="W674" s="18"/>
      <c r="X674" s="18"/>
      <c r="AMJ674" s="32"/>
    </row>
    <row r="675" s="32" customFormat="true" ht="13.8" hidden="false" customHeight="false" outlineLevel="0" collapsed="false">
      <c r="A675" s="18"/>
      <c r="B675" s="19" t="n">
        <v>787</v>
      </c>
      <c r="C675" s="20" t="n">
        <v>43314</v>
      </c>
      <c r="D675" s="21" t="s">
        <v>22</v>
      </c>
      <c r="E675" s="22" t="s">
        <v>229</v>
      </c>
      <c r="F675" s="34" t="s">
        <v>230</v>
      </c>
      <c r="G675" s="19" t="n">
        <v>59</v>
      </c>
      <c r="H675" s="19" t="n">
        <v>102</v>
      </c>
      <c r="I675" s="19" t="n">
        <v>9</v>
      </c>
      <c r="J675" s="19" t="n">
        <v>92.8</v>
      </c>
      <c r="K675" s="39" t="n">
        <v>750000</v>
      </c>
      <c r="L675" s="39" t="n">
        <f aca="false">ROUND(K675/J675,2)</f>
        <v>8081.9</v>
      </c>
      <c r="M675" s="34" t="s">
        <v>965</v>
      </c>
      <c r="N675" s="40" t="n">
        <v>15000</v>
      </c>
      <c r="O675" s="30" t="n">
        <f aca="false">K675+N675</f>
        <v>765000</v>
      </c>
      <c r="P675" s="39" t="n">
        <f aca="false">ROUND(O675/J675,2)</f>
        <v>8243.53</v>
      </c>
      <c r="Q675" s="19" t="s">
        <v>966</v>
      </c>
      <c r="R675" s="22" t="s">
        <v>26</v>
      </c>
      <c r="S675" s="19" t="s">
        <v>29</v>
      </c>
      <c r="T675" s="19" t="s">
        <v>30</v>
      </c>
      <c r="U675" s="31" t="s">
        <v>31</v>
      </c>
      <c r="V675" s="41" t="n">
        <v>43432</v>
      </c>
      <c r="W675" s="18"/>
      <c r="X675" s="18"/>
    </row>
    <row r="676" customFormat="false" ht="13.8" hidden="false" customHeight="false" outlineLevel="0" collapsed="false">
      <c r="A676" s="18"/>
      <c r="B676" s="19" t="n">
        <v>4307</v>
      </c>
      <c r="C676" s="20" t="n">
        <v>43314</v>
      </c>
      <c r="D676" s="38" t="s">
        <v>22</v>
      </c>
      <c r="E676" s="22" t="s">
        <v>53</v>
      </c>
      <c r="F676" s="34" t="s">
        <v>46</v>
      </c>
      <c r="G676" s="19" t="n">
        <v>257</v>
      </c>
      <c r="H676" s="19" t="n">
        <v>282</v>
      </c>
      <c r="I676" s="19" t="n">
        <v>7</v>
      </c>
      <c r="J676" s="19" t="n">
        <v>108.97</v>
      </c>
      <c r="K676" s="39" t="n">
        <v>1160000</v>
      </c>
      <c r="L676" s="39" t="n">
        <f aca="false">ROUND(K676/J676,2)</f>
        <v>10645.13</v>
      </c>
      <c r="M676" s="34" t="s">
        <v>967</v>
      </c>
      <c r="N676" s="40"/>
      <c r="O676" s="30" t="n">
        <f aca="false">K676+N676</f>
        <v>1160000</v>
      </c>
      <c r="P676" s="39" t="n">
        <f aca="false">ROUND(O676/J676,2)</f>
        <v>10645.13</v>
      </c>
      <c r="Q676" s="19" t="s">
        <v>968</v>
      </c>
      <c r="R676" s="22" t="s">
        <v>57</v>
      </c>
      <c r="S676" s="19" t="s">
        <v>29</v>
      </c>
      <c r="T676" s="19" t="s">
        <v>30</v>
      </c>
      <c r="U676" s="31" t="s">
        <v>31</v>
      </c>
      <c r="V676" s="41" t="n">
        <v>43432</v>
      </c>
      <c r="W676" s="18"/>
      <c r="X676" s="18"/>
      <c r="Y676" s="35"/>
      <c r="Z676" s="36"/>
    </row>
    <row r="677" customFormat="false" ht="13.8" hidden="false" customHeight="false" outlineLevel="0" collapsed="false">
      <c r="A677" s="18"/>
      <c r="B677" s="19" t="n">
        <v>7313</v>
      </c>
      <c r="C677" s="20" t="n">
        <v>43315</v>
      </c>
      <c r="D677" s="38" t="s">
        <v>22</v>
      </c>
      <c r="E677" s="22" t="s">
        <v>93</v>
      </c>
      <c r="F677" s="34" t="s">
        <v>955</v>
      </c>
      <c r="G677" s="19" t="s">
        <v>969</v>
      </c>
      <c r="H677" s="19" t="n">
        <v>38</v>
      </c>
      <c r="I677" s="19" t="n">
        <v>3</v>
      </c>
      <c r="J677" s="19" t="n">
        <v>37.9</v>
      </c>
      <c r="K677" s="39" t="n">
        <v>307500</v>
      </c>
      <c r="L677" s="39" t="n">
        <f aca="false">ROUND(K677/J677,2)</f>
        <v>8113.46</v>
      </c>
      <c r="M677" s="34" t="s">
        <v>970</v>
      </c>
      <c r="N677" s="40"/>
      <c r="O677" s="30" t="n">
        <f aca="false">K677+N677</f>
        <v>307500</v>
      </c>
      <c r="P677" s="39" t="n">
        <f aca="false">ROUND(O677/J677,2)</f>
        <v>8113.46</v>
      </c>
      <c r="Q677" s="19" t="s">
        <v>958</v>
      </c>
      <c r="R677" s="22" t="s">
        <v>26</v>
      </c>
      <c r="S677" s="19" t="s">
        <v>29</v>
      </c>
      <c r="T677" s="19" t="s">
        <v>30</v>
      </c>
      <c r="U677" s="31" t="s">
        <v>31</v>
      </c>
      <c r="V677" s="41" t="n">
        <v>43432</v>
      </c>
      <c r="W677" s="18"/>
      <c r="X677" s="18"/>
    </row>
    <row r="678" customFormat="false" ht="13.8" hidden="false" customHeight="false" outlineLevel="0" collapsed="false">
      <c r="A678" s="18"/>
      <c r="B678" s="19" t="n">
        <v>4097</v>
      </c>
      <c r="C678" s="20" t="n">
        <v>43315</v>
      </c>
      <c r="D678" s="38" t="s">
        <v>22</v>
      </c>
      <c r="E678" s="22" t="s">
        <v>75</v>
      </c>
      <c r="F678" s="34" t="s">
        <v>76</v>
      </c>
      <c r="G678" s="19" t="n">
        <v>89</v>
      </c>
      <c r="H678" s="19" t="n">
        <v>43</v>
      </c>
      <c r="I678" s="19" t="n">
        <v>4</v>
      </c>
      <c r="J678" s="19" t="n">
        <v>66.8</v>
      </c>
      <c r="K678" s="39" t="n">
        <v>600000</v>
      </c>
      <c r="L678" s="39" t="n">
        <f aca="false">ROUND(K678/J678,2)</f>
        <v>8982.04</v>
      </c>
      <c r="M678" s="34" t="s">
        <v>971</v>
      </c>
      <c r="N678" s="40" t="n">
        <f aca="false">23000+1000</f>
        <v>24000</v>
      </c>
      <c r="O678" s="30" t="n">
        <f aca="false">K678+N678</f>
        <v>624000</v>
      </c>
      <c r="P678" s="39" t="n">
        <f aca="false">ROUND(O678/J678,2)</f>
        <v>9341.32</v>
      </c>
      <c r="Q678" s="19" t="s">
        <v>972</v>
      </c>
      <c r="R678" s="22" t="s">
        <v>36</v>
      </c>
      <c r="S678" s="19" t="s">
        <v>29</v>
      </c>
      <c r="T678" s="19" t="s">
        <v>30</v>
      </c>
      <c r="U678" s="31" t="s">
        <v>31</v>
      </c>
      <c r="V678" s="41" t="n">
        <v>43432</v>
      </c>
      <c r="W678" s="18"/>
      <c r="X678" s="18"/>
    </row>
    <row r="679" customFormat="false" ht="13.8" hidden="false" customHeight="false" outlineLevel="0" collapsed="false">
      <c r="A679" s="18"/>
      <c r="B679" s="19" t="n">
        <v>5093</v>
      </c>
      <c r="C679" s="20" t="n">
        <v>43315</v>
      </c>
      <c r="D679" s="38" t="s">
        <v>22</v>
      </c>
      <c r="E679" s="22" t="s">
        <v>527</v>
      </c>
      <c r="F679" s="34" t="s">
        <v>973</v>
      </c>
      <c r="G679" s="19" t="n">
        <v>17</v>
      </c>
      <c r="H679" s="19" t="n">
        <v>32</v>
      </c>
      <c r="I679" s="19" t="n">
        <v>5</v>
      </c>
      <c r="J679" s="19" t="n">
        <v>143.72</v>
      </c>
      <c r="K679" s="39" t="n">
        <v>2120000</v>
      </c>
      <c r="L679" s="39" t="n">
        <f aca="false">ROUND(K679/J679,2)</f>
        <v>14750.9</v>
      </c>
      <c r="M679" s="34" t="s">
        <v>974</v>
      </c>
      <c r="N679" s="40"/>
      <c r="O679" s="30" t="n">
        <f aca="false">K679+N679</f>
        <v>2120000</v>
      </c>
      <c r="P679" s="39" t="n">
        <f aca="false">ROUND(O679/J679,2)</f>
        <v>14750.9</v>
      </c>
      <c r="Q679" s="19" t="s">
        <v>975</v>
      </c>
      <c r="R679" s="22" t="s">
        <v>26</v>
      </c>
      <c r="S679" s="19" t="s">
        <v>29</v>
      </c>
      <c r="T679" s="19" t="s">
        <v>30</v>
      </c>
      <c r="U679" s="31" t="s">
        <v>31</v>
      </c>
      <c r="V679" s="41" t="n">
        <v>43432</v>
      </c>
      <c r="W679" s="34"/>
      <c r="X679" s="34"/>
    </row>
    <row r="680" customFormat="false" ht="13.8" hidden="false" customHeight="false" outlineLevel="0" collapsed="false">
      <c r="A680" s="18"/>
      <c r="B680" s="19" t="n">
        <v>2199</v>
      </c>
      <c r="C680" s="20" t="n">
        <v>43315</v>
      </c>
      <c r="D680" s="38" t="s">
        <v>22</v>
      </c>
      <c r="E680" s="22" t="s">
        <v>93</v>
      </c>
      <c r="F680" s="34" t="s">
        <v>402</v>
      </c>
      <c r="G680" s="19" t="s">
        <v>976</v>
      </c>
      <c r="H680" s="19" t="n">
        <v>46</v>
      </c>
      <c r="I680" s="19" t="n">
        <v>4</v>
      </c>
      <c r="J680" s="19" t="n">
        <v>31.3</v>
      </c>
      <c r="K680" s="39" t="n">
        <v>279000</v>
      </c>
      <c r="L680" s="39" t="n">
        <f aca="false">ROUND(K680/J680,2)</f>
        <v>8913.74</v>
      </c>
      <c r="M680" s="34"/>
      <c r="N680" s="40"/>
      <c r="O680" s="30" t="n">
        <f aca="false">K680+N680</f>
        <v>279000</v>
      </c>
      <c r="P680" s="39" t="n">
        <f aca="false">ROUND(O680/J680,2)</f>
        <v>8913.74</v>
      </c>
      <c r="Q680" s="19" t="s">
        <v>977</v>
      </c>
      <c r="R680" s="22" t="s">
        <v>36</v>
      </c>
      <c r="S680" s="19" t="s">
        <v>29</v>
      </c>
      <c r="T680" s="19" t="s">
        <v>30</v>
      </c>
      <c r="U680" s="31" t="s">
        <v>31</v>
      </c>
      <c r="V680" s="41" t="n">
        <v>43432</v>
      </c>
      <c r="W680" s="18"/>
      <c r="X680" s="18"/>
    </row>
    <row r="681" customFormat="false" ht="13.8" hidden="false" customHeight="false" outlineLevel="0" collapsed="false">
      <c r="A681" s="18"/>
      <c r="B681" s="19" t="n">
        <v>5336</v>
      </c>
      <c r="C681" s="20" t="n">
        <v>43315</v>
      </c>
      <c r="D681" s="38" t="s">
        <v>22</v>
      </c>
      <c r="E681" s="22" t="s">
        <v>407</v>
      </c>
      <c r="F681" s="34" t="s">
        <v>978</v>
      </c>
      <c r="G681" s="19" t="n">
        <v>9</v>
      </c>
      <c r="H681" s="19" t="n">
        <v>2</v>
      </c>
      <c r="I681" s="19" t="n">
        <v>1</v>
      </c>
      <c r="J681" s="19" t="n">
        <v>119.71</v>
      </c>
      <c r="K681" s="39" t="n">
        <v>1525000</v>
      </c>
      <c r="L681" s="39" t="n">
        <f aca="false">ROUND(K681/J681,2)</f>
        <v>12739.12</v>
      </c>
      <c r="M681" s="34" t="s">
        <v>979</v>
      </c>
      <c r="N681" s="40" t="n">
        <v>55000</v>
      </c>
      <c r="O681" s="30" t="n">
        <f aca="false">K681+N681</f>
        <v>1580000</v>
      </c>
      <c r="P681" s="39" t="n">
        <f aca="false">ROUND(O681/J681,2)</f>
        <v>13198.56</v>
      </c>
      <c r="Q681" s="19" t="s">
        <v>980</v>
      </c>
      <c r="R681" s="22" t="s">
        <v>49</v>
      </c>
      <c r="S681" s="19" t="s">
        <v>29</v>
      </c>
      <c r="T681" s="19" t="s">
        <v>30</v>
      </c>
      <c r="U681" s="31" t="s">
        <v>31</v>
      </c>
      <c r="V681" s="41" t="n">
        <v>43432</v>
      </c>
      <c r="W681" s="18"/>
      <c r="X681" s="18"/>
    </row>
    <row r="682" customFormat="false" ht="13.8" hidden="false" customHeight="false" outlineLevel="0" collapsed="false">
      <c r="A682" s="18"/>
      <c r="B682" s="19" t="n">
        <v>4624</v>
      </c>
      <c r="C682" s="20" t="n">
        <v>43315</v>
      </c>
      <c r="D682" s="38" t="s">
        <v>22</v>
      </c>
      <c r="E682" s="22" t="s">
        <v>480</v>
      </c>
      <c r="F682" s="34" t="s">
        <v>261</v>
      </c>
      <c r="G682" s="19" t="n">
        <v>15</v>
      </c>
      <c r="H682" s="19" t="n">
        <v>4</v>
      </c>
      <c r="I682" s="19" t="n">
        <v>2</v>
      </c>
      <c r="J682" s="19" t="n">
        <v>59.9</v>
      </c>
      <c r="K682" s="39" t="n">
        <v>520000</v>
      </c>
      <c r="L682" s="39" t="n">
        <f aca="false">ROUND(K682/J682,2)</f>
        <v>8681.14</v>
      </c>
      <c r="M682" s="34" t="s">
        <v>981</v>
      </c>
      <c r="N682" s="40"/>
      <c r="O682" s="30" t="n">
        <f aca="false">K682+N682</f>
        <v>520000</v>
      </c>
      <c r="P682" s="39" t="n">
        <f aca="false">ROUND(O682/J682,2)</f>
        <v>8681.14</v>
      </c>
      <c r="Q682" s="19" t="s">
        <v>925</v>
      </c>
      <c r="R682" s="22" t="s">
        <v>26</v>
      </c>
      <c r="S682" s="19" t="s">
        <v>29</v>
      </c>
      <c r="T682" s="19" t="s">
        <v>30</v>
      </c>
      <c r="U682" s="31" t="s">
        <v>31</v>
      </c>
      <c r="V682" s="41" t="n">
        <v>43432</v>
      </c>
      <c r="W682" s="18"/>
      <c r="X682" s="18"/>
      <c r="AMJ682" s="32"/>
    </row>
    <row r="683" s="32" customFormat="true" ht="13.8" hidden="false" customHeight="false" outlineLevel="0" collapsed="false">
      <c r="A683" s="18"/>
      <c r="B683" s="19" t="n">
        <v>4180</v>
      </c>
      <c r="C683" s="20" t="n">
        <v>43315</v>
      </c>
      <c r="D683" s="38" t="s">
        <v>22</v>
      </c>
      <c r="E683" s="22" t="s">
        <v>148</v>
      </c>
      <c r="F683" s="34" t="s">
        <v>149</v>
      </c>
      <c r="G683" s="19" t="n">
        <v>5</v>
      </c>
      <c r="H683" s="19" t="n">
        <v>77</v>
      </c>
      <c r="I683" s="19" t="n">
        <v>9</v>
      </c>
      <c r="J683" s="19" t="n">
        <v>31.06</v>
      </c>
      <c r="K683" s="39" t="n">
        <v>285000</v>
      </c>
      <c r="L683" s="39" t="n">
        <f aca="false">ROUND(K683/J683,2)</f>
        <v>9175.79</v>
      </c>
      <c r="M683" s="34" t="s">
        <v>189</v>
      </c>
      <c r="N683" s="40"/>
      <c r="O683" s="30" t="n">
        <f aca="false">K683+N683</f>
        <v>285000</v>
      </c>
      <c r="P683" s="39" t="n">
        <f aca="false">ROUND(O683/J683,2)</f>
        <v>9175.79</v>
      </c>
      <c r="Q683" s="19" t="s">
        <v>982</v>
      </c>
      <c r="R683" s="22" t="s">
        <v>36</v>
      </c>
      <c r="S683" s="19" t="s">
        <v>29</v>
      </c>
      <c r="T683" s="19" t="s">
        <v>30</v>
      </c>
      <c r="U683" s="31" t="s">
        <v>31</v>
      </c>
      <c r="V683" s="41" t="n">
        <v>43432</v>
      </c>
      <c r="W683" s="18"/>
      <c r="X683" s="18"/>
    </row>
    <row r="684" s="32" customFormat="true" ht="13.8" hidden="false" customHeight="false" outlineLevel="0" collapsed="false">
      <c r="A684" s="18"/>
      <c r="B684" s="19" t="n">
        <v>2151</v>
      </c>
      <c r="C684" s="20" t="n">
        <v>43315</v>
      </c>
      <c r="D684" s="38" t="s">
        <v>22</v>
      </c>
      <c r="E684" s="22" t="s">
        <v>477</v>
      </c>
      <c r="F684" s="34" t="s">
        <v>983</v>
      </c>
      <c r="G684" s="19" t="n">
        <v>15</v>
      </c>
      <c r="H684" s="19" t="n">
        <v>12</v>
      </c>
      <c r="I684" s="19" t="n">
        <v>4</v>
      </c>
      <c r="J684" s="19" t="n">
        <v>81.4</v>
      </c>
      <c r="K684" s="39" t="n">
        <v>790000</v>
      </c>
      <c r="L684" s="39" t="n">
        <f aca="false">ROUND(K684/J684,2)</f>
        <v>9705.16</v>
      </c>
      <c r="M684" s="34" t="s">
        <v>984</v>
      </c>
      <c r="N684" s="40" t="n">
        <v>30000</v>
      </c>
      <c r="O684" s="30" t="n">
        <f aca="false">K684+N684</f>
        <v>820000</v>
      </c>
      <c r="P684" s="39" t="n">
        <f aca="false">ROUND(O684/J684,2)</f>
        <v>10073.71</v>
      </c>
      <c r="Q684" s="19" t="s">
        <v>947</v>
      </c>
      <c r="R684" s="22" t="s">
        <v>49</v>
      </c>
      <c r="S684" s="19" t="s">
        <v>29</v>
      </c>
      <c r="T684" s="19" t="s">
        <v>30</v>
      </c>
      <c r="U684" s="31" t="s">
        <v>31</v>
      </c>
      <c r="V684" s="41" t="n">
        <v>43432</v>
      </c>
      <c r="W684" s="18"/>
      <c r="X684" s="18"/>
      <c r="Y684" s="35"/>
      <c r="Z684" s="36"/>
    </row>
    <row r="685" s="32" customFormat="true" ht="13.8" hidden="false" customHeight="false" outlineLevel="0" collapsed="false">
      <c r="A685" s="18"/>
      <c r="B685" s="19" t="n">
        <v>6867</v>
      </c>
      <c r="C685" s="20" t="n">
        <v>43318</v>
      </c>
      <c r="D685" s="38" t="s">
        <v>22</v>
      </c>
      <c r="E685" s="22" t="s">
        <v>129</v>
      </c>
      <c r="F685" s="34" t="s">
        <v>985</v>
      </c>
      <c r="G685" s="19" t="s">
        <v>986</v>
      </c>
      <c r="H685" s="19" t="n">
        <v>132</v>
      </c>
      <c r="I685" s="19" t="n">
        <v>7</v>
      </c>
      <c r="J685" s="19" t="n">
        <v>60.3</v>
      </c>
      <c r="K685" s="39" t="n">
        <v>550000</v>
      </c>
      <c r="L685" s="39" t="n">
        <f aca="false">ROUND(K685/J685,2)</f>
        <v>9121.06</v>
      </c>
      <c r="M685" s="34" t="s">
        <v>987</v>
      </c>
      <c r="N685" s="40" t="n">
        <v>37500</v>
      </c>
      <c r="O685" s="30" t="n">
        <f aca="false">K685+N685</f>
        <v>587500</v>
      </c>
      <c r="P685" s="39" t="n">
        <f aca="false">ROUND(O685/J685,2)</f>
        <v>9742.95</v>
      </c>
      <c r="Q685" s="19" t="s">
        <v>988</v>
      </c>
      <c r="R685" s="22" t="s">
        <v>36</v>
      </c>
      <c r="S685" s="19" t="s">
        <v>29</v>
      </c>
      <c r="T685" s="19" t="s">
        <v>30</v>
      </c>
      <c r="U685" s="31" t="s">
        <v>31</v>
      </c>
      <c r="V685" s="41" t="n">
        <v>43432</v>
      </c>
      <c r="W685" s="18"/>
      <c r="X685" s="18"/>
      <c r="Y685" s="1"/>
      <c r="Z685" s="1"/>
    </row>
    <row r="686" customFormat="false" ht="13.8" hidden="false" customHeight="false" outlineLevel="0" collapsed="false">
      <c r="A686" s="18"/>
      <c r="B686" s="19" t="n">
        <v>2123</v>
      </c>
      <c r="C686" s="20" t="n">
        <v>43318</v>
      </c>
      <c r="D686" s="38" t="s">
        <v>22</v>
      </c>
      <c r="E686" s="22" t="s">
        <v>53</v>
      </c>
      <c r="F686" s="34" t="s">
        <v>614</v>
      </c>
      <c r="G686" s="19" t="n">
        <v>7</v>
      </c>
      <c r="H686" s="19" t="n">
        <v>1117</v>
      </c>
      <c r="I686" s="19" t="n">
        <v>11</v>
      </c>
      <c r="J686" s="19" t="n">
        <v>46</v>
      </c>
      <c r="K686" s="39" t="n">
        <v>385000</v>
      </c>
      <c r="L686" s="39" t="n">
        <f aca="false">ROUND(K686/J686,2)</f>
        <v>8369.57</v>
      </c>
      <c r="M686" s="34" t="s">
        <v>989</v>
      </c>
      <c r="N686" s="40"/>
      <c r="O686" s="30" t="n">
        <f aca="false">K686+N686</f>
        <v>385000</v>
      </c>
      <c r="P686" s="39" t="n">
        <f aca="false">ROUND(O686/J686,2)</f>
        <v>8369.57</v>
      </c>
      <c r="Q686" s="19" t="s">
        <v>958</v>
      </c>
      <c r="R686" s="22" t="s">
        <v>26</v>
      </c>
      <c r="S686" s="19" t="s">
        <v>29</v>
      </c>
      <c r="T686" s="19" t="s">
        <v>30</v>
      </c>
      <c r="U686" s="31" t="s">
        <v>31</v>
      </c>
      <c r="V686" s="41" t="n">
        <v>43432</v>
      </c>
      <c r="W686" s="18"/>
      <c r="X686" s="18"/>
    </row>
    <row r="687" customFormat="false" ht="13.8" hidden="false" customHeight="false" outlineLevel="0" collapsed="false">
      <c r="A687" s="18"/>
      <c r="B687" s="19" t="n">
        <v>1827</v>
      </c>
      <c r="C687" s="20" t="n">
        <v>43318</v>
      </c>
      <c r="D687" s="38" t="s">
        <v>22</v>
      </c>
      <c r="E687" s="22" t="s">
        <v>140</v>
      </c>
      <c r="F687" s="34" t="s">
        <v>138</v>
      </c>
      <c r="G687" s="19" t="s">
        <v>990</v>
      </c>
      <c r="H687" s="19" t="n">
        <v>164</v>
      </c>
      <c r="I687" s="19" t="s">
        <v>991</v>
      </c>
      <c r="J687" s="19" t="n">
        <v>363.9</v>
      </c>
      <c r="K687" s="39" t="n">
        <v>2428200</v>
      </c>
      <c r="L687" s="39" t="n">
        <f aca="false">ROUND(K687/J687,2)</f>
        <v>6672.71</v>
      </c>
      <c r="M687" s="34" t="s">
        <v>992</v>
      </c>
      <c r="N687" s="40"/>
      <c r="O687" s="30" t="n">
        <f aca="false">K687+N687</f>
        <v>2428200</v>
      </c>
      <c r="P687" s="39" t="n">
        <f aca="false">ROUND(O687/J687,2)</f>
        <v>6672.71</v>
      </c>
      <c r="Q687" s="19" t="s">
        <v>993</v>
      </c>
      <c r="R687" s="22" t="s">
        <v>82</v>
      </c>
      <c r="S687" s="19" t="s">
        <v>29</v>
      </c>
      <c r="T687" s="19" t="s">
        <v>30</v>
      </c>
      <c r="U687" s="31" t="s">
        <v>31</v>
      </c>
      <c r="V687" s="41" t="n">
        <v>43432</v>
      </c>
      <c r="W687" s="18"/>
      <c r="X687" s="18"/>
    </row>
    <row r="688" customFormat="false" ht="13.8" hidden="false" customHeight="false" outlineLevel="0" collapsed="false">
      <c r="A688" s="18"/>
      <c r="B688" s="19" t="n">
        <v>1827</v>
      </c>
      <c r="C688" s="20" t="n">
        <v>43318</v>
      </c>
      <c r="D688" s="38" t="s">
        <v>22</v>
      </c>
      <c r="E688" s="22" t="s">
        <v>140</v>
      </c>
      <c r="F688" s="34" t="s">
        <v>138</v>
      </c>
      <c r="G688" s="19" t="s">
        <v>990</v>
      </c>
      <c r="H688" s="19" t="n">
        <v>164</v>
      </c>
      <c r="I688" s="19" t="s">
        <v>991</v>
      </c>
      <c r="J688" s="19" t="n">
        <v>363.9</v>
      </c>
      <c r="K688" s="39" t="n">
        <v>2428200</v>
      </c>
      <c r="L688" s="39" t="n">
        <f aca="false">ROUND(K688/J688,2)</f>
        <v>6672.71</v>
      </c>
      <c r="M688" s="34" t="s">
        <v>943</v>
      </c>
      <c r="N688" s="40"/>
      <c r="O688" s="30" t="n">
        <f aca="false">K688+N688</f>
        <v>2428200</v>
      </c>
      <c r="P688" s="39" t="n">
        <f aca="false">ROUND(O688/J688,2)</f>
        <v>6672.71</v>
      </c>
      <c r="Q688" s="19" t="s">
        <v>994</v>
      </c>
      <c r="R688" s="22" t="s">
        <v>25</v>
      </c>
      <c r="S688" s="19" t="s">
        <v>29</v>
      </c>
      <c r="T688" s="19" t="s">
        <v>30</v>
      </c>
      <c r="U688" s="31" t="s">
        <v>31</v>
      </c>
      <c r="V688" s="41" t="n">
        <v>43432</v>
      </c>
      <c r="W688" s="34"/>
      <c r="X688" s="34"/>
    </row>
    <row r="689" customFormat="false" ht="13.8" hidden="false" customHeight="false" outlineLevel="0" collapsed="false">
      <c r="A689" s="18"/>
      <c r="B689" s="19" t="n">
        <v>2785</v>
      </c>
      <c r="C689" s="20" t="n">
        <v>43318</v>
      </c>
      <c r="D689" s="38" t="s">
        <v>22</v>
      </c>
      <c r="E689" s="22" t="s">
        <v>265</v>
      </c>
      <c r="F689" s="34" t="s">
        <v>108</v>
      </c>
      <c r="G689" s="19" t="n">
        <v>49</v>
      </c>
      <c r="H689" s="19" t="n">
        <v>54</v>
      </c>
      <c r="I689" s="19" t="n">
        <v>2</v>
      </c>
      <c r="J689" s="19" t="n">
        <v>26.95</v>
      </c>
      <c r="K689" s="39" t="n">
        <v>270000</v>
      </c>
      <c r="L689" s="39" t="n">
        <f aca="false">ROUND(K689/J689,2)</f>
        <v>10018.55</v>
      </c>
      <c r="M689" s="18"/>
      <c r="N689" s="40"/>
      <c r="O689" s="30" t="n">
        <f aca="false">K689+N689</f>
        <v>270000</v>
      </c>
      <c r="P689" s="39" t="n">
        <f aca="false">ROUND(O689/J689,2)</f>
        <v>10018.55</v>
      </c>
      <c r="Q689" s="19" t="s">
        <v>995</v>
      </c>
      <c r="R689" s="22" t="s">
        <v>36</v>
      </c>
      <c r="S689" s="19" t="s">
        <v>29</v>
      </c>
      <c r="T689" s="19" t="s">
        <v>30</v>
      </c>
      <c r="U689" s="31" t="s">
        <v>31</v>
      </c>
      <c r="V689" s="41" t="n">
        <v>43432</v>
      </c>
      <c r="W689" s="34"/>
      <c r="X689" s="34"/>
    </row>
    <row r="690" customFormat="false" ht="13.8" hidden="false" customHeight="false" outlineLevel="0" collapsed="false">
      <c r="A690" s="18"/>
      <c r="B690" s="19" t="n">
        <v>792</v>
      </c>
      <c r="C690" s="20" t="n">
        <v>43319</v>
      </c>
      <c r="D690" s="38" t="s">
        <v>22</v>
      </c>
      <c r="E690" s="22" t="s">
        <v>171</v>
      </c>
      <c r="F690" s="34" t="s">
        <v>628</v>
      </c>
      <c r="G690" s="19" t="n">
        <v>8</v>
      </c>
      <c r="H690" s="19" t="n">
        <v>50</v>
      </c>
      <c r="I690" s="19" t="n">
        <v>4</v>
      </c>
      <c r="J690" s="19" t="n">
        <v>41.8</v>
      </c>
      <c r="K690" s="39" t="n">
        <v>354000</v>
      </c>
      <c r="L690" s="39" t="n">
        <f aca="false">ROUND(K690/J690,2)</f>
        <v>8468.9</v>
      </c>
      <c r="M690" s="18"/>
      <c r="N690" s="40"/>
      <c r="O690" s="30" t="n">
        <f aca="false">K690+N690</f>
        <v>354000</v>
      </c>
      <c r="P690" s="39" t="n">
        <f aca="false">ROUND(O690/J690,2)</f>
        <v>8468.9</v>
      </c>
      <c r="Q690" s="19" t="s">
        <v>925</v>
      </c>
      <c r="R690" s="22" t="s">
        <v>26</v>
      </c>
      <c r="S690" s="19" t="s">
        <v>29</v>
      </c>
      <c r="T690" s="19" t="s">
        <v>30</v>
      </c>
      <c r="U690" s="31" t="s">
        <v>31</v>
      </c>
      <c r="V690" s="41" t="n">
        <v>43432</v>
      </c>
      <c r="W690" s="18"/>
      <c r="X690" s="18"/>
      <c r="AMJ690" s="32"/>
    </row>
    <row r="691" s="32" customFormat="true" ht="13.8" hidden="false" customHeight="false" outlineLevel="0" collapsed="false">
      <c r="A691" s="18"/>
      <c r="B691" s="19" t="n">
        <v>3755</v>
      </c>
      <c r="C691" s="20" t="n">
        <v>43319</v>
      </c>
      <c r="D691" s="38" t="s">
        <v>22</v>
      </c>
      <c r="E691" s="22" t="s">
        <v>72</v>
      </c>
      <c r="F691" s="34" t="s">
        <v>387</v>
      </c>
      <c r="G691" s="19" t="n">
        <v>13</v>
      </c>
      <c r="H691" s="19" t="n">
        <v>12</v>
      </c>
      <c r="I691" s="19" t="n">
        <v>4</v>
      </c>
      <c r="J691" s="19" t="n">
        <v>60</v>
      </c>
      <c r="K691" s="39" t="n">
        <v>600000</v>
      </c>
      <c r="L691" s="39" t="n">
        <f aca="false">ROUND(K691/J691,2)</f>
        <v>10000</v>
      </c>
      <c r="M691" s="18"/>
      <c r="N691" s="40"/>
      <c r="O691" s="30" t="n">
        <f aca="false">K691+N691</f>
        <v>600000</v>
      </c>
      <c r="P691" s="39" t="n">
        <f aca="false">ROUND(O691/J691,2)</f>
        <v>10000</v>
      </c>
      <c r="Q691" s="19" t="s">
        <v>925</v>
      </c>
      <c r="R691" s="22" t="s">
        <v>26</v>
      </c>
      <c r="S691" s="19" t="s">
        <v>29</v>
      </c>
      <c r="T691" s="19" t="s">
        <v>30</v>
      </c>
      <c r="U691" s="31" t="s">
        <v>31</v>
      </c>
      <c r="V691" s="41" t="n">
        <v>43432</v>
      </c>
      <c r="W691" s="18"/>
      <c r="X691" s="18"/>
    </row>
    <row r="692" customFormat="false" ht="13.8" hidden="false" customHeight="false" outlineLevel="0" collapsed="false">
      <c r="A692" s="18"/>
      <c r="B692" s="19" t="n">
        <v>2253</v>
      </c>
      <c r="C692" s="20" t="n">
        <v>43319</v>
      </c>
      <c r="D692" s="38" t="s">
        <v>22</v>
      </c>
      <c r="E692" s="22" t="s">
        <v>53</v>
      </c>
      <c r="F692" s="34" t="s">
        <v>54</v>
      </c>
      <c r="G692" s="19" t="n">
        <v>15</v>
      </c>
      <c r="H692" s="19" t="n">
        <v>101</v>
      </c>
      <c r="I692" s="19" t="n">
        <v>1</v>
      </c>
      <c r="J692" s="19" t="n">
        <v>55.6</v>
      </c>
      <c r="K692" s="39" t="n">
        <v>445000</v>
      </c>
      <c r="L692" s="39" t="n">
        <f aca="false">ROUND(K692/J692,2)</f>
        <v>8003.6</v>
      </c>
      <c r="M692" s="34" t="s">
        <v>996</v>
      </c>
      <c r="N692" s="40"/>
      <c r="O692" s="30" t="n">
        <f aca="false">K692+N692</f>
        <v>445000</v>
      </c>
      <c r="P692" s="39" t="n">
        <f aca="false">ROUND(O692/J692,2)</f>
        <v>8003.6</v>
      </c>
      <c r="Q692" s="19" t="s">
        <v>997</v>
      </c>
      <c r="R692" s="22" t="s">
        <v>49</v>
      </c>
      <c r="S692" s="19" t="s">
        <v>29</v>
      </c>
      <c r="T692" s="19" t="s">
        <v>30</v>
      </c>
      <c r="U692" s="31" t="s">
        <v>31</v>
      </c>
      <c r="V692" s="41" t="n">
        <v>43432</v>
      </c>
      <c r="W692" s="18"/>
      <c r="X692" s="18"/>
    </row>
    <row r="693" customFormat="false" ht="13.8" hidden="false" customHeight="false" outlineLevel="0" collapsed="false">
      <c r="A693" s="18"/>
      <c r="B693" s="19" t="n">
        <v>4489</v>
      </c>
      <c r="C693" s="20" t="n">
        <v>43320</v>
      </c>
      <c r="D693" s="38" t="s">
        <v>22</v>
      </c>
      <c r="E693" s="22" t="s">
        <v>882</v>
      </c>
      <c r="F693" s="34" t="s">
        <v>883</v>
      </c>
      <c r="G693" s="19" t="s">
        <v>998</v>
      </c>
      <c r="H693" s="19" t="n">
        <v>10</v>
      </c>
      <c r="I693" s="19" t="n">
        <v>3</v>
      </c>
      <c r="J693" s="19" t="n">
        <v>41.52</v>
      </c>
      <c r="K693" s="39" t="n">
        <v>275000</v>
      </c>
      <c r="L693" s="39" t="n">
        <f aca="false">ROUND(K693/J693,2)</f>
        <v>6623.31</v>
      </c>
      <c r="M693" s="34" t="s">
        <v>999</v>
      </c>
      <c r="N693" s="40"/>
      <c r="O693" s="30" t="n">
        <f aca="false">K693+N693</f>
        <v>275000</v>
      </c>
      <c r="P693" s="39" t="n">
        <f aca="false">ROUND(O693/J693,2)</f>
        <v>6623.31</v>
      </c>
      <c r="Q693" s="19" t="s">
        <v>1000</v>
      </c>
      <c r="R693" s="22" t="s">
        <v>36</v>
      </c>
      <c r="S693" s="19" t="s">
        <v>29</v>
      </c>
      <c r="T693" s="19" t="s">
        <v>30</v>
      </c>
      <c r="U693" s="31" t="s">
        <v>31</v>
      </c>
      <c r="V693" s="41" t="n">
        <v>43432</v>
      </c>
      <c r="W693" s="18"/>
      <c r="X693" s="18"/>
      <c r="AMJ693" s="32"/>
    </row>
    <row r="694" s="32" customFormat="true" ht="13.8" hidden="false" customHeight="false" outlineLevel="0" collapsed="false">
      <c r="A694" s="18"/>
      <c r="B694" s="19" t="n">
        <v>2612</v>
      </c>
      <c r="C694" s="20" t="n">
        <v>43320</v>
      </c>
      <c r="D694" s="38" t="s">
        <v>22</v>
      </c>
      <c r="E694" s="22" t="s">
        <v>198</v>
      </c>
      <c r="F694" s="34" t="s">
        <v>199</v>
      </c>
      <c r="G694" s="19" t="s">
        <v>1001</v>
      </c>
      <c r="H694" s="19" t="n">
        <v>34</v>
      </c>
      <c r="I694" s="19" t="n">
        <v>3</v>
      </c>
      <c r="J694" s="19" t="n">
        <v>54.64</v>
      </c>
      <c r="K694" s="39" t="n">
        <v>594000</v>
      </c>
      <c r="L694" s="39" t="n">
        <f aca="false">ROUND(K694/J694,2)</f>
        <v>10871.16</v>
      </c>
      <c r="M694" s="34" t="s">
        <v>1002</v>
      </c>
      <c r="N694" s="40"/>
      <c r="O694" s="30" t="n">
        <f aca="false">K694+N694</f>
        <v>594000</v>
      </c>
      <c r="P694" s="39" t="n">
        <f aca="false">ROUND(O694/J694,2)</f>
        <v>10871.16</v>
      </c>
      <c r="Q694" s="19" t="s">
        <v>1003</v>
      </c>
      <c r="R694" s="22" t="s">
        <v>36</v>
      </c>
      <c r="S694" s="19" t="s">
        <v>29</v>
      </c>
      <c r="T694" s="19" t="s">
        <v>30</v>
      </c>
      <c r="U694" s="31" t="s">
        <v>31</v>
      </c>
      <c r="V694" s="41" t="n">
        <v>43432</v>
      </c>
      <c r="W694" s="18"/>
      <c r="X694" s="18"/>
    </row>
    <row r="695" s="32" customFormat="true" ht="13.8" hidden="false" customHeight="false" outlineLevel="0" collapsed="false">
      <c r="A695" s="18"/>
      <c r="B695" s="19" t="n">
        <v>7464</v>
      </c>
      <c r="C695" s="20" t="n">
        <v>43320</v>
      </c>
      <c r="D695" s="38" t="s">
        <v>22</v>
      </c>
      <c r="E695" s="22" t="s">
        <v>61</v>
      </c>
      <c r="F695" s="34" t="s">
        <v>62</v>
      </c>
      <c r="G695" s="19" t="n">
        <v>1</v>
      </c>
      <c r="H695" s="19" t="n">
        <v>545</v>
      </c>
      <c r="I695" s="19" t="n">
        <v>5</v>
      </c>
      <c r="J695" s="19" t="n">
        <v>53.31</v>
      </c>
      <c r="K695" s="39" t="n">
        <v>410000</v>
      </c>
      <c r="L695" s="39" t="n">
        <f aca="false">ROUND(K695/J695,2)</f>
        <v>7690.86</v>
      </c>
      <c r="M695" s="34"/>
      <c r="N695" s="40"/>
      <c r="O695" s="30" t="n">
        <f aca="false">K695+N695</f>
        <v>410000</v>
      </c>
      <c r="P695" s="39" t="n">
        <f aca="false">ROUND(O695/J695,2)</f>
        <v>7690.86</v>
      </c>
      <c r="Q695" s="19" t="s">
        <v>946</v>
      </c>
      <c r="R695" s="22" t="s">
        <v>49</v>
      </c>
      <c r="S695" s="19" t="s">
        <v>29</v>
      </c>
      <c r="T695" s="19" t="s">
        <v>30</v>
      </c>
      <c r="U695" s="31" t="s">
        <v>31</v>
      </c>
      <c r="V695" s="41" t="n">
        <v>43432</v>
      </c>
      <c r="W695" s="34"/>
      <c r="X695" s="34"/>
    </row>
    <row r="696" customFormat="false" ht="13.8" hidden="false" customHeight="false" outlineLevel="0" collapsed="false">
      <c r="A696" s="18"/>
      <c r="B696" s="19" t="n">
        <v>3658</v>
      </c>
      <c r="C696" s="20" t="n">
        <v>43320</v>
      </c>
      <c r="D696" s="38" t="s">
        <v>22</v>
      </c>
      <c r="E696" s="22" t="s">
        <v>319</v>
      </c>
      <c r="F696" s="34" t="s">
        <v>320</v>
      </c>
      <c r="G696" s="19" t="n">
        <v>3</v>
      </c>
      <c r="H696" s="19" t="n">
        <v>169</v>
      </c>
      <c r="I696" s="19" t="n">
        <v>6</v>
      </c>
      <c r="J696" s="19" t="n">
        <v>104.6</v>
      </c>
      <c r="K696" s="39" t="n">
        <v>870000</v>
      </c>
      <c r="L696" s="39" t="n">
        <f aca="false">ROUND(K696/J696,2)</f>
        <v>8317.4</v>
      </c>
      <c r="M696" s="34" t="s">
        <v>1004</v>
      </c>
      <c r="N696" s="40" t="n">
        <v>30000</v>
      </c>
      <c r="O696" s="30" t="n">
        <f aca="false">K696+N696</f>
        <v>900000</v>
      </c>
      <c r="P696" s="39" t="n">
        <f aca="false">ROUND(O696/J696,2)</f>
        <v>8604.21</v>
      </c>
      <c r="Q696" s="19" t="s">
        <v>1005</v>
      </c>
      <c r="R696" s="22" t="s">
        <v>49</v>
      </c>
      <c r="S696" s="19" t="s">
        <v>29</v>
      </c>
      <c r="T696" s="19" t="s">
        <v>30</v>
      </c>
      <c r="U696" s="31" t="s">
        <v>31</v>
      </c>
      <c r="V696" s="41" t="n">
        <v>43432</v>
      </c>
      <c r="W696" s="18"/>
      <c r="X696" s="18"/>
    </row>
    <row r="697" customFormat="false" ht="13.8" hidden="false" customHeight="false" outlineLevel="0" collapsed="false">
      <c r="A697" s="18"/>
      <c r="B697" s="19" t="n">
        <v>4069</v>
      </c>
      <c r="C697" s="20" t="n">
        <v>43320</v>
      </c>
      <c r="D697" s="38" t="s">
        <v>22</v>
      </c>
      <c r="E697" s="22" t="s">
        <v>276</v>
      </c>
      <c r="F697" s="34" t="s">
        <v>38</v>
      </c>
      <c r="G697" s="19" t="s">
        <v>1006</v>
      </c>
      <c r="H697" s="19" t="n">
        <v>79</v>
      </c>
      <c r="I697" s="19" t="n">
        <v>16</v>
      </c>
      <c r="J697" s="19" t="n">
        <v>29</v>
      </c>
      <c r="K697" s="39" t="n">
        <v>280000</v>
      </c>
      <c r="L697" s="39" t="n">
        <f aca="false">ROUND(K697/J697,2)</f>
        <v>9655.17</v>
      </c>
      <c r="M697" s="34" t="s">
        <v>189</v>
      </c>
      <c r="N697" s="40"/>
      <c r="O697" s="30" t="n">
        <f aca="false">K697+N697</f>
        <v>280000</v>
      </c>
      <c r="P697" s="39" t="n">
        <f aca="false">ROUND(O697/J697,2)</f>
        <v>9655.17</v>
      </c>
      <c r="Q697" s="19" t="s">
        <v>995</v>
      </c>
      <c r="R697" s="22" t="s">
        <v>36</v>
      </c>
      <c r="S697" s="19" t="s">
        <v>29</v>
      </c>
      <c r="T697" s="19" t="s">
        <v>30</v>
      </c>
      <c r="U697" s="31" t="s">
        <v>31</v>
      </c>
      <c r="V697" s="41" t="n">
        <v>43432</v>
      </c>
      <c r="W697" s="18"/>
      <c r="X697" s="18"/>
    </row>
    <row r="698" customFormat="false" ht="13.8" hidden="false" customHeight="false" outlineLevel="0" collapsed="false">
      <c r="A698" s="18"/>
      <c r="B698" s="19" t="n">
        <v>2370</v>
      </c>
      <c r="C698" s="20" t="n">
        <v>43320</v>
      </c>
      <c r="D698" s="38" t="s">
        <v>22</v>
      </c>
      <c r="E698" s="22" t="s">
        <v>109</v>
      </c>
      <c r="F698" s="34" t="s">
        <v>603</v>
      </c>
      <c r="G698" s="19" t="s">
        <v>1007</v>
      </c>
      <c r="H698" s="19" t="n">
        <v>30</v>
      </c>
      <c r="I698" s="19" t="n">
        <v>3</v>
      </c>
      <c r="J698" s="19" t="n">
        <v>37.99</v>
      </c>
      <c r="K698" s="39" t="n">
        <v>300000</v>
      </c>
      <c r="L698" s="39" t="n">
        <f aca="false">ROUND(K698/J698,2)</f>
        <v>7896.81</v>
      </c>
      <c r="M698" s="34"/>
      <c r="N698" s="40"/>
      <c r="O698" s="30" t="n">
        <f aca="false">K698+N698</f>
        <v>300000</v>
      </c>
      <c r="P698" s="39" t="n">
        <f aca="false">ROUND(O698/J698,2)</f>
        <v>7896.81</v>
      </c>
      <c r="Q698" s="19" t="s">
        <v>925</v>
      </c>
      <c r="R698" s="22" t="s">
        <v>26</v>
      </c>
      <c r="S698" s="19" t="s">
        <v>29</v>
      </c>
      <c r="T698" s="19" t="s">
        <v>30</v>
      </c>
      <c r="U698" s="31" t="s">
        <v>31</v>
      </c>
      <c r="V698" s="41" t="n">
        <v>43432</v>
      </c>
      <c r="W698" s="18"/>
      <c r="X698" s="18"/>
    </row>
    <row r="699" customFormat="false" ht="13.8" hidden="false" customHeight="false" outlineLevel="0" collapsed="false">
      <c r="A699" s="18"/>
      <c r="B699" s="19" t="n">
        <v>4699</v>
      </c>
      <c r="C699" s="20" t="n">
        <v>43320</v>
      </c>
      <c r="D699" s="38" t="s">
        <v>22</v>
      </c>
      <c r="E699" s="22" t="s">
        <v>284</v>
      </c>
      <c r="F699" s="34" t="s">
        <v>404</v>
      </c>
      <c r="G699" s="19" t="s">
        <v>976</v>
      </c>
      <c r="H699" s="19" t="n">
        <v>1</v>
      </c>
      <c r="I699" s="19" t="n">
        <v>1</v>
      </c>
      <c r="J699" s="19" t="n">
        <v>76.71</v>
      </c>
      <c r="K699" s="39" t="n">
        <v>1190000</v>
      </c>
      <c r="L699" s="39" t="n">
        <f aca="false">ROUND(K699/J699,2)</f>
        <v>15512.97</v>
      </c>
      <c r="M699" s="34" t="s">
        <v>1008</v>
      </c>
      <c r="N699" s="40" t="n">
        <v>40000</v>
      </c>
      <c r="O699" s="30" t="n">
        <f aca="false">K699+N699</f>
        <v>1230000</v>
      </c>
      <c r="P699" s="39" t="n">
        <f aca="false">ROUND(O699/J699,2)</f>
        <v>16034.42</v>
      </c>
      <c r="Q699" s="19" t="s">
        <v>1009</v>
      </c>
      <c r="R699" s="22" t="s">
        <v>49</v>
      </c>
      <c r="S699" s="19" t="s">
        <v>29</v>
      </c>
      <c r="T699" s="19" t="s">
        <v>30</v>
      </c>
      <c r="U699" s="31" t="s">
        <v>31</v>
      </c>
      <c r="V699" s="41" t="n">
        <v>43432</v>
      </c>
      <c r="W699" s="18"/>
      <c r="X699" s="18"/>
    </row>
    <row r="700" customFormat="false" ht="13.8" hidden="false" customHeight="false" outlineLevel="0" collapsed="false">
      <c r="A700" s="18"/>
      <c r="B700" s="19" t="n">
        <v>11842</v>
      </c>
      <c r="C700" s="20" t="n">
        <v>43320</v>
      </c>
      <c r="D700" s="38" t="s">
        <v>22</v>
      </c>
      <c r="E700" s="22" t="s">
        <v>187</v>
      </c>
      <c r="F700" s="34" t="s">
        <v>271</v>
      </c>
      <c r="G700" s="19" t="n">
        <v>42</v>
      </c>
      <c r="H700" s="19" t="n">
        <v>63</v>
      </c>
      <c r="I700" s="19" t="n">
        <v>3</v>
      </c>
      <c r="J700" s="19" t="n">
        <v>48.8</v>
      </c>
      <c r="K700" s="39" t="n">
        <v>500000</v>
      </c>
      <c r="L700" s="39" t="n">
        <f aca="false">ROUND(K700/J700,2)</f>
        <v>10245.9</v>
      </c>
      <c r="M700" s="34"/>
      <c r="N700" s="40"/>
      <c r="O700" s="30" t="n">
        <f aca="false">K700+N700</f>
        <v>500000</v>
      </c>
      <c r="P700" s="39" t="n">
        <f aca="false">ROUND(O700/J700,2)</f>
        <v>10245.9</v>
      </c>
      <c r="Q700" s="19" t="s">
        <v>925</v>
      </c>
      <c r="R700" s="22" t="s">
        <v>26</v>
      </c>
      <c r="S700" s="19" t="s">
        <v>29</v>
      </c>
      <c r="T700" s="19" t="s">
        <v>30</v>
      </c>
      <c r="U700" s="31" t="s">
        <v>31</v>
      </c>
      <c r="V700" s="41" t="n">
        <v>43432</v>
      </c>
      <c r="W700" s="18"/>
      <c r="X700" s="18"/>
    </row>
    <row r="701" customFormat="false" ht="13.8" hidden="false" customHeight="false" outlineLevel="0" collapsed="false">
      <c r="A701" s="18"/>
      <c r="B701" s="19" t="n">
        <v>3673</v>
      </c>
      <c r="C701" s="20" t="n">
        <v>43321</v>
      </c>
      <c r="D701" s="38" t="s">
        <v>22</v>
      </c>
      <c r="E701" s="22" t="s">
        <v>375</v>
      </c>
      <c r="F701" s="34" t="s">
        <v>376</v>
      </c>
      <c r="G701" s="19" t="n">
        <v>15</v>
      </c>
      <c r="H701" s="19" t="s">
        <v>1010</v>
      </c>
      <c r="I701" s="19" t="n">
        <v>3</v>
      </c>
      <c r="J701" s="19" t="n">
        <f aca="false">66.59+52.13</f>
        <v>118.72</v>
      </c>
      <c r="K701" s="39" t="n">
        <f aca="false">751699+588331</f>
        <v>1340030</v>
      </c>
      <c r="L701" s="39" t="n">
        <f aca="false">ROUND(K701/J701,2)</f>
        <v>11287.31</v>
      </c>
      <c r="M701" s="34"/>
      <c r="N701" s="40"/>
      <c r="O701" s="30" t="n">
        <f aca="false">K701+N701</f>
        <v>1340030</v>
      </c>
      <c r="P701" s="39" t="n">
        <f aca="false">ROUND(O701/J701,2)</f>
        <v>11287.31</v>
      </c>
      <c r="Q701" s="19" t="s">
        <v>958</v>
      </c>
      <c r="R701" s="22" t="s">
        <v>26</v>
      </c>
      <c r="S701" s="19" t="s">
        <v>29</v>
      </c>
      <c r="T701" s="19" t="s">
        <v>30</v>
      </c>
      <c r="U701" s="31" t="s">
        <v>31</v>
      </c>
      <c r="V701" s="41" t="n">
        <v>43432</v>
      </c>
      <c r="W701" s="34"/>
      <c r="X701" s="34"/>
    </row>
    <row r="702" customFormat="false" ht="13.8" hidden="false" customHeight="false" outlineLevel="0" collapsed="false">
      <c r="A702" s="18"/>
      <c r="B702" s="19" t="n">
        <v>7524</v>
      </c>
      <c r="C702" s="20" t="n">
        <v>43321</v>
      </c>
      <c r="D702" s="38" t="s">
        <v>22</v>
      </c>
      <c r="E702" s="22" t="s">
        <v>80</v>
      </c>
      <c r="F702" s="34" t="s">
        <v>162</v>
      </c>
      <c r="G702" s="19" t="n">
        <v>1</v>
      </c>
      <c r="H702" s="19" t="n">
        <v>10</v>
      </c>
      <c r="I702" s="19" t="n">
        <v>4</v>
      </c>
      <c r="J702" s="19" t="n">
        <v>197.44</v>
      </c>
      <c r="K702" s="39" t="n">
        <v>1615000</v>
      </c>
      <c r="L702" s="39" t="n">
        <f aca="false">ROUND(K702/J702,2)</f>
        <v>8179.7</v>
      </c>
      <c r="M702" s="34" t="s">
        <v>1011</v>
      </c>
      <c r="N702" s="40" t="n">
        <v>25000</v>
      </c>
      <c r="O702" s="30" t="n">
        <f aca="false">K702+N702</f>
        <v>1640000</v>
      </c>
      <c r="P702" s="39" t="n">
        <f aca="false">ROUND(O702/J702,2)</f>
        <v>8306.32</v>
      </c>
      <c r="Q702" s="19" t="s">
        <v>1012</v>
      </c>
      <c r="R702" s="22" t="s">
        <v>57</v>
      </c>
      <c r="S702" s="19" t="s">
        <v>29</v>
      </c>
      <c r="T702" s="19" t="s">
        <v>30</v>
      </c>
      <c r="U702" s="31" t="s">
        <v>31</v>
      </c>
      <c r="V702" s="41" t="n">
        <v>43432</v>
      </c>
      <c r="W702" s="18"/>
      <c r="X702" s="18"/>
      <c r="AMJ702" s="32"/>
    </row>
    <row r="703" s="32" customFormat="true" ht="13.8" hidden="false" customHeight="false" outlineLevel="0" collapsed="false">
      <c r="A703" s="18"/>
      <c r="B703" s="19" t="s">
        <v>887</v>
      </c>
      <c r="C703" s="20" t="n">
        <v>43321</v>
      </c>
      <c r="D703" s="38" t="s">
        <v>22</v>
      </c>
      <c r="E703" s="22" t="s">
        <v>251</v>
      </c>
      <c r="F703" s="45" t="s">
        <v>252</v>
      </c>
      <c r="G703" s="19" t="n">
        <v>4</v>
      </c>
      <c r="H703" s="19"/>
      <c r="I703" s="19" t="n">
        <v>5</v>
      </c>
      <c r="J703" s="25" t="n">
        <v>43.01</v>
      </c>
      <c r="K703" s="39" t="n">
        <v>420000</v>
      </c>
      <c r="L703" s="39" t="n">
        <f aca="false">K703/J703</f>
        <v>9765.17089049058</v>
      </c>
      <c r="M703" s="18"/>
      <c r="N703" s="40"/>
      <c r="O703" s="30" t="n">
        <f aca="false">K703+N703</f>
        <v>420000</v>
      </c>
      <c r="P703" s="39" t="n">
        <f aca="false">O703/J703</f>
        <v>9765.17089049058</v>
      </c>
      <c r="Q703" s="19" t="s">
        <v>889</v>
      </c>
      <c r="R703" s="19" t="n">
        <v>3</v>
      </c>
      <c r="S703" s="19" t="s">
        <v>890</v>
      </c>
      <c r="T703" s="19"/>
      <c r="U703" s="19" t="s">
        <v>31</v>
      </c>
      <c r="V703" s="41" t="n">
        <v>43727</v>
      </c>
      <c r="W703" s="18"/>
      <c r="X703" s="18"/>
    </row>
    <row r="704" s="32" customFormat="true" ht="13.8" hidden="false" customHeight="false" outlineLevel="0" collapsed="false">
      <c r="A704" s="18"/>
      <c r="B704" s="19" t="n">
        <v>4343</v>
      </c>
      <c r="C704" s="20" t="n">
        <v>43321</v>
      </c>
      <c r="D704" s="38" t="s">
        <v>22</v>
      </c>
      <c r="E704" s="22" t="s">
        <v>61</v>
      </c>
      <c r="F704" s="34" t="s">
        <v>957</v>
      </c>
      <c r="G704" s="19" t="s">
        <v>213</v>
      </c>
      <c r="H704" s="19" t="n">
        <v>578</v>
      </c>
      <c r="I704" s="19" t="n">
        <v>9</v>
      </c>
      <c r="J704" s="19" t="n">
        <v>53.31</v>
      </c>
      <c r="K704" s="39" t="n">
        <v>435000</v>
      </c>
      <c r="L704" s="39" t="n">
        <f aca="false">ROUND(K704/J704,2)</f>
        <v>8159.82</v>
      </c>
      <c r="M704" s="18"/>
      <c r="N704" s="40"/>
      <c r="O704" s="30" t="n">
        <f aca="false">K704+N704</f>
        <v>435000</v>
      </c>
      <c r="P704" s="39" t="n">
        <f aca="false">ROUND(O704/J704,2)</f>
        <v>8159.82</v>
      </c>
      <c r="Q704" s="19" t="s">
        <v>997</v>
      </c>
      <c r="R704" s="22" t="s">
        <v>49</v>
      </c>
      <c r="S704" s="19" t="s">
        <v>29</v>
      </c>
      <c r="T704" s="19" t="s">
        <v>30</v>
      </c>
      <c r="U704" s="31" t="s">
        <v>31</v>
      </c>
      <c r="V704" s="41" t="n">
        <v>43432</v>
      </c>
      <c r="W704" s="18"/>
      <c r="X704" s="18"/>
    </row>
    <row r="705" s="32" customFormat="true" ht="13.8" hidden="false" customHeight="false" outlineLevel="0" collapsed="false">
      <c r="A705" s="18"/>
      <c r="B705" s="19" t="n">
        <v>1204</v>
      </c>
      <c r="C705" s="20" t="n">
        <v>43321</v>
      </c>
      <c r="D705" s="38" t="s">
        <v>22</v>
      </c>
      <c r="E705" s="22" t="s">
        <v>175</v>
      </c>
      <c r="F705" s="34" t="s">
        <v>485</v>
      </c>
      <c r="G705" s="19" t="s">
        <v>1013</v>
      </c>
      <c r="H705" s="19" t="n">
        <v>9</v>
      </c>
      <c r="I705" s="19" t="n">
        <v>2</v>
      </c>
      <c r="J705" s="19" t="n">
        <v>23.03</v>
      </c>
      <c r="K705" s="39" t="n">
        <v>155000</v>
      </c>
      <c r="L705" s="39" t="n">
        <f aca="false">ROUND(K705/J705,2)</f>
        <v>6730.35</v>
      </c>
      <c r="M705" s="18"/>
      <c r="N705" s="40"/>
      <c r="O705" s="30" t="n">
        <f aca="false">K705+N705</f>
        <v>155000</v>
      </c>
      <c r="P705" s="39" t="n">
        <f aca="false">ROUND(O705/J705,2)</f>
        <v>6730.35</v>
      </c>
      <c r="Q705" s="19" t="s">
        <v>1014</v>
      </c>
      <c r="R705" s="22" t="s">
        <v>27</v>
      </c>
      <c r="S705" s="19" t="s">
        <v>29</v>
      </c>
      <c r="T705" s="19" t="s">
        <v>30</v>
      </c>
      <c r="U705" s="31" t="s">
        <v>31</v>
      </c>
      <c r="V705" s="41" t="n">
        <v>43432</v>
      </c>
      <c r="W705" s="18"/>
      <c r="X705" s="18"/>
    </row>
    <row r="706" customFormat="false" ht="13.8" hidden="false" customHeight="false" outlineLevel="0" collapsed="false">
      <c r="A706" s="18"/>
      <c r="B706" s="19" t="n">
        <v>2306</v>
      </c>
      <c r="C706" s="20" t="n">
        <v>43321</v>
      </c>
      <c r="D706" s="38" t="s">
        <v>22</v>
      </c>
      <c r="E706" s="22" t="s">
        <v>302</v>
      </c>
      <c r="F706" s="34" t="s">
        <v>485</v>
      </c>
      <c r="G706" s="19" t="s">
        <v>1015</v>
      </c>
      <c r="H706" s="19" t="n">
        <v>61</v>
      </c>
      <c r="I706" s="19" t="n">
        <v>3</v>
      </c>
      <c r="J706" s="19" t="n">
        <v>33.69</v>
      </c>
      <c r="K706" s="39" t="n">
        <v>405000</v>
      </c>
      <c r="L706" s="39" t="n">
        <f aca="false">ROUND(K706/J706,2)</f>
        <v>12021.37</v>
      </c>
      <c r="M706" s="18"/>
      <c r="N706" s="40"/>
      <c r="O706" s="30" t="n">
        <f aca="false">K706+N706</f>
        <v>405000</v>
      </c>
      <c r="P706" s="39" t="n">
        <f aca="false">ROUND(O706/J706,2)</f>
        <v>12021.37</v>
      </c>
      <c r="Q706" s="19" t="s">
        <v>982</v>
      </c>
      <c r="R706" s="22" t="s">
        <v>36</v>
      </c>
      <c r="S706" s="19" t="s">
        <v>29</v>
      </c>
      <c r="T706" s="19" t="s">
        <v>30</v>
      </c>
      <c r="U706" s="31" t="s">
        <v>31</v>
      </c>
      <c r="V706" s="41" t="n">
        <v>43432</v>
      </c>
      <c r="W706" s="18"/>
      <c r="X706" s="18"/>
    </row>
    <row r="707" customFormat="false" ht="13.8" hidden="false" customHeight="false" outlineLevel="0" collapsed="false">
      <c r="A707" s="18"/>
      <c r="B707" s="19" t="n">
        <v>6806</v>
      </c>
      <c r="C707" s="20" t="n">
        <v>43321</v>
      </c>
      <c r="D707" s="38" t="s">
        <v>22</v>
      </c>
      <c r="E707" s="22" t="s">
        <v>118</v>
      </c>
      <c r="F707" s="34" t="s">
        <v>119</v>
      </c>
      <c r="G707" s="19" t="n">
        <v>24</v>
      </c>
      <c r="H707" s="19" t="n">
        <v>41</v>
      </c>
      <c r="I707" s="19" t="n">
        <v>1</v>
      </c>
      <c r="J707" s="19" t="n">
        <v>47.15</v>
      </c>
      <c r="K707" s="39" t="n">
        <v>400000</v>
      </c>
      <c r="L707" s="39" t="n">
        <f aca="false">ROUND(K707/J707,2)</f>
        <v>8483.56</v>
      </c>
      <c r="M707" s="18"/>
      <c r="N707" s="40"/>
      <c r="O707" s="30" t="n">
        <f aca="false">K707+N707</f>
        <v>400000</v>
      </c>
      <c r="P707" s="39" t="n">
        <f aca="false">ROUND(O707/J707,2)</f>
        <v>8483.56</v>
      </c>
      <c r="Q707" s="19" t="s">
        <v>1016</v>
      </c>
      <c r="R707" s="22" t="s">
        <v>49</v>
      </c>
      <c r="S707" s="19" t="s">
        <v>29</v>
      </c>
      <c r="T707" s="19" t="s">
        <v>30</v>
      </c>
      <c r="U707" s="31" t="s">
        <v>31</v>
      </c>
      <c r="V707" s="41" t="n">
        <v>43432</v>
      </c>
      <c r="W707" s="18"/>
      <c r="X707" s="18"/>
      <c r="AMJ707" s="32"/>
    </row>
    <row r="708" s="32" customFormat="true" ht="13.8" hidden="false" customHeight="false" outlineLevel="0" collapsed="false">
      <c r="A708" s="18"/>
      <c r="B708" s="19" t="n">
        <v>10017</v>
      </c>
      <c r="C708" s="20" t="n">
        <v>43321</v>
      </c>
      <c r="D708" s="38" t="s">
        <v>22</v>
      </c>
      <c r="E708" s="22" t="s">
        <v>251</v>
      </c>
      <c r="F708" s="34" t="s">
        <v>1017</v>
      </c>
      <c r="G708" s="19" t="n">
        <v>4</v>
      </c>
      <c r="H708" s="19" t="n">
        <v>114</v>
      </c>
      <c r="I708" s="19" t="n">
        <v>5</v>
      </c>
      <c r="J708" s="19" t="n">
        <v>42.4</v>
      </c>
      <c r="K708" s="39" t="n">
        <v>420000</v>
      </c>
      <c r="L708" s="39" t="n">
        <f aca="false">ROUND(K708/J708,2)</f>
        <v>9905.66</v>
      </c>
      <c r="M708" s="34" t="s">
        <v>1018</v>
      </c>
      <c r="N708" s="40"/>
      <c r="O708" s="30" t="n">
        <f aca="false">K708+N708</f>
        <v>420000</v>
      </c>
      <c r="P708" s="39" t="n">
        <f aca="false">ROUND(O708/J708,2)</f>
        <v>9905.66</v>
      </c>
      <c r="Q708" s="19" t="s">
        <v>1019</v>
      </c>
      <c r="R708" s="22" t="n">
        <v>3</v>
      </c>
      <c r="S708" s="19" t="s">
        <v>29</v>
      </c>
      <c r="T708" s="19" t="s">
        <v>30</v>
      </c>
      <c r="U708" s="31" t="s">
        <v>31</v>
      </c>
      <c r="V708" s="41" t="n">
        <v>43432</v>
      </c>
      <c r="W708" s="18"/>
      <c r="X708" s="18"/>
    </row>
    <row r="709" s="32" customFormat="true" ht="13.8" hidden="false" customHeight="false" outlineLevel="0" collapsed="false">
      <c r="A709" s="18"/>
      <c r="B709" s="19" t="n">
        <v>1925</v>
      </c>
      <c r="C709" s="20" t="n">
        <v>43322</v>
      </c>
      <c r="D709" s="38" t="s">
        <v>22</v>
      </c>
      <c r="E709" s="22" t="s">
        <v>109</v>
      </c>
      <c r="F709" s="34" t="s">
        <v>955</v>
      </c>
      <c r="G709" s="19" t="n">
        <v>118</v>
      </c>
      <c r="H709" s="19" t="n">
        <v>60</v>
      </c>
      <c r="I709" s="19" t="n">
        <v>7</v>
      </c>
      <c r="J709" s="19" t="n">
        <v>35.44</v>
      </c>
      <c r="K709" s="39" t="n">
        <v>346000</v>
      </c>
      <c r="L709" s="39" t="n">
        <f aca="false">ROUND(K709/J709,2)</f>
        <v>9762.98</v>
      </c>
      <c r="M709" s="34" t="s">
        <v>189</v>
      </c>
      <c r="N709" s="40"/>
      <c r="O709" s="30" t="n">
        <f aca="false">K709+N709</f>
        <v>346000</v>
      </c>
      <c r="P709" s="39" t="n">
        <f aca="false">ROUND(O709/J709,2)</f>
        <v>9762.98</v>
      </c>
      <c r="Q709" s="19" t="s">
        <v>1020</v>
      </c>
      <c r="R709" s="22" t="s">
        <v>36</v>
      </c>
      <c r="S709" s="19" t="s">
        <v>29</v>
      </c>
      <c r="T709" s="19" t="s">
        <v>30</v>
      </c>
      <c r="U709" s="31" t="s">
        <v>31</v>
      </c>
      <c r="V709" s="41" t="n">
        <v>43432</v>
      </c>
      <c r="W709" s="18"/>
      <c r="X709" s="18"/>
    </row>
    <row r="710" s="32" customFormat="true" ht="13.8" hidden="false" customHeight="false" outlineLevel="0" collapsed="false">
      <c r="A710" s="18"/>
      <c r="B710" s="19" t="n">
        <v>2313</v>
      </c>
      <c r="C710" s="20" t="n">
        <v>43322</v>
      </c>
      <c r="D710" s="38" t="s">
        <v>22</v>
      </c>
      <c r="E710" s="22" t="s">
        <v>80</v>
      </c>
      <c r="F710" s="34" t="s">
        <v>162</v>
      </c>
      <c r="G710" s="19" t="n">
        <v>2</v>
      </c>
      <c r="H710" s="19" t="n">
        <v>119</v>
      </c>
      <c r="I710" s="19" t="n">
        <v>1</v>
      </c>
      <c r="J710" s="19" t="n">
        <v>123.7</v>
      </c>
      <c r="K710" s="39" t="n">
        <v>1682000</v>
      </c>
      <c r="L710" s="39" t="n">
        <f aca="false">ROUND(K710/J710,2)</f>
        <v>13597.41</v>
      </c>
      <c r="M710" s="34" t="s">
        <v>1021</v>
      </c>
      <c r="N710" s="40" t="n">
        <v>50000</v>
      </c>
      <c r="O710" s="30" t="n">
        <f aca="false">K710+N710</f>
        <v>1732000</v>
      </c>
      <c r="P710" s="39" t="n">
        <f aca="false">ROUND(O710/J710,2)</f>
        <v>14001.62</v>
      </c>
      <c r="Q710" s="19" t="s">
        <v>1022</v>
      </c>
      <c r="R710" s="22" t="s">
        <v>57</v>
      </c>
      <c r="S710" s="19" t="s">
        <v>29</v>
      </c>
      <c r="T710" s="19" t="s">
        <v>30</v>
      </c>
      <c r="U710" s="31" t="s">
        <v>31</v>
      </c>
      <c r="V710" s="41" t="n">
        <v>43432</v>
      </c>
      <c r="W710" s="34"/>
      <c r="X710" s="34"/>
    </row>
    <row r="711" customFormat="false" ht="13.8" hidden="false" customHeight="false" outlineLevel="0" collapsed="false">
      <c r="A711" s="18"/>
      <c r="B711" s="19" t="n">
        <v>3336</v>
      </c>
      <c r="C711" s="20" t="n">
        <v>43322</v>
      </c>
      <c r="D711" s="38" t="s">
        <v>22</v>
      </c>
      <c r="E711" s="22" t="s">
        <v>322</v>
      </c>
      <c r="F711" s="34" t="s">
        <v>323</v>
      </c>
      <c r="G711" s="19" t="s">
        <v>1023</v>
      </c>
      <c r="H711" s="19" t="n">
        <v>73</v>
      </c>
      <c r="I711" s="19" t="n">
        <v>3</v>
      </c>
      <c r="J711" s="19" t="n">
        <v>41.59</v>
      </c>
      <c r="K711" s="39" t="n">
        <v>485000</v>
      </c>
      <c r="L711" s="39" t="n">
        <f aca="false">ROUND(K711/J711,2)</f>
        <v>11661.46</v>
      </c>
      <c r="M711" s="34"/>
      <c r="N711" s="40"/>
      <c r="O711" s="30" t="n">
        <f aca="false">K711+N711</f>
        <v>485000</v>
      </c>
      <c r="P711" s="39" t="n">
        <f aca="false">ROUND(O711/J711,2)</f>
        <v>11661.46</v>
      </c>
      <c r="Q711" s="19" t="s">
        <v>1024</v>
      </c>
      <c r="R711" s="22" t="s">
        <v>36</v>
      </c>
      <c r="S711" s="19" t="s">
        <v>29</v>
      </c>
      <c r="T711" s="19" t="s">
        <v>30</v>
      </c>
      <c r="U711" s="31" t="s">
        <v>31</v>
      </c>
      <c r="V711" s="41" t="n">
        <v>43432</v>
      </c>
      <c r="W711" s="18"/>
      <c r="X711" s="18"/>
    </row>
    <row r="712" customFormat="false" ht="13.8" hidden="false" customHeight="false" outlineLevel="0" collapsed="false">
      <c r="A712" s="18"/>
      <c r="B712" s="19" t="n">
        <v>3995</v>
      </c>
      <c r="C712" s="20" t="n">
        <v>43322</v>
      </c>
      <c r="D712" s="38" t="s">
        <v>22</v>
      </c>
      <c r="E712" s="22" t="s">
        <v>265</v>
      </c>
      <c r="F712" s="34" t="s">
        <v>108</v>
      </c>
      <c r="G712" s="19" t="s">
        <v>1025</v>
      </c>
      <c r="H712" s="19" t="n">
        <v>1</v>
      </c>
      <c r="I712" s="19" t="n">
        <v>1</v>
      </c>
      <c r="J712" s="19" t="n">
        <v>62.52</v>
      </c>
      <c r="K712" s="39" t="n">
        <v>475000</v>
      </c>
      <c r="L712" s="39" t="n">
        <f aca="false">ROUND(K712/J712,2)</f>
        <v>7597.57</v>
      </c>
      <c r="M712" s="34"/>
      <c r="N712" s="40"/>
      <c r="O712" s="30" t="n">
        <f aca="false">K712+N712</f>
        <v>475000</v>
      </c>
      <c r="P712" s="39" t="n">
        <f aca="false">ROUND(O712/J712,2)</f>
        <v>7597.57</v>
      </c>
      <c r="Q712" s="19" t="s">
        <v>1026</v>
      </c>
      <c r="R712" s="22" t="s">
        <v>26</v>
      </c>
      <c r="S712" s="19" t="s">
        <v>29</v>
      </c>
      <c r="T712" s="19" t="s">
        <v>30</v>
      </c>
      <c r="U712" s="31" t="s">
        <v>31</v>
      </c>
      <c r="V712" s="41" t="n">
        <v>43432</v>
      </c>
      <c r="W712" s="18"/>
      <c r="X712" s="18"/>
    </row>
    <row r="713" customFormat="false" ht="13.8" hidden="false" customHeight="false" outlineLevel="0" collapsed="false">
      <c r="A713" s="18"/>
      <c r="B713" s="19" t="n">
        <v>3325</v>
      </c>
      <c r="C713" s="20" t="n">
        <v>43322</v>
      </c>
      <c r="D713" s="38" t="s">
        <v>22</v>
      </c>
      <c r="E713" s="22" t="s">
        <v>572</v>
      </c>
      <c r="F713" s="34" t="s">
        <v>1027</v>
      </c>
      <c r="G713" s="19" t="n">
        <v>10</v>
      </c>
      <c r="H713" s="19" t="n">
        <v>906</v>
      </c>
      <c r="I713" s="19" t="n">
        <v>9</v>
      </c>
      <c r="J713" s="19" t="n">
        <v>47</v>
      </c>
      <c r="K713" s="39" t="n">
        <v>357500</v>
      </c>
      <c r="L713" s="39" t="n">
        <f aca="false">ROUND(K713/J713,2)</f>
        <v>7606.38</v>
      </c>
      <c r="M713" s="34"/>
      <c r="N713" s="40"/>
      <c r="O713" s="30" t="n">
        <f aca="false">K713+N713</f>
        <v>357500</v>
      </c>
      <c r="P713" s="39" t="n">
        <f aca="false">ROUND(O713/J713,2)</f>
        <v>7606.38</v>
      </c>
      <c r="Q713" s="19" t="s">
        <v>958</v>
      </c>
      <c r="R713" s="22" t="s">
        <v>26</v>
      </c>
      <c r="S713" s="19" t="s">
        <v>29</v>
      </c>
      <c r="T713" s="19" t="s">
        <v>30</v>
      </c>
      <c r="U713" s="31" t="s">
        <v>31</v>
      </c>
      <c r="V713" s="41" t="n">
        <v>43432</v>
      </c>
      <c r="W713" s="18"/>
      <c r="X713" s="18"/>
    </row>
    <row r="714" customFormat="false" ht="13.8" hidden="false" customHeight="false" outlineLevel="0" collapsed="false">
      <c r="A714" s="18"/>
      <c r="B714" s="19" t="n">
        <v>1910</v>
      </c>
      <c r="C714" s="20" t="n">
        <v>43322</v>
      </c>
      <c r="D714" s="38" t="s">
        <v>22</v>
      </c>
      <c r="E714" s="22" t="s">
        <v>42</v>
      </c>
      <c r="F714" s="34" t="s">
        <v>1028</v>
      </c>
      <c r="G714" s="19" t="n">
        <v>2</v>
      </c>
      <c r="H714" s="19" t="n">
        <v>19</v>
      </c>
      <c r="I714" s="19" t="n">
        <v>4</v>
      </c>
      <c r="J714" s="19" t="n">
        <v>36.8</v>
      </c>
      <c r="K714" s="39" t="n">
        <v>360000</v>
      </c>
      <c r="L714" s="39" t="n">
        <f aca="false">ROUND(K714/J714,2)</f>
        <v>9782.61</v>
      </c>
      <c r="M714" s="34" t="s">
        <v>189</v>
      </c>
      <c r="N714" s="40"/>
      <c r="O714" s="30" t="n">
        <f aca="false">K714+N714</f>
        <v>360000</v>
      </c>
      <c r="P714" s="39" t="n">
        <f aca="false">ROUND(O714/J714,2)</f>
        <v>9782.61</v>
      </c>
      <c r="Q714" s="19" t="s">
        <v>925</v>
      </c>
      <c r="R714" s="22" t="s">
        <v>26</v>
      </c>
      <c r="S714" s="19" t="s">
        <v>29</v>
      </c>
      <c r="T714" s="19" t="s">
        <v>30</v>
      </c>
      <c r="U714" s="31" t="s">
        <v>31</v>
      </c>
      <c r="V714" s="41" t="n">
        <v>43432</v>
      </c>
      <c r="W714" s="18"/>
      <c r="X714" s="18"/>
      <c r="AMJ714" s="32"/>
    </row>
    <row r="715" s="32" customFormat="true" ht="13.8" hidden="false" customHeight="false" outlineLevel="0" collapsed="false">
      <c r="A715" s="18"/>
      <c r="B715" s="19" t="n">
        <v>2350</v>
      </c>
      <c r="C715" s="20" t="n">
        <v>43322</v>
      </c>
      <c r="D715" s="38" t="s">
        <v>22</v>
      </c>
      <c r="E715" s="22" t="s">
        <v>375</v>
      </c>
      <c r="F715" s="34" t="s">
        <v>1029</v>
      </c>
      <c r="G715" s="19" t="n">
        <v>34</v>
      </c>
      <c r="H715" s="19" t="n">
        <v>10</v>
      </c>
      <c r="I715" s="19" t="n">
        <v>3</v>
      </c>
      <c r="J715" s="19" t="n">
        <v>27.02</v>
      </c>
      <c r="K715" s="39" t="n">
        <v>295000</v>
      </c>
      <c r="L715" s="39" t="n">
        <f aca="false">ROUND(K715/J715,2)</f>
        <v>10917.84</v>
      </c>
      <c r="M715" s="34"/>
      <c r="N715" s="40"/>
      <c r="O715" s="30" t="n">
        <f aca="false">K715+N715</f>
        <v>295000</v>
      </c>
      <c r="P715" s="39" t="n">
        <f aca="false">ROUND(O715/J715,2)</f>
        <v>10917.84</v>
      </c>
      <c r="Q715" s="19" t="s">
        <v>945</v>
      </c>
      <c r="R715" s="22" t="s">
        <v>36</v>
      </c>
      <c r="S715" s="19" t="s">
        <v>29</v>
      </c>
      <c r="T715" s="19" t="s">
        <v>30</v>
      </c>
      <c r="U715" s="31" t="s">
        <v>31</v>
      </c>
      <c r="V715" s="41" t="n">
        <v>43432</v>
      </c>
      <c r="W715" s="18"/>
      <c r="X715" s="18"/>
    </row>
    <row r="716" customFormat="false" ht="13.8" hidden="false" customHeight="false" outlineLevel="0" collapsed="false">
      <c r="A716" s="18"/>
      <c r="B716" s="19" t="n">
        <v>7741</v>
      </c>
      <c r="C716" s="20" t="n">
        <v>43322</v>
      </c>
      <c r="D716" s="38" t="s">
        <v>22</v>
      </c>
      <c r="E716" s="22" t="s">
        <v>459</v>
      </c>
      <c r="F716" s="34" t="s">
        <v>604</v>
      </c>
      <c r="G716" s="19" t="n">
        <v>9</v>
      </c>
      <c r="H716" s="19" t="n">
        <v>58</v>
      </c>
      <c r="I716" s="19" t="n">
        <v>8</v>
      </c>
      <c r="J716" s="19" t="n">
        <v>48.06</v>
      </c>
      <c r="K716" s="39" t="n">
        <v>445000</v>
      </c>
      <c r="L716" s="39" t="n">
        <f aca="false">ROUND(K716/J716,2)</f>
        <v>9259.26</v>
      </c>
      <c r="M716" s="34" t="s">
        <v>1030</v>
      </c>
      <c r="N716" s="40"/>
      <c r="O716" s="30" t="n">
        <f aca="false">K716+N716</f>
        <v>445000</v>
      </c>
      <c r="P716" s="39" t="n">
        <f aca="false">ROUND(O716/J716,2)</f>
        <v>9259.26</v>
      </c>
      <c r="Q716" s="19" t="s">
        <v>1031</v>
      </c>
      <c r="R716" s="22" t="s">
        <v>49</v>
      </c>
      <c r="S716" s="19" t="s">
        <v>29</v>
      </c>
      <c r="T716" s="19" t="s">
        <v>30</v>
      </c>
      <c r="U716" s="31" t="s">
        <v>31</v>
      </c>
      <c r="V716" s="41" t="n">
        <v>43432</v>
      </c>
      <c r="W716" s="18"/>
      <c r="X716" s="18"/>
    </row>
    <row r="717" customFormat="false" ht="13.8" hidden="false" customHeight="false" outlineLevel="0" collapsed="false">
      <c r="A717" s="18"/>
      <c r="B717" s="19" t="n">
        <v>3248</v>
      </c>
      <c r="C717" s="20" t="n">
        <v>43322</v>
      </c>
      <c r="D717" s="38" t="s">
        <v>22</v>
      </c>
      <c r="E717" s="22" t="s">
        <v>268</v>
      </c>
      <c r="F717" s="34" t="s">
        <v>87</v>
      </c>
      <c r="G717" s="19" t="s">
        <v>1032</v>
      </c>
      <c r="H717" s="19" t="n">
        <v>15</v>
      </c>
      <c r="I717" s="19" t="n">
        <v>4</v>
      </c>
      <c r="J717" s="19" t="n">
        <v>53.44</v>
      </c>
      <c r="K717" s="39" t="n">
        <v>345000</v>
      </c>
      <c r="L717" s="39" t="n">
        <f aca="false">ROUND(K717/J717,2)</f>
        <v>6455.84</v>
      </c>
      <c r="M717" s="34"/>
      <c r="N717" s="40"/>
      <c r="O717" s="30" t="n">
        <f aca="false">K717+N717</f>
        <v>345000</v>
      </c>
      <c r="P717" s="39" t="n">
        <f aca="false">ROUND(O717/J717,2)</f>
        <v>6455.84</v>
      </c>
      <c r="Q717" s="19" t="s">
        <v>948</v>
      </c>
      <c r="R717" s="22" t="s">
        <v>49</v>
      </c>
      <c r="S717" s="19" t="s">
        <v>29</v>
      </c>
      <c r="T717" s="19" t="s">
        <v>30</v>
      </c>
      <c r="U717" s="31" t="s">
        <v>31</v>
      </c>
      <c r="V717" s="41" t="n">
        <v>43432</v>
      </c>
      <c r="W717" s="18"/>
      <c r="X717" s="18"/>
    </row>
    <row r="718" customFormat="false" ht="13.8" hidden="false" customHeight="false" outlineLevel="0" collapsed="false">
      <c r="A718" s="18"/>
      <c r="B718" s="19" t="n">
        <v>4933</v>
      </c>
      <c r="C718" s="20" t="n">
        <v>43322</v>
      </c>
      <c r="D718" s="38" t="s">
        <v>22</v>
      </c>
      <c r="E718" s="22" t="s">
        <v>284</v>
      </c>
      <c r="F718" s="34" t="s">
        <v>46</v>
      </c>
      <c r="G718" s="19" t="n">
        <v>44</v>
      </c>
      <c r="H718" s="19" t="n">
        <v>15</v>
      </c>
      <c r="I718" s="19" t="n">
        <v>5</v>
      </c>
      <c r="J718" s="19" t="n">
        <v>54.78</v>
      </c>
      <c r="K718" s="39" t="n">
        <v>530000</v>
      </c>
      <c r="L718" s="39" t="n">
        <f aca="false">ROUND(K718/J718,2)</f>
        <v>9675.06</v>
      </c>
      <c r="M718" s="34"/>
      <c r="N718" s="40"/>
      <c r="O718" s="30" t="n">
        <f aca="false">K718+N718</f>
        <v>530000</v>
      </c>
      <c r="P718" s="39" t="n">
        <f aca="false">ROUND(O718/J718,2)</f>
        <v>9675.06</v>
      </c>
      <c r="Q718" s="19" t="s">
        <v>1033</v>
      </c>
      <c r="R718" s="22" t="s">
        <v>26</v>
      </c>
      <c r="S718" s="19" t="s">
        <v>29</v>
      </c>
      <c r="T718" s="19" t="s">
        <v>30</v>
      </c>
      <c r="U718" s="31" t="s">
        <v>31</v>
      </c>
      <c r="V718" s="41" t="n">
        <v>43432</v>
      </c>
      <c r="W718" s="34"/>
      <c r="X718" s="34"/>
    </row>
    <row r="719" customFormat="false" ht="13.8" hidden="false" customHeight="false" outlineLevel="0" collapsed="false">
      <c r="A719" s="18"/>
      <c r="B719" s="19" t="n">
        <v>6977</v>
      </c>
      <c r="C719" s="20" t="n">
        <v>43322</v>
      </c>
      <c r="D719" s="38" t="s">
        <v>22</v>
      </c>
      <c r="E719" s="22" t="s">
        <v>399</v>
      </c>
      <c r="F719" s="34" t="s">
        <v>549</v>
      </c>
      <c r="G719" s="19" t="n">
        <v>5</v>
      </c>
      <c r="H719" s="19" t="n">
        <v>94</v>
      </c>
      <c r="I719" s="19" t="n">
        <v>7</v>
      </c>
      <c r="J719" s="19" t="n">
        <v>35.33</v>
      </c>
      <c r="K719" s="39" t="n">
        <v>400000</v>
      </c>
      <c r="L719" s="39" t="n">
        <f aca="false">ROUND(K719/J719,2)</f>
        <v>11321.82</v>
      </c>
      <c r="M719" s="34" t="s">
        <v>1034</v>
      </c>
      <c r="N719" s="40" t="n">
        <v>50000</v>
      </c>
      <c r="O719" s="30" t="n">
        <f aca="false">K719+N719</f>
        <v>450000</v>
      </c>
      <c r="P719" s="39" t="n">
        <f aca="false">ROUND(O719/J719,2)</f>
        <v>12737.05</v>
      </c>
      <c r="Q719" s="19" t="s">
        <v>1020</v>
      </c>
      <c r="R719" s="22" t="s">
        <v>36</v>
      </c>
      <c r="S719" s="19" t="s">
        <v>29</v>
      </c>
      <c r="T719" s="19" t="s">
        <v>30</v>
      </c>
      <c r="U719" s="31" t="s">
        <v>31</v>
      </c>
      <c r="V719" s="41" t="n">
        <v>43432</v>
      </c>
      <c r="W719" s="34"/>
      <c r="X719" s="34"/>
      <c r="AMJ719" s="32"/>
    </row>
    <row r="720" s="32" customFormat="true" ht="13.8" hidden="false" customHeight="false" outlineLevel="0" collapsed="false">
      <c r="A720" s="18"/>
      <c r="B720" s="19" t="n">
        <v>3059</v>
      </c>
      <c r="C720" s="20" t="n">
        <v>43322</v>
      </c>
      <c r="D720" s="38" t="s">
        <v>22</v>
      </c>
      <c r="E720" s="22" t="s">
        <v>118</v>
      </c>
      <c r="F720" s="34" t="s">
        <v>462</v>
      </c>
      <c r="G720" s="19" t="n">
        <v>5</v>
      </c>
      <c r="H720" s="19" t="n">
        <v>60</v>
      </c>
      <c r="I720" s="19" t="n">
        <v>5</v>
      </c>
      <c r="J720" s="19" t="n">
        <v>37.9</v>
      </c>
      <c r="K720" s="39" t="n">
        <v>355000</v>
      </c>
      <c r="L720" s="39" t="n">
        <f aca="false">ROUND(K720/J720,2)</f>
        <v>9366.75</v>
      </c>
      <c r="M720" s="18"/>
      <c r="N720" s="40"/>
      <c r="O720" s="30" t="n">
        <f aca="false">K720+N720</f>
        <v>355000</v>
      </c>
      <c r="P720" s="39" t="n">
        <f aca="false">ROUND(O720/J720,2)</f>
        <v>9366.75</v>
      </c>
      <c r="Q720" s="19" t="s">
        <v>952</v>
      </c>
      <c r="R720" s="22" t="s">
        <v>26</v>
      </c>
      <c r="S720" s="19" t="s">
        <v>29</v>
      </c>
      <c r="T720" s="19" t="s">
        <v>30</v>
      </c>
      <c r="U720" s="31" t="s">
        <v>31</v>
      </c>
      <c r="V720" s="41" t="n">
        <v>43432</v>
      </c>
      <c r="W720" s="34"/>
      <c r="X720" s="34"/>
    </row>
    <row r="721" s="32" customFormat="true" ht="13.8" hidden="false" customHeight="false" outlineLevel="0" collapsed="false">
      <c r="A721" s="18"/>
      <c r="B721" s="19" t="n">
        <v>2251</v>
      </c>
      <c r="C721" s="20" t="n">
        <v>43322</v>
      </c>
      <c r="D721" s="38" t="s">
        <v>22</v>
      </c>
      <c r="E721" s="22" t="s">
        <v>32</v>
      </c>
      <c r="F721" s="34" t="s">
        <v>33</v>
      </c>
      <c r="G721" s="19" t="n">
        <v>4</v>
      </c>
      <c r="H721" s="19" t="n">
        <v>6</v>
      </c>
      <c r="I721" s="19" t="n">
        <v>3</v>
      </c>
      <c r="J721" s="19" t="n">
        <v>101.11</v>
      </c>
      <c r="K721" s="39" t="n">
        <v>2100000</v>
      </c>
      <c r="L721" s="39" t="n">
        <f aca="false">ROUND(K721/J721,2)</f>
        <v>20769.46</v>
      </c>
      <c r="M721" s="34" t="s">
        <v>1035</v>
      </c>
      <c r="N721" s="40"/>
      <c r="O721" s="30" t="n">
        <f aca="false">K721+N721</f>
        <v>2100000</v>
      </c>
      <c r="P721" s="39" t="n">
        <f aca="false">ROUND(O721/J721,2)</f>
        <v>20769.46</v>
      </c>
      <c r="Q721" s="19" t="s">
        <v>1036</v>
      </c>
      <c r="R721" s="22"/>
      <c r="S721" s="19" t="s">
        <v>29</v>
      </c>
      <c r="T721" s="19" t="s">
        <v>30</v>
      </c>
      <c r="U721" s="31" t="s">
        <v>31</v>
      </c>
      <c r="V721" s="41" t="n">
        <v>43432</v>
      </c>
      <c r="W721" s="18"/>
      <c r="X721" s="18"/>
    </row>
    <row r="722" s="32" customFormat="true" ht="13.8" hidden="false" customHeight="false" outlineLevel="0" collapsed="false">
      <c r="A722" s="18"/>
      <c r="B722" s="19" t="n">
        <v>875</v>
      </c>
      <c r="C722" s="20" t="n">
        <v>43325</v>
      </c>
      <c r="D722" s="38" t="s">
        <v>22</v>
      </c>
      <c r="E722" s="22" t="s">
        <v>65</v>
      </c>
      <c r="F722" s="34" t="s">
        <v>100</v>
      </c>
      <c r="G722" s="19" t="n">
        <v>9</v>
      </c>
      <c r="H722" s="19" t="n">
        <v>73</v>
      </c>
      <c r="I722" s="19" t="n">
        <v>5</v>
      </c>
      <c r="J722" s="19" t="n">
        <v>42.2</v>
      </c>
      <c r="K722" s="39" t="n">
        <v>419000</v>
      </c>
      <c r="L722" s="39" t="n">
        <f aca="false">ROUND(K722/J722,2)</f>
        <v>9928.91</v>
      </c>
      <c r="M722" s="18"/>
      <c r="N722" s="40"/>
      <c r="O722" s="30" t="n">
        <f aca="false">K722+N722</f>
        <v>419000</v>
      </c>
      <c r="P722" s="39" t="n">
        <f aca="false">ROUND(O722/J722,2)</f>
        <v>9928.91</v>
      </c>
      <c r="Q722" s="19" t="s">
        <v>961</v>
      </c>
      <c r="R722" s="22" t="s">
        <v>26</v>
      </c>
      <c r="S722" s="19" t="s">
        <v>29</v>
      </c>
      <c r="T722" s="19" t="s">
        <v>30</v>
      </c>
      <c r="U722" s="31" t="s">
        <v>31</v>
      </c>
      <c r="V722" s="41" t="n">
        <v>43432</v>
      </c>
      <c r="W722" s="18"/>
      <c r="X722" s="18"/>
    </row>
    <row r="723" s="32" customFormat="true" ht="13.8" hidden="false" customHeight="false" outlineLevel="0" collapsed="false">
      <c r="A723" s="18"/>
      <c r="B723" s="19" t="n">
        <v>12130</v>
      </c>
      <c r="C723" s="20" t="n">
        <v>43325</v>
      </c>
      <c r="D723" s="38" t="s">
        <v>22</v>
      </c>
      <c r="E723" s="22" t="s">
        <v>343</v>
      </c>
      <c r="F723" s="34" t="s">
        <v>344</v>
      </c>
      <c r="G723" s="19" t="n">
        <v>69</v>
      </c>
      <c r="H723" s="19" t="n">
        <v>12</v>
      </c>
      <c r="I723" s="19" t="n">
        <v>3</v>
      </c>
      <c r="J723" s="19" t="n">
        <v>78.43</v>
      </c>
      <c r="K723" s="39" t="n">
        <v>876500</v>
      </c>
      <c r="L723" s="39" t="n">
        <f aca="false">ROUND(K723/J723,2)</f>
        <v>11175.57</v>
      </c>
      <c r="M723" s="34" t="s">
        <v>1037</v>
      </c>
      <c r="N723" s="40"/>
      <c r="O723" s="30" t="n">
        <f aca="false">K723+N723</f>
        <v>876500</v>
      </c>
      <c r="P723" s="39" t="n">
        <f aca="false">ROUND(O723/J723,2)</f>
        <v>11175.57</v>
      </c>
      <c r="Q723" s="19" t="s">
        <v>997</v>
      </c>
      <c r="R723" s="22" t="s">
        <v>49</v>
      </c>
      <c r="S723" s="19" t="s">
        <v>29</v>
      </c>
      <c r="T723" s="19" t="s">
        <v>30</v>
      </c>
      <c r="U723" s="31" t="s">
        <v>31</v>
      </c>
      <c r="V723" s="41" t="n">
        <v>43432</v>
      </c>
      <c r="W723" s="18"/>
      <c r="X723" s="18"/>
    </row>
    <row r="724" customFormat="false" ht="13.8" hidden="false" customHeight="false" outlineLevel="0" collapsed="false">
      <c r="A724" s="18"/>
      <c r="B724" s="19" t="n">
        <v>4534</v>
      </c>
      <c r="C724" s="20" t="n">
        <v>43325</v>
      </c>
      <c r="D724" s="38" t="s">
        <v>22</v>
      </c>
      <c r="E724" s="22" t="s">
        <v>144</v>
      </c>
      <c r="F724" s="34" t="s">
        <v>854</v>
      </c>
      <c r="G724" s="19" t="n">
        <v>19</v>
      </c>
      <c r="H724" s="19" t="n">
        <v>32</v>
      </c>
      <c r="I724" s="19" t="n">
        <v>5</v>
      </c>
      <c r="J724" s="19" t="n">
        <v>55.51</v>
      </c>
      <c r="K724" s="39" t="n">
        <v>591578.55</v>
      </c>
      <c r="L724" s="39" t="n">
        <f aca="false">ROUND(K724/J724,2)</f>
        <v>10657.15</v>
      </c>
      <c r="M724" s="18"/>
      <c r="N724" s="40"/>
      <c r="O724" s="30" t="n">
        <f aca="false">K724+N724</f>
        <v>591578.55</v>
      </c>
      <c r="P724" s="39" t="n">
        <f aca="false">ROUND(O724/J724,2)</f>
        <v>10657.15</v>
      </c>
      <c r="Q724" s="19" t="s">
        <v>1038</v>
      </c>
      <c r="R724" s="22" t="s">
        <v>36</v>
      </c>
      <c r="S724" s="19" t="s">
        <v>29</v>
      </c>
      <c r="T724" s="19" t="s">
        <v>30</v>
      </c>
      <c r="U724" s="31" t="s">
        <v>31</v>
      </c>
      <c r="V724" s="41" t="n">
        <v>43432</v>
      </c>
      <c r="W724" s="18"/>
      <c r="X724" s="18"/>
    </row>
    <row r="725" customFormat="false" ht="13.8" hidden="false" customHeight="false" outlineLevel="0" collapsed="false">
      <c r="A725" s="18"/>
      <c r="B725" s="19" t="n">
        <v>3347</v>
      </c>
      <c r="C725" s="20" t="n">
        <v>43325</v>
      </c>
      <c r="D725" s="38" t="s">
        <v>22</v>
      </c>
      <c r="E725" s="22" t="s">
        <v>80</v>
      </c>
      <c r="F725" s="34" t="s">
        <v>81</v>
      </c>
      <c r="G725" s="19" t="n">
        <v>3</v>
      </c>
      <c r="H725" s="19" t="n">
        <v>49</v>
      </c>
      <c r="I725" s="19" t="n">
        <v>5</v>
      </c>
      <c r="J725" s="19" t="n">
        <v>111.95</v>
      </c>
      <c r="K725" s="39" t="n">
        <v>1614000</v>
      </c>
      <c r="L725" s="39" t="n">
        <f aca="false">ROUND(K725/J725,2)</f>
        <v>14417.15</v>
      </c>
      <c r="M725" s="34" t="s">
        <v>1039</v>
      </c>
      <c r="N725" s="40" t="n">
        <f aca="false">70000+10000</f>
        <v>80000</v>
      </c>
      <c r="O725" s="30" t="n">
        <f aca="false">K725+N725</f>
        <v>1694000</v>
      </c>
      <c r="P725" s="39" t="n">
        <f aca="false">ROUND(O725/J725,2)</f>
        <v>15131.76</v>
      </c>
      <c r="Q725" s="19" t="s">
        <v>1040</v>
      </c>
      <c r="R725" s="22" t="s">
        <v>57</v>
      </c>
      <c r="S725" s="19" t="s">
        <v>29</v>
      </c>
      <c r="T725" s="19" t="s">
        <v>30</v>
      </c>
      <c r="U725" s="31" t="s">
        <v>31</v>
      </c>
      <c r="V725" s="41" t="n">
        <v>43432</v>
      </c>
      <c r="W725" s="18"/>
      <c r="X725" s="18"/>
    </row>
    <row r="726" customFormat="false" ht="13.8" hidden="false" customHeight="false" outlineLevel="0" collapsed="false">
      <c r="A726" s="18"/>
      <c r="B726" s="19" t="n">
        <v>10231</v>
      </c>
      <c r="C726" s="20" t="n">
        <v>43325</v>
      </c>
      <c r="D726" s="38" t="s">
        <v>22</v>
      </c>
      <c r="E726" s="22" t="s">
        <v>369</v>
      </c>
      <c r="F726" s="34" t="s">
        <v>1041</v>
      </c>
      <c r="G726" s="19" t="n">
        <v>7</v>
      </c>
      <c r="H726" s="19" t="n">
        <v>5</v>
      </c>
      <c r="I726" s="19" t="n">
        <v>3</v>
      </c>
      <c r="J726" s="19" t="n">
        <v>75.3</v>
      </c>
      <c r="K726" s="39" t="n">
        <v>840000</v>
      </c>
      <c r="L726" s="39" t="n">
        <f aca="false">ROUND(K726/J726,2)</f>
        <v>11155.38</v>
      </c>
      <c r="M726" s="34" t="s">
        <v>189</v>
      </c>
      <c r="N726" s="40"/>
      <c r="O726" s="30" t="n">
        <f aca="false">K726+N726</f>
        <v>840000</v>
      </c>
      <c r="P726" s="39" t="n">
        <f aca="false">ROUND(O726/J726,2)</f>
        <v>11155.38</v>
      </c>
      <c r="Q726" s="19" t="s">
        <v>948</v>
      </c>
      <c r="R726" s="22" t="s">
        <v>49</v>
      </c>
      <c r="S726" s="19" t="s">
        <v>29</v>
      </c>
      <c r="T726" s="19" t="s">
        <v>30</v>
      </c>
      <c r="U726" s="31" t="s">
        <v>31</v>
      </c>
      <c r="V726" s="41" t="n">
        <v>43432</v>
      </c>
      <c r="W726" s="34"/>
      <c r="X726" s="34"/>
    </row>
    <row r="727" customFormat="false" ht="13.8" hidden="false" customHeight="false" outlineLevel="0" collapsed="false">
      <c r="A727" s="18"/>
      <c r="B727" s="19" t="n">
        <v>1024</v>
      </c>
      <c r="C727" s="20" t="n">
        <v>43325</v>
      </c>
      <c r="D727" s="38" t="s">
        <v>22</v>
      </c>
      <c r="E727" s="22" t="s">
        <v>278</v>
      </c>
      <c r="F727" s="34" t="s">
        <v>288</v>
      </c>
      <c r="G727" s="19" t="s">
        <v>430</v>
      </c>
      <c r="H727" s="19" t="n">
        <v>17</v>
      </c>
      <c r="I727" s="19" t="n">
        <v>8</v>
      </c>
      <c r="J727" s="19" t="n">
        <v>65</v>
      </c>
      <c r="K727" s="39" t="n">
        <v>480000</v>
      </c>
      <c r="L727" s="39" t="n">
        <f aca="false">ROUND(K727/J727,2)</f>
        <v>7384.62</v>
      </c>
      <c r="M727" s="34"/>
      <c r="N727" s="40"/>
      <c r="O727" s="30" t="n">
        <f aca="false">K727+N727</f>
        <v>480000</v>
      </c>
      <c r="P727" s="39" t="n">
        <f aca="false">ROUND(O727/J727,2)</f>
        <v>7384.62</v>
      </c>
      <c r="Q727" s="19" t="s">
        <v>946</v>
      </c>
      <c r="R727" s="22" t="s">
        <v>49</v>
      </c>
      <c r="S727" s="19" t="s">
        <v>29</v>
      </c>
      <c r="T727" s="19" t="s">
        <v>30</v>
      </c>
      <c r="U727" s="31" t="s">
        <v>31</v>
      </c>
      <c r="V727" s="41" t="n">
        <v>43432</v>
      </c>
      <c r="W727" s="18"/>
      <c r="X727" s="18"/>
    </row>
    <row r="728" customFormat="false" ht="13.8" hidden="false" customHeight="false" outlineLevel="0" collapsed="false">
      <c r="A728" s="18"/>
      <c r="B728" s="19" t="n">
        <v>5615</v>
      </c>
      <c r="C728" s="20" t="n">
        <v>43325</v>
      </c>
      <c r="D728" s="38" t="s">
        <v>22</v>
      </c>
      <c r="E728" s="22" t="s">
        <v>65</v>
      </c>
      <c r="F728" s="34" t="s">
        <v>764</v>
      </c>
      <c r="G728" s="19" t="n">
        <v>2</v>
      </c>
      <c r="H728" s="19" t="n">
        <v>25</v>
      </c>
      <c r="I728" s="19" t="n">
        <v>3</v>
      </c>
      <c r="J728" s="19" t="n">
        <v>63.5</v>
      </c>
      <c r="K728" s="39" t="n">
        <v>480000</v>
      </c>
      <c r="L728" s="39" t="n">
        <f aca="false">ROUND(K728/J728,2)</f>
        <v>7559.06</v>
      </c>
      <c r="M728" s="34"/>
      <c r="N728" s="40"/>
      <c r="O728" s="30" t="n">
        <f aca="false">K728+N728</f>
        <v>480000</v>
      </c>
      <c r="P728" s="39" t="n">
        <f aca="false">ROUND(O728/J728,2)</f>
        <v>7559.06</v>
      </c>
      <c r="Q728" s="19" t="s">
        <v>1042</v>
      </c>
      <c r="R728" s="22" t="s">
        <v>57</v>
      </c>
      <c r="S728" s="19" t="s">
        <v>29</v>
      </c>
      <c r="T728" s="19" t="s">
        <v>30</v>
      </c>
      <c r="U728" s="31" t="s">
        <v>31</v>
      </c>
      <c r="V728" s="41" t="n">
        <v>43432</v>
      </c>
      <c r="W728" s="18"/>
      <c r="X728" s="18"/>
    </row>
    <row r="729" customFormat="false" ht="13.8" hidden="false" customHeight="false" outlineLevel="0" collapsed="false">
      <c r="A729" s="18"/>
      <c r="B729" s="19" t="n">
        <v>2807</v>
      </c>
      <c r="C729" s="20" t="n">
        <v>43325</v>
      </c>
      <c r="D729" s="38" t="s">
        <v>22</v>
      </c>
      <c r="E729" s="22" t="s">
        <v>37</v>
      </c>
      <c r="F729" s="34" t="s">
        <v>386</v>
      </c>
      <c r="G729" s="19" t="n">
        <v>10</v>
      </c>
      <c r="H729" s="19" t="n">
        <v>9</v>
      </c>
      <c r="I729" s="19" t="n">
        <v>3</v>
      </c>
      <c r="J729" s="19" t="n">
        <v>48.48</v>
      </c>
      <c r="K729" s="39" t="n">
        <v>427500</v>
      </c>
      <c r="L729" s="39" t="n">
        <f aca="false">ROUND(K729/J729,2)</f>
        <v>8818.07</v>
      </c>
      <c r="M729" s="34"/>
      <c r="N729" s="40"/>
      <c r="O729" s="30" t="n">
        <f aca="false">K729+N729</f>
        <v>427500</v>
      </c>
      <c r="P729" s="39" t="n">
        <f aca="false">ROUND(O729/J729,2)</f>
        <v>8818.07</v>
      </c>
      <c r="Q729" s="19" t="s">
        <v>952</v>
      </c>
      <c r="R729" s="22" t="s">
        <v>26</v>
      </c>
      <c r="S729" s="19" t="s">
        <v>29</v>
      </c>
      <c r="T729" s="19" t="s">
        <v>30</v>
      </c>
      <c r="U729" s="31" t="s">
        <v>31</v>
      </c>
      <c r="V729" s="41" t="n">
        <v>43432</v>
      </c>
      <c r="W729" s="34"/>
      <c r="X729" s="34"/>
    </row>
    <row r="730" customFormat="false" ht="13.8" hidden="false" customHeight="false" outlineLevel="0" collapsed="false">
      <c r="A730" s="18"/>
      <c r="B730" s="19" t="n">
        <v>3440</v>
      </c>
      <c r="C730" s="20" t="n">
        <v>43325</v>
      </c>
      <c r="D730" s="38" t="s">
        <v>22</v>
      </c>
      <c r="E730" s="22" t="s">
        <v>268</v>
      </c>
      <c r="F730" s="34" t="s">
        <v>87</v>
      </c>
      <c r="G730" s="19" t="s">
        <v>1043</v>
      </c>
      <c r="H730" s="19" t="n">
        <v>6</v>
      </c>
      <c r="I730" s="19" t="n">
        <v>2</v>
      </c>
      <c r="J730" s="19" t="n">
        <v>41.76</v>
      </c>
      <c r="K730" s="39" t="n">
        <v>335000</v>
      </c>
      <c r="L730" s="39" t="n">
        <f aca="false">ROUND(K730/J730,2)</f>
        <v>8022.03</v>
      </c>
      <c r="M730" s="34" t="s">
        <v>1044</v>
      </c>
      <c r="N730" s="40"/>
      <c r="O730" s="30" t="n">
        <f aca="false">K730+N730</f>
        <v>335000</v>
      </c>
      <c r="P730" s="39" t="n">
        <f aca="false">ROUND(O730/J730,2)</f>
        <v>8022.03</v>
      </c>
      <c r="Q730" s="19" t="s">
        <v>952</v>
      </c>
      <c r="R730" s="22" t="s">
        <v>26</v>
      </c>
      <c r="S730" s="19" t="s">
        <v>29</v>
      </c>
      <c r="T730" s="19" t="s">
        <v>30</v>
      </c>
      <c r="U730" s="31" t="s">
        <v>31</v>
      </c>
      <c r="V730" s="41" t="n">
        <v>43432</v>
      </c>
      <c r="W730" s="34"/>
      <c r="X730" s="34"/>
    </row>
    <row r="731" customFormat="false" ht="13.8" hidden="false" customHeight="false" outlineLevel="0" collapsed="false">
      <c r="A731" s="18"/>
      <c r="B731" s="19" t="n">
        <v>1956</v>
      </c>
      <c r="C731" s="20" t="n">
        <v>43325</v>
      </c>
      <c r="D731" s="38" t="s">
        <v>22</v>
      </c>
      <c r="E731" s="22" t="s">
        <v>389</v>
      </c>
      <c r="F731" s="34" t="s">
        <v>46</v>
      </c>
      <c r="G731" s="19" t="s">
        <v>1045</v>
      </c>
      <c r="H731" s="19" t="n">
        <v>2</v>
      </c>
      <c r="I731" s="19" t="n">
        <v>1</v>
      </c>
      <c r="J731" s="19" t="n">
        <v>43.46</v>
      </c>
      <c r="K731" s="39" t="n">
        <v>430000</v>
      </c>
      <c r="L731" s="39" t="n">
        <f aca="false">ROUND(K731/J731,2)</f>
        <v>9894.16</v>
      </c>
      <c r="M731" s="34" t="s">
        <v>189</v>
      </c>
      <c r="N731" s="40"/>
      <c r="O731" s="30" t="n">
        <f aca="false">K731+N731</f>
        <v>430000</v>
      </c>
      <c r="P731" s="39" t="n">
        <f aca="false">ROUND(O731/J731,2)</f>
        <v>9894.16</v>
      </c>
      <c r="Q731" s="19" t="s">
        <v>925</v>
      </c>
      <c r="R731" s="22" t="s">
        <v>26</v>
      </c>
      <c r="S731" s="19" t="s">
        <v>29</v>
      </c>
      <c r="T731" s="19" t="s">
        <v>30</v>
      </c>
      <c r="U731" s="31" t="s">
        <v>31</v>
      </c>
      <c r="V731" s="41" t="n">
        <v>43432</v>
      </c>
      <c r="W731" s="18"/>
      <c r="X731" s="18"/>
    </row>
    <row r="732" customFormat="false" ht="13.8" hidden="false" customHeight="false" outlineLevel="0" collapsed="false">
      <c r="A732" s="18"/>
      <c r="B732" s="19" t="n">
        <v>23074</v>
      </c>
      <c r="C732" s="20" t="n">
        <v>43325</v>
      </c>
      <c r="D732" s="38" t="s">
        <v>22</v>
      </c>
      <c r="E732" s="22" t="s">
        <v>109</v>
      </c>
      <c r="F732" s="34" t="s">
        <v>271</v>
      </c>
      <c r="G732" s="19" t="n">
        <v>30</v>
      </c>
      <c r="H732" s="19" t="n">
        <v>44</v>
      </c>
      <c r="I732" s="19" t="n">
        <v>2</v>
      </c>
      <c r="J732" s="19" t="n">
        <v>44.69</v>
      </c>
      <c r="K732" s="39" t="n">
        <v>465000</v>
      </c>
      <c r="L732" s="39" t="n">
        <f aca="false">ROUND(K732/J732,2)</f>
        <v>10405.01</v>
      </c>
      <c r="M732" s="34"/>
      <c r="N732" s="40"/>
      <c r="O732" s="30" t="n">
        <f aca="false">K732+N732</f>
        <v>465000</v>
      </c>
      <c r="P732" s="39" t="n">
        <f aca="false">ROUND(O732/J732,2)</f>
        <v>10405.01</v>
      </c>
      <c r="Q732" s="19" t="s">
        <v>925</v>
      </c>
      <c r="R732" s="22" t="s">
        <v>26</v>
      </c>
      <c r="S732" s="19" t="s">
        <v>29</v>
      </c>
      <c r="T732" s="19" t="s">
        <v>30</v>
      </c>
      <c r="U732" s="31" t="s">
        <v>31</v>
      </c>
      <c r="V732" s="41" t="n">
        <v>43432</v>
      </c>
      <c r="W732" s="18"/>
      <c r="X732" s="18"/>
    </row>
    <row r="733" customFormat="false" ht="13.8" hidden="false" customHeight="false" outlineLevel="0" collapsed="false">
      <c r="A733" s="18"/>
      <c r="B733" s="19" t="n">
        <v>2648</v>
      </c>
      <c r="C733" s="20" t="n">
        <v>43325</v>
      </c>
      <c r="D733" s="38" t="s">
        <v>22</v>
      </c>
      <c r="E733" s="22" t="s">
        <v>302</v>
      </c>
      <c r="F733" s="34" t="s">
        <v>641</v>
      </c>
      <c r="G733" s="19" t="n">
        <v>17</v>
      </c>
      <c r="H733" s="19" t="n">
        <v>12</v>
      </c>
      <c r="I733" s="19" t="n">
        <v>4</v>
      </c>
      <c r="J733" s="19" t="n">
        <v>45.9</v>
      </c>
      <c r="K733" s="39" t="n">
        <v>420000</v>
      </c>
      <c r="L733" s="39" t="n">
        <f aca="false">ROUND(K733/J733,2)</f>
        <v>9150.33</v>
      </c>
      <c r="M733" s="34"/>
      <c r="N733" s="40"/>
      <c r="O733" s="30" t="n">
        <f aca="false">K733+N733</f>
        <v>420000</v>
      </c>
      <c r="P733" s="39" t="n">
        <f aca="false">ROUND(O733/J733,2)</f>
        <v>9150.33</v>
      </c>
      <c r="Q733" s="19" t="s">
        <v>925</v>
      </c>
      <c r="R733" s="22" t="s">
        <v>26</v>
      </c>
      <c r="S733" s="19" t="s">
        <v>29</v>
      </c>
      <c r="T733" s="19" t="s">
        <v>30</v>
      </c>
      <c r="U733" s="31" t="s">
        <v>31</v>
      </c>
      <c r="V733" s="41" t="n">
        <v>43432</v>
      </c>
      <c r="W733" s="18"/>
      <c r="X733" s="18"/>
    </row>
    <row r="734" customFormat="false" ht="13.8" hidden="false" customHeight="false" outlineLevel="0" collapsed="false">
      <c r="A734" s="18"/>
      <c r="B734" s="19" t="n">
        <v>3516</v>
      </c>
      <c r="C734" s="20" t="n">
        <v>43325</v>
      </c>
      <c r="D734" s="38" t="s">
        <v>22</v>
      </c>
      <c r="E734" s="22" t="s">
        <v>118</v>
      </c>
      <c r="F734" s="34" t="s">
        <v>462</v>
      </c>
      <c r="G734" s="19" t="n">
        <v>2</v>
      </c>
      <c r="H734" s="19" t="n">
        <v>121</v>
      </c>
      <c r="I734" s="19" t="n">
        <v>11</v>
      </c>
      <c r="J734" s="19" t="n">
        <v>38.3</v>
      </c>
      <c r="K734" s="39" t="n">
        <f aca="false">162000+178000</f>
        <v>340000</v>
      </c>
      <c r="L734" s="39" t="n">
        <f aca="false">ROUND(K734/J734,2)</f>
        <v>8877.28</v>
      </c>
      <c r="M734" s="34" t="s">
        <v>189</v>
      </c>
      <c r="N734" s="40"/>
      <c r="O734" s="30" t="n">
        <f aca="false">K734+N734</f>
        <v>340000</v>
      </c>
      <c r="P734" s="39" t="n">
        <f aca="false">ROUND(O734/J734,2)</f>
        <v>8877.28</v>
      </c>
      <c r="Q734" s="19" t="s">
        <v>1046</v>
      </c>
      <c r="R734" s="22" t="s">
        <v>26</v>
      </c>
      <c r="S734" s="19" t="s">
        <v>29</v>
      </c>
      <c r="T734" s="19" t="s">
        <v>30</v>
      </c>
      <c r="U734" s="31" t="s">
        <v>31</v>
      </c>
      <c r="V734" s="41" t="n">
        <v>43432</v>
      </c>
      <c r="W734" s="18"/>
      <c r="X734" s="18"/>
    </row>
    <row r="735" customFormat="false" ht="13.8" hidden="false" customHeight="false" outlineLevel="0" collapsed="false">
      <c r="A735" s="18"/>
      <c r="B735" s="19" t="n">
        <v>3581</v>
      </c>
      <c r="C735" s="20" t="n">
        <v>43325</v>
      </c>
      <c r="D735" s="38" t="s">
        <v>22</v>
      </c>
      <c r="E735" s="22" t="s">
        <v>399</v>
      </c>
      <c r="F735" s="34" t="s">
        <v>1047</v>
      </c>
      <c r="G735" s="19" t="n">
        <v>1</v>
      </c>
      <c r="H735" s="19" t="n">
        <v>9</v>
      </c>
      <c r="I735" s="19"/>
      <c r="J735" s="19" t="n">
        <v>51.42</v>
      </c>
      <c r="K735" s="39" t="n">
        <v>459600</v>
      </c>
      <c r="L735" s="39" t="n">
        <f aca="false">ROUND(K735/J735,2)</f>
        <v>8938.16</v>
      </c>
      <c r="M735" s="34" t="s">
        <v>1048</v>
      </c>
      <c r="N735" s="40" t="n">
        <v>30000</v>
      </c>
      <c r="O735" s="30" t="n">
        <f aca="false">K735+N735</f>
        <v>489600</v>
      </c>
      <c r="P735" s="39" t="n">
        <f aca="false">ROUND(O735/J735,2)</f>
        <v>9521.59</v>
      </c>
      <c r="Q735" s="19" t="s">
        <v>958</v>
      </c>
      <c r="R735" s="22" t="s">
        <v>26</v>
      </c>
      <c r="S735" s="19" t="s">
        <v>29</v>
      </c>
      <c r="T735" s="19" t="s">
        <v>30</v>
      </c>
      <c r="U735" s="31" t="s">
        <v>31</v>
      </c>
      <c r="V735" s="41" t="n">
        <v>43432</v>
      </c>
      <c r="W735" s="18"/>
      <c r="X735" s="18"/>
    </row>
    <row r="736" customFormat="false" ht="13.8" hidden="false" customHeight="false" outlineLevel="0" collapsed="false">
      <c r="A736" s="18"/>
      <c r="B736" s="19" t="n">
        <v>1846</v>
      </c>
      <c r="C736" s="20" t="n">
        <v>43326</v>
      </c>
      <c r="D736" s="38" t="s">
        <v>22</v>
      </c>
      <c r="E736" s="22" t="s">
        <v>187</v>
      </c>
      <c r="F736" s="34" t="s">
        <v>1041</v>
      </c>
      <c r="G736" s="19" t="n">
        <v>81</v>
      </c>
      <c r="H736" s="19" t="n">
        <v>13</v>
      </c>
      <c r="I736" s="19" t="n">
        <v>2</v>
      </c>
      <c r="J736" s="19" t="n">
        <v>35.4</v>
      </c>
      <c r="K736" s="39" t="n">
        <v>310000</v>
      </c>
      <c r="L736" s="39" t="n">
        <f aca="false">ROUND(K736/J736,2)</f>
        <v>8757.06</v>
      </c>
      <c r="M736" s="34" t="s">
        <v>189</v>
      </c>
      <c r="N736" s="40"/>
      <c r="O736" s="30" t="n">
        <f aca="false">K736+N736</f>
        <v>310000</v>
      </c>
      <c r="P736" s="39" t="n">
        <f aca="false">ROUND(O736/J736,2)</f>
        <v>8757.06</v>
      </c>
      <c r="Q736" s="19" t="s">
        <v>995</v>
      </c>
      <c r="R736" s="22" t="s">
        <v>36</v>
      </c>
      <c r="S736" s="19" t="s">
        <v>29</v>
      </c>
      <c r="T736" s="19" t="s">
        <v>30</v>
      </c>
      <c r="U736" s="31" t="s">
        <v>31</v>
      </c>
      <c r="V736" s="41" t="n">
        <v>43432</v>
      </c>
      <c r="W736" s="18"/>
      <c r="X736" s="18"/>
      <c r="AMJ736" s="32"/>
    </row>
    <row r="737" s="32" customFormat="true" ht="13.8" hidden="false" customHeight="false" outlineLevel="0" collapsed="false">
      <c r="A737" s="18"/>
      <c r="B737" s="19" t="n">
        <v>4414</v>
      </c>
      <c r="C737" s="20" t="n">
        <v>43326</v>
      </c>
      <c r="D737" s="38" t="s">
        <v>22</v>
      </c>
      <c r="E737" s="22" t="s">
        <v>129</v>
      </c>
      <c r="F737" s="34" t="s">
        <v>957</v>
      </c>
      <c r="G737" s="19" t="n">
        <v>10</v>
      </c>
      <c r="H737" s="19" t="n">
        <v>27</v>
      </c>
      <c r="I737" s="19" t="n">
        <v>2</v>
      </c>
      <c r="J737" s="19" t="n">
        <v>67.1</v>
      </c>
      <c r="K737" s="39" t="n">
        <v>515000</v>
      </c>
      <c r="L737" s="39" t="n">
        <f aca="false">ROUND(K737/J737,2)</f>
        <v>7675.11</v>
      </c>
      <c r="M737" s="34" t="s">
        <v>1049</v>
      </c>
      <c r="N737" s="40"/>
      <c r="O737" s="30" t="n">
        <f aca="false">K737+N737</f>
        <v>515000</v>
      </c>
      <c r="P737" s="39" t="n">
        <f aca="false">ROUND(O737/J737,2)</f>
        <v>7675.11</v>
      </c>
      <c r="Q737" s="19" t="s">
        <v>1050</v>
      </c>
      <c r="R737" s="22" t="s">
        <v>49</v>
      </c>
      <c r="S737" s="19" t="s">
        <v>29</v>
      </c>
      <c r="T737" s="19" t="s">
        <v>30</v>
      </c>
      <c r="U737" s="31" t="s">
        <v>31</v>
      </c>
      <c r="V737" s="41" t="n">
        <v>43432</v>
      </c>
      <c r="W737" s="18"/>
      <c r="X737" s="18"/>
      <c r="Y737" s="35"/>
      <c r="Z737" s="43"/>
    </row>
    <row r="738" s="32" customFormat="true" ht="13.8" hidden="false" customHeight="false" outlineLevel="0" collapsed="false">
      <c r="A738" s="18"/>
      <c r="B738" s="19" t="n">
        <v>2765</v>
      </c>
      <c r="C738" s="20" t="n">
        <v>43326</v>
      </c>
      <c r="D738" s="38" t="s">
        <v>22</v>
      </c>
      <c r="E738" s="22" t="s">
        <v>23</v>
      </c>
      <c r="F738" s="34" t="s">
        <v>957</v>
      </c>
      <c r="G738" s="19" t="n">
        <v>75</v>
      </c>
      <c r="H738" s="19" t="n">
        <v>6</v>
      </c>
      <c r="I738" s="19" t="n">
        <v>1</v>
      </c>
      <c r="J738" s="19" t="n">
        <v>38.9</v>
      </c>
      <c r="K738" s="39" t="n">
        <v>310000</v>
      </c>
      <c r="L738" s="39" t="n">
        <f aca="false">ROUND(K738/J738,2)</f>
        <v>7969.15</v>
      </c>
      <c r="M738" s="34"/>
      <c r="N738" s="40"/>
      <c r="O738" s="30" t="n">
        <f aca="false">K738+N738</f>
        <v>310000</v>
      </c>
      <c r="P738" s="39" t="n">
        <f aca="false">ROUND(O738/J738,2)</f>
        <v>7969.15</v>
      </c>
      <c r="Q738" s="19" t="s">
        <v>925</v>
      </c>
      <c r="R738" s="22" t="s">
        <v>26</v>
      </c>
      <c r="S738" s="19" t="s">
        <v>29</v>
      </c>
      <c r="T738" s="19" t="s">
        <v>30</v>
      </c>
      <c r="U738" s="31" t="s">
        <v>31</v>
      </c>
      <c r="V738" s="41" t="n">
        <v>43432</v>
      </c>
      <c r="W738" s="34"/>
      <c r="X738" s="34"/>
      <c r="Y738" s="1"/>
      <c r="Z738" s="1"/>
    </row>
    <row r="739" customFormat="false" ht="13.8" hidden="false" customHeight="false" outlineLevel="0" collapsed="false">
      <c r="A739" s="18"/>
      <c r="B739" s="19" t="n">
        <v>4642</v>
      </c>
      <c r="C739" s="20" t="n">
        <v>43326</v>
      </c>
      <c r="D739" s="38" t="s">
        <v>22</v>
      </c>
      <c r="E739" s="22" t="s">
        <v>644</v>
      </c>
      <c r="F739" s="34" t="s">
        <v>404</v>
      </c>
      <c r="G739" s="19" t="s">
        <v>1051</v>
      </c>
      <c r="H739" s="19" t="n">
        <v>55</v>
      </c>
      <c r="I739" s="19" t="n">
        <v>2</v>
      </c>
      <c r="J739" s="19" t="n">
        <v>47.01</v>
      </c>
      <c r="K739" s="39" t="n">
        <v>440000</v>
      </c>
      <c r="L739" s="39" t="n">
        <f aca="false">ROUND(K739/J739,2)</f>
        <v>9359.71</v>
      </c>
      <c r="M739" s="34" t="s">
        <v>189</v>
      </c>
      <c r="N739" s="40"/>
      <c r="O739" s="30" t="n">
        <f aca="false">K739+N739</f>
        <v>440000</v>
      </c>
      <c r="P739" s="39" t="n">
        <f aca="false">ROUND(O739/J739,2)</f>
        <v>9359.71</v>
      </c>
      <c r="Q739" s="19" t="s">
        <v>925</v>
      </c>
      <c r="R739" s="22" t="s">
        <v>26</v>
      </c>
      <c r="S739" s="19" t="s">
        <v>29</v>
      </c>
      <c r="T739" s="19" t="s">
        <v>30</v>
      </c>
      <c r="U739" s="31" t="s">
        <v>31</v>
      </c>
      <c r="V739" s="41" t="n">
        <v>43432</v>
      </c>
      <c r="W739" s="34"/>
      <c r="X739" s="34"/>
    </row>
    <row r="740" customFormat="false" ht="13.8" hidden="false" customHeight="false" outlineLevel="0" collapsed="false">
      <c r="A740" s="18"/>
      <c r="B740" s="19" t="n">
        <v>7785</v>
      </c>
      <c r="C740" s="20" t="n">
        <v>43326</v>
      </c>
      <c r="D740" s="38" t="s">
        <v>22</v>
      </c>
      <c r="E740" s="22" t="s">
        <v>369</v>
      </c>
      <c r="F740" s="34" t="s">
        <v>370</v>
      </c>
      <c r="G740" s="19" t="s">
        <v>1052</v>
      </c>
      <c r="H740" s="19" t="n">
        <v>6</v>
      </c>
      <c r="I740" s="19" t="n">
        <v>1</v>
      </c>
      <c r="J740" s="19" t="n">
        <v>75.59</v>
      </c>
      <c r="K740" s="39" t="n">
        <v>735000</v>
      </c>
      <c r="L740" s="39" t="n">
        <f aca="false">ROUND(K740/J740,2)</f>
        <v>9723.51</v>
      </c>
      <c r="M740" s="18"/>
      <c r="N740" s="40"/>
      <c r="O740" s="30" t="n">
        <f aca="false">K740+N740</f>
        <v>735000</v>
      </c>
      <c r="P740" s="39" t="n">
        <f aca="false">ROUND(O740/J740,2)</f>
        <v>9723.51</v>
      </c>
      <c r="Q740" s="19" t="s">
        <v>946</v>
      </c>
      <c r="R740" s="22" t="s">
        <v>49</v>
      </c>
      <c r="S740" s="19" t="s">
        <v>29</v>
      </c>
      <c r="T740" s="19" t="s">
        <v>30</v>
      </c>
      <c r="U740" s="31" t="s">
        <v>31</v>
      </c>
      <c r="V740" s="41" t="n">
        <v>43432</v>
      </c>
      <c r="W740" s="34"/>
      <c r="X740" s="34"/>
      <c r="AMJ740" s="32"/>
    </row>
    <row r="741" s="32" customFormat="true" ht="13.8" hidden="false" customHeight="false" outlineLevel="0" collapsed="false">
      <c r="A741" s="18"/>
      <c r="B741" s="19" t="n">
        <v>1964</v>
      </c>
      <c r="C741" s="20" t="n">
        <v>43326</v>
      </c>
      <c r="D741" s="38" t="s">
        <v>22</v>
      </c>
      <c r="E741" s="22" t="s">
        <v>308</v>
      </c>
      <c r="F741" s="34" t="s">
        <v>788</v>
      </c>
      <c r="G741" s="19" t="s">
        <v>884</v>
      </c>
      <c r="H741" s="19" t="n">
        <v>26</v>
      </c>
      <c r="I741" s="19" t="n">
        <v>4</v>
      </c>
      <c r="J741" s="19" t="n">
        <v>50.76</v>
      </c>
      <c r="K741" s="39" t="n">
        <v>505000</v>
      </c>
      <c r="L741" s="39" t="n">
        <f aca="false">ROUND(K741/J741,2)</f>
        <v>9948.78</v>
      </c>
      <c r="M741" s="34" t="s">
        <v>189</v>
      </c>
      <c r="N741" s="40"/>
      <c r="O741" s="30" t="n">
        <f aca="false">K741+N741</f>
        <v>505000</v>
      </c>
      <c r="P741" s="39" t="n">
        <f aca="false">ROUND(O741/J741,2)</f>
        <v>9948.78</v>
      </c>
      <c r="Q741" s="19" t="s">
        <v>952</v>
      </c>
      <c r="R741" s="22" t="s">
        <v>26</v>
      </c>
      <c r="S741" s="19" t="s">
        <v>29</v>
      </c>
      <c r="T741" s="19" t="s">
        <v>30</v>
      </c>
      <c r="U741" s="31" t="s">
        <v>31</v>
      </c>
      <c r="V741" s="41" t="n">
        <v>43432</v>
      </c>
      <c r="W741" s="18"/>
      <c r="X741" s="18"/>
    </row>
    <row r="742" customFormat="false" ht="13.8" hidden="false" customHeight="false" outlineLevel="0" collapsed="false">
      <c r="A742" s="18"/>
      <c r="B742" s="19" t="n">
        <v>3040</v>
      </c>
      <c r="C742" s="20" t="n">
        <v>43326</v>
      </c>
      <c r="D742" s="38" t="s">
        <v>22</v>
      </c>
      <c r="E742" s="22" t="s">
        <v>308</v>
      </c>
      <c r="F742" s="34" t="s">
        <v>46</v>
      </c>
      <c r="G742" s="19" t="s">
        <v>274</v>
      </c>
      <c r="H742" s="19" t="n">
        <v>43</v>
      </c>
      <c r="I742" s="19" t="n">
        <v>4</v>
      </c>
      <c r="J742" s="19" t="n">
        <v>40.8</v>
      </c>
      <c r="K742" s="39" t="n">
        <v>315000</v>
      </c>
      <c r="L742" s="39" t="n">
        <f aca="false">ROUND(K742/J742,2)</f>
        <v>7720.59</v>
      </c>
      <c r="M742" s="18"/>
      <c r="N742" s="40"/>
      <c r="O742" s="30" t="n">
        <f aca="false">K742+N742</f>
        <v>315000</v>
      </c>
      <c r="P742" s="39" t="n">
        <f aca="false">ROUND(O742/J742,2)</f>
        <v>7720.59</v>
      </c>
      <c r="Q742" s="19" t="s">
        <v>995</v>
      </c>
      <c r="R742" s="22" t="s">
        <v>36</v>
      </c>
      <c r="S742" s="19" t="s">
        <v>29</v>
      </c>
      <c r="T742" s="19" t="s">
        <v>30</v>
      </c>
      <c r="U742" s="31" t="s">
        <v>31</v>
      </c>
      <c r="V742" s="41" t="n">
        <v>43432</v>
      </c>
      <c r="W742" s="18"/>
      <c r="X742" s="18"/>
      <c r="AMJ742" s="32"/>
    </row>
    <row r="743" s="32" customFormat="true" ht="13.8" hidden="false" customHeight="false" outlineLevel="0" collapsed="false">
      <c r="A743" s="18"/>
      <c r="B743" s="19" t="n">
        <v>5369</v>
      </c>
      <c r="C743" s="20" t="n">
        <v>43326</v>
      </c>
      <c r="D743" s="38" t="s">
        <v>22</v>
      </c>
      <c r="E743" s="22" t="s">
        <v>187</v>
      </c>
      <c r="F743" s="34" t="s">
        <v>271</v>
      </c>
      <c r="G743" s="19" t="n">
        <v>42</v>
      </c>
      <c r="H743" s="19" t="n">
        <v>73</v>
      </c>
      <c r="I743" s="19" t="n">
        <v>5</v>
      </c>
      <c r="J743" s="19" t="n">
        <v>19.5</v>
      </c>
      <c r="K743" s="39" t="n">
        <v>220000</v>
      </c>
      <c r="L743" s="39" t="n">
        <f aca="false">ROUND(K743/J743,2)</f>
        <v>11282.05</v>
      </c>
      <c r="M743" s="34"/>
      <c r="N743" s="40"/>
      <c r="O743" s="30" t="n">
        <f aca="false">K743+N743</f>
        <v>220000</v>
      </c>
      <c r="P743" s="39" t="n">
        <f aca="false">ROUND(O743/J743,2)</f>
        <v>11282.05</v>
      </c>
      <c r="Q743" s="19" t="s">
        <v>1053</v>
      </c>
      <c r="R743" s="22" t="s">
        <v>27</v>
      </c>
      <c r="S743" s="19" t="s">
        <v>29</v>
      </c>
      <c r="T743" s="19" t="s">
        <v>30</v>
      </c>
      <c r="U743" s="31" t="s">
        <v>31</v>
      </c>
      <c r="V743" s="41" t="n">
        <v>43432</v>
      </c>
      <c r="W743" s="34"/>
      <c r="X743" s="34"/>
    </row>
    <row r="744" customFormat="false" ht="13.8" hidden="false" customHeight="false" outlineLevel="0" collapsed="false">
      <c r="A744" s="18"/>
      <c r="B744" s="19" t="n">
        <v>2798</v>
      </c>
      <c r="C744" s="20" t="n">
        <v>43328</v>
      </c>
      <c r="D744" s="38" t="s">
        <v>22</v>
      </c>
      <c r="E744" s="22" t="s">
        <v>343</v>
      </c>
      <c r="F744" s="34" t="s">
        <v>392</v>
      </c>
      <c r="G744" s="19" t="n">
        <v>48</v>
      </c>
      <c r="H744" s="19" t="n">
        <v>10</v>
      </c>
      <c r="I744" s="19" t="n">
        <v>2</v>
      </c>
      <c r="J744" s="19" t="n">
        <v>46.18</v>
      </c>
      <c r="K744" s="39" t="n">
        <v>472385</v>
      </c>
      <c r="L744" s="39" t="n">
        <f aca="false">ROUND(K744/J744,2)</f>
        <v>10229.21</v>
      </c>
      <c r="M744" s="34" t="s">
        <v>987</v>
      </c>
      <c r="N744" s="40" t="n">
        <v>21615</v>
      </c>
      <c r="O744" s="30" t="n">
        <f aca="false">K744+N744</f>
        <v>494000</v>
      </c>
      <c r="P744" s="39" t="n">
        <f aca="false">ROUND(O744/J744,2)</f>
        <v>10697.27</v>
      </c>
      <c r="Q744" s="19" t="s">
        <v>1054</v>
      </c>
      <c r="R744" s="22" t="s">
        <v>36</v>
      </c>
      <c r="S744" s="19" t="s">
        <v>29</v>
      </c>
      <c r="T744" s="19" t="s">
        <v>30</v>
      </c>
      <c r="U744" s="31" t="s">
        <v>31</v>
      </c>
      <c r="V744" s="41" t="n">
        <v>43432</v>
      </c>
      <c r="W744" s="34"/>
      <c r="X744" s="34"/>
      <c r="AMJ744" s="32"/>
    </row>
    <row r="745" s="32" customFormat="true" ht="13.8" hidden="false" customHeight="false" outlineLevel="0" collapsed="false">
      <c r="A745" s="18"/>
      <c r="B745" s="19" t="n">
        <v>1713</v>
      </c>
      <c r="C745" s="20" t="n">
        <v>43328</v>
      </c>
      <c r="D745" s="38" t="s">
        <v>22</v>
      </c>
      <c r="E745" s="22" t="s">
        <v>622</v>
      </c>
      <c r="F745" s="34" t="s">
        <v>38</v>
      </c>
      <c r="G745" s="19" t="n">
        <v>48</v>
      </c>
      <c r="H745" s="19" t="n">
        <v>93</v>
      </c>
      <c r="I745" s="19" t="n">
        <v>8</v>
      </c>
      <c r="J745" s="19" t="n">
        <v>58.7</v>
      </c>
      <c r="K745" s="39" t="n">
        <v>390000</v>
      </c>
      <c r="L745" s="39" t="n">
        <f aca="false">ROUND(K745/J745,2)</f>
        <v>6643.95</v>
      </c>
      <c r="M745" s="18"/>
      <c r="N745" s="40"/>
      <c r="O745" s="30" t="n">
        <f aca="false">K745+N745</f>
        <v>390000</v>
      </c>
      <c r="P745" s="39" t="n">
        <f aca="false">ROUND(O745/J745,2)</f>
        <v>6643.95</v>
      </c>
      <c r="Q745" s="19" t="s">
        <v>1055</v>
      </c>
      <c r="R745" s="22" t="s">
        <v>49</v>
      </c>
      <c r="S745" s="19" t="s">
        <v>29</v>
      </c>
      <c r="T745" s="19" t="s">
        <v>30</v>
      </c>
      <c r="U745" s="31" t="s">
        <v>31</v>
      </c>
      <c r="V745" s="41" t="n">
        <v>43432</v>
      </c>
      <c r="W745" s="34"/>
      <c r="X745" s="34"/>
    </row>
    <row r="746" customFormat="false" ht="13.8" hidden="false" customHeight="false" outlineLevel="0" collapsed="false">
      <c r="A746" s="18"/>
      <c r="B746" s="19" t="n">
        <v>4596</v>
      </c>
      <c r="C746" s="20" t="n">
        <v>43328</v>
      </c>
      <c r="D746" s="38" t="s">
        <v>22</v>
      </c>
      <c r="E746" s="22" t="s">
        <v>65</v>
      </c>
      <c r="F746" s="34" t="s">
        <v>619</v>
      </c>
      <c r="G746" s="19" t="n">
        <v>3</v>
      </c>
      <c r="H746" s="19" t="n">
        <v>24</v>
      </c>
      <c r="I746" s="19" t="n">
        <v>6</v>
      </c>
      <c r="J746" s="19" t="n">
        <v>42.3</v>
      </c>
      <c r="K746" s="39" t="n">
        <v>305000</v>
      </c>
      <c r="L746" s="39" t="n">
        <f aca="false">ROUND(K746/J746,2)</f>
        <v>7210.4</v>
      </c>
      <c r="M746" s="18"/>
      <c r="N746" s="40"/>
      <c r="O746" s="30" t="n">
        <f aca="false">K746+N746</f>
        <v>305000</v>
      </c>
      <c r="P746" s="39" t="n">
        <f aca="false">ROUND(O746/J746,2)</f>
        <v>7210.4</v>
      </c>
      <c r="Q746" s="19"/>
      <c r="R746" s="22"/>
      <c r="S746" s="19" t="s">
        <v>29</v>
      </c>
      <c r="T746" s="19" t="s">
        <v>30</v>
      </c>
      <c r="U746" s="31" t="s">
        <v>31</v>
      </c>
      <c r="V746" s="41" t="n">
        <v>43432</v>
      </c>
      <c r="W746" s="18"/>
      <c r="X746" s="18"/>
    </row>
    <row r="747" customFormat="false" ht="13.8" hidden="false" customHeight="false" outlineLevel="0" collapsed="false">
      <c r="A747" s="18"/>
      <c r="B747" s="19" t="n">
        <v>4676</v>
      </c>
      <c r="C747" s="20" t="n">
        <v>43328</v>
      </c>
      <c r="D747" s="38" t="s">
        <v>22</v>
      </c>
      <c r="E747" s="22" t="s">
        <v>265</v>
      </c>
      <c r="F747" s="34" t="s">
        <v>456</v>
      </c>
      <c r="G747" s="19" t="s">
        <v>1056</v>
      </c>
      <c r="H747" s="19" t="n">
        <v>32</v>
      </c>
      <c r="I747" s="19" t="n">
        <v>1</v>
      </c>
      <c r="J747" s="19" t="n">
        <v>55.8</v>
      </c>
      <c r="K747" s="39" t="n">
        <v>475000</v>
      </c>
      <c r="L747" s="39" t="n">
        <f aca="false">ROUND(K747/J747,2)</f>
        <v>8512.54</v>
      </c>
      <c r="M747" s="34" t="s">
        <v>189</v>
      </c>
      <c r="N747" s="40"/>
      <c r="O747" s="30" t="n">
        <f aca="false">K747+N747</f>
        <v>475000</v>
      </c>
      <c r="P747" s="39" t="n">
        <f aca="false">ROUND(O747/J747,2)</f>
        <v>8512.54</v>
      </c>
      <c r="Q747" s="19" t="s">
        <v>1057</v>
      </c>
      <c r="R747" s="22" t="s">
        <v>57</v>
      </c>
      <c r="S747" s="19" t="s">
        <v>29</v>
      </c>
      <c r="T747" s="19" t="s">
        <v>30</v>
      </c>
      <c r="U747" s="31" t="s">
        <v>31</v>
      </c>
      <c r="V747" s="41" t="n">
        <v>43432</v>
      </c>
      <c r="W747" s="18"/>
      <c r="X747" s="18"/>
    </row>
    <row r="748" customFormat="false" ht="13.8" hidden="false" customHeight="false" outlineLevel="0" collapsed="false">
      <c r="A748" s="18"/>
      <c r="B748" s="19" t="n">
        <v>3528</v>
      </c>
      <c r="C748" s="20" t="n">
        <v>43328</v>
      </c>
      <c r="D748" s="38" t="s">
        <v>22</v>
      </c>
      <c r="E748" s="22" t="s">
        <v>477</v>
      </c>
      <c r="F748" s="34" t="s">
        <v>478</v>
      </c>
      <c r="G748" s="19" t="n">
        <v>31</v>
      </c>
      <c r="H748" s="19" t="n">
        <v>6</v>
      </c>
      <c r="I748" s="19" t="n">
        <v>2</v>
      </c>
      <c r="J748" s="19" t="n">
        <v>38.19</v>
      </c>
      <c r="K748" s="39" t="n">
        <v>417000</v>
      </c>
      <c r="L748" s="39" t="n">
        <f aca="false">ROUND(K748/J748,2)</f>
        <v>10919.09</v>
      </c>
      <c r="M748" s="34" t="s">
        <v>987</v>
      </c>
      <c r="N748" s="40"/>
      <c r="O748" s="30" t="n">
        <f aca="false">K748+N748</f>
        <v>417000</v>
      </c>
      <c r="P748" s="39" t="n">
        <f aca="false">ROUND(O748/J748,2)</f>
        <v>10919.09</v>
      </c>
      <c r="Q748" s="19" t="s">
        <v>1058</v>
      </c>
      <c r="R748" s="22" t="s">
        <v>27</v>
      </c>
      <c r="S748" s="19" t="s">
        <v>29</v>
      </c>
      <c r="T748" s="19" t="s">
        <v>30</v>
      </c>
      <c r="U748" s="31" t="s">
        <v>31</v>
      </c>
      <c r="V748" s="41" t="n">
        <v>43432</v>
      </c>
      <c r="W748" s="18"/>
      <c r="X748" s="18"/>
    </row>
    <row r="749" customFormat="false" ht="13.8" hidden="false" customHeight="false" outlineLevel="0" collapsed="false">
      <c r="A749" s="18"/>
      <c r="B749" s="19" t="n">
        <v>1129</v>
      </c>
      <c r="C749" s="20" t="n">
        <v>43329</v>
      </c>
      <c r="D749" s="38" t="s">
        <v>22</v>
      </c>
      <c r="E749" s="22" t="s">
        <v>343</v>
      </c>
      <c r="F749" s="34" t="s">
        <v>392</v>
      </c>
      <c r="G749" s="19" t="n">
        <v>76</v>
      </c>
      <c r="H749" s="19" t="n">
        <v>70</v>
      </c>
      <c r="I749" s="19" t="n">
        <v>1</v>
      </c>
      <c r="J749" s="19" t="n">
        <v>71.92</v>
      </c>
      <c r="K749" s="39" t="n">
        <v>670000</v>
      </c>
      <c r="L749" s="39" t="n">
        <f aca="false">ROUND(K749/J749,2)</f>
        <v>9315.91</v>
      </c>
      <c r="M749" s="34" t="s">
        <v>1021</v>
      </c>
      <c r="N749" s="40"/>
      <c r="O749" s="30" t="n">
        <f aca="false">K749+N749</f>
        <v>670000</v>
      </c>
      <c r="P749" s="39" t="n">
        <f aca="false">ROUND(O749/J749,2)</f>
        <v>9315.91</v>
      </c>
      <c r="Q749" s="19" t="s">
        <v>1059</v>
      </c>
      <c r="R749" s="22" t="s">
        <v>49</v>
      </c>
      <c r="S749" s="19" t="s">
        <v>29</v>
      </c>
      <c r="T749" s="19" t="s">
        <v>30</v>
      </c>
      <c r="U749" s="31" t="s">
        <v>31</v>
      </c>
      <c r="V749" s="41" t="n">
        <v>43432</v>
      </c>
      <c r="W749" s="18"/>
      <c r="X749" s="18"/>
    </row>
    <row r="750" customFormat="false" ht="13.8" hidden="false" customHeight="false" outlineLevel="0" collapsed="false">
      <c r="A750" s="18"/>
      <c r="B750" s="19" t="n">
        <v>3353</v>
      </c>
      <c r="C750" s="20" t="n">
        <v>43329</v>
      </c>
      <c r="D750" s="38" t="s">
        <v>22</v>
      </c>
      <c r="E750" s="22" t="s">
        <v>369</v>
      </c>
      <c r="F750" s="34" t="s">
        <v>1041</v>
      </c>
      <c r="G750" s="19" t="n">
        <v>19</v>
      </c>
      <c r="H750" s="19" t="n">
        <v>4</v>
      </c>
      <c r="I750" s="19" t="n">
        <v>3</v>
      </c>
      <c r="J750" s="19" t="n">
        <v>51.97</v>
      </c>
      <c r="K750" s="39" t="n">
        <v>518000</v>
      </c>
      <c r="L750" s="39" t="n">
        <f aca="false">ROUND(K750/J750,2)</f>
        <v>9967.29</v>
      </c>
      <c r="M750" s="34" t="s">
        <v>189</v>
      </c>
      <c r="N750" s="40"/>
      <c r="O750" s="30" t="n">
        <f aca="false">K750+N750</f>
        <v>518000</v>
      </c>
      <c r="P750" s="39" t="n">
        <f aca="false">ROUND(O750/J750,2)</f>
        <v>9967.29</v>
      </c>
      <c r="Q750" s="19" t="s">
        <v>1060</v>
      </c>
      <c r="R750" s="22" t="s">
        <v>26</v>
      </c>
      <c r="S750" s="19" t="s">
        <v>29</v>
      </c>
      <c r="T750" s="19" t="s">
        <v>30</v>
      </c>
      <c r="U750" s="31" t="s">
        <v>31</v>
      </c>
      <c r="V750" s="41" t="n">
        <v>43432</v>
      </c>
      <c r="W750" s="34"/>
      <c r="X750" s="34"/>
    </row>
    <row r="751" customFormat="false" ht="13.8" hidden="false" customHeight="false" outlineLevel="0" collapsed="false">
      <c r="A751" s="18"/>
      <c r="B751" s="19" t="n">
        <v>7063</v>
      </c>
      <c r="C751" s="20" t="n">
        <v>43329</v>
      </c>
      <c r="D751" s="38" t="s">
        <v>22</v>
      </c>
      <c r="E751" s="22" t="s">
        <v>171</v>
      </c>
      <c r="F751" s="34" t="s">
        <v>628</v>
      </c>
      <c r="G751" s="19" t="n">
        <v>8</v>
      </c>
      <c r="H751" s="19" t="n">
        <v>3</v>
      </c>
      <c r="I751" s="19" t="n">
        <v>1</v>
      </c>
      <c r="J751" s="19" t="n">
        <v>27.6</v>
      </c>
      <c r="K751" s="39" t="n">
        <v>175000</v>
      </c>
      <c r="L751" s="39" t="n">
        <f aca="false">ROUND(K751/J751,2)</f>
        <v>6340.58</v>
      </c>
      <c r="M751" s="34" t="s">
        <v>189</v>
      </c>
      <c r="N751" s="40"/>
      <c r="O751" s="30" t="n">
        <f aca="false">K751+N751</f>
        <v>175000</v>
      </c>
      <c r="P751" s="39" t="n">
        <f aca="false">ROUND(O751/J751,2)</f>
        <v>6340.58</v>
      </c>
      <c r="Q751" s="19" t="s">
        <v>982</v>
      </c>
      <c r="R751" s="22" t="s">
        <v>36</v>
      </c>
      <c r="S751" s="19" t="s">
        <v>29</v>
      </c>
      <c r="T751" s="19" t="s">
        <v>30</v>
      </c>
      <c r="U751" s="31" t="s">
        <v>31</v>
      </c>
      <c r="V751" s="41" t="n">
        <v>43432</v>
      </c>
      <c r="W751" s="18"/>
      <c r="X751" s="18"/>
    </row>
    <row r="752" customFormat="false" ht="13.8" hidden="false" customHeight="false" outlineLevel="0" collapsed="false">
      <c r="A752" s="18"/>
      <c r="B752" s="19" t="n">
        <v>1081</v>
      </c>
      <c r="C752" s="20" t="n">
        <v>43329</v>
      </c>
      <c r="D752" s="38" t="s">
        <v>22</v>
      </c>
      <c r="E752" s="22" t="s">
        <v>517</v>
      </c>
      <c r="F752" s="34" t="s">
        <v>518</v>
      </c>
      <c r="G752" s="19" t="n">
        <v>9</v>
      </c>
      <c r="H752" s="19" t="n">
        <v>51</v>
      </c>
      <c r="I752" s="19" t="n">
        <v>1</v>
      </c>
      <c r="J752" s="19" t="n">
        <v>47.7</v>
      </c>
      <c r="K752" s="39" t="n">
        <v>300000</v>
      </c>
      <c r="L752" s="39" t="n">
        <f aca="false">ROUND(K752/J752,2)</f>
        <v>6289.31</v>
      </c>
      <c r="M752" s="34" t="s">
        <v>189</v>
      </c>
      <c r="N752" s="40"/>
      <c r="O752" s="30" t="n">
        <f aca="false">K752+N752</f>
        <v>300000</v>
      </c>
      <c r="P752" s="39" t="n">
        <f aca="false">ROUND(O752/J752,2)</f>
        <v>6289.31</v>
      </c>
      <c r="Q752" s="19" t="s">
        <v>946</v>
      </c>
      <c r="R752" s="22" t="s">
        <v>49</v>
      </c>
      <c r="S752" s="19" t="s">
        <v>29</v>
      </c>
      <c r="T752" s="19" t="s">
        <v>30</v>
      </c>
      <c r="U752" s="31" t="s">
        <v>31</v>
      </c>
      <c r="V752" s="41" t="n">
        <v>43432</v>
      </c>
      <c r="W752" s="18"/>
      <c r="X752" s="18"/>
      <c r="AMJ752" s="32"/>
    </row>
    <row r="753" s="32" customFormat="true" ht="13.8" hidden="false" customHeight="false" outlineLevel="0" collapsed="false">
      <c r="A753" s="18"/>
      <c r="B753" s="19" t="n">
        <v>4022</v>
      </c>
      <c r="C753" s="20" t="n">
        <v>43329</v>
      </c>
      <c r="D753" s="38" t="s">
        <v>22</v>
      </c>
      <c r="E753" s="22" t="s">
        <v>299</v>
      </c>
      <c r="F753" s="34" t="s">
        <v>271</v>
      </c>
      <c r="G753" s="19" t="n">
        <v>25</v>
      </c>
      <c r="H753" s="19" t="n">
        <v>81</v>
      </c>
      <c r="I753" s="19" t="n">
        <v>4</v>
      </c>
      <c r="J753" s="19" t="n">
        <v>30.51</v>
      </c>
      <c r="K753" s="39" t="n">
        <v>331000</v>
      </c>
      <c r="L753" s="39" t="n">
        <f aca="false">ROUND(K753/J753,2)</f>
        <v>10848.9</v>
      </c>
      <c r="M753" s="34"/>
      <c r="N753" s="40"/>
      <c r="O753" s="30" t="n">
        <f aca="false">K753+N753</f>
        <v>331000</v>
      </c>
      <c r="P753" s="39" t="n">
        <f aca="false">ROUND(O753/J753,2)</f>
        <v>10848.9</v>
      </c>
      <c r="Q753" s="19" t="s">
        <v>995</v>
      </c>
      <c r="R753" s="22" t="s">
        <v>36</v>
      </c>
      <c r="S753" s="19" t="s">
        <v>29</v>
      </c>
      <c r="T753" s="19" t="s">
        <v>30</v>
      </c>
      <c r="U753" s="31" t="s">
        <v>31</v>
      </c>
      <c r="V753" s="41" t="n">
        <v>43432</v>
      </c>
      <c r="W753" s="18"/>
      <c r="X753" s="18"/>
    </row>
    <row r="754" s="32" customFormat="true" ht="13.8" hidden="false" customHeight="false" outlineLevel="0" collapsed="false">
      <c r="A754" s="18"/>
      <c r="B754" s="19" t="n">
        <v>8477</v>
      </c>
      <c r="C754" s="20" t="n">
        <v>43329</v>
      </c>
      <c r="D754" s="38" t="s">
        <v>22</v>
      </c>
      <c r="E754" s="22" t="s">
        <v>251</v>
      </c>
      <c r="F754" s="34" t="s">
        <v>1061</v>
      </c>
      <c r="G754" s="19" t="n">
        <v>3</v>
      </c>
      <c r="H754" s="19" t="n">
        <v>426</v>
      </c>
      <c r="I754" s="19" t="n">
        <v>6</v>
      </c>
      <c r="J754" s="19" t="n">
        <v>42.23</v>
      </c>
      <c r="K754" s="39" t="n">
        <v>375000</v>
      </c>
      <c r="L754" s="39" t="n">
        <f aca="false">ROUND(K754/J754,2)</f>
        <v>8879.94</v>
      </c>
      <c r="M754" s="34" t="s">
        <v>1062</v>
      </c>
      <c r="N754" s="40"/>
      <c r="O754" s="30" t="n">
        <f aca="false">K754+N754</f>
        <v>375000</v>
      </c>
      <c r="P754" s="39" t="n">
        <f aca="false">ROUND(O754/J754,2)</f>
        <v>8879.94</v>
      </c>
      <c r="Q754" s="19" t="s">
        <v>1026</v>
      </c>
      <c r="R754" s="22" t="s">
        <v>26</v>
      </c>
      <c r="S754" s="19" t="s">
        <v>29</v>
      </c>
      <c r="T754" s="19" t="s">
        <v>30</v>
      </c>
      <c r="U754" s="31" t="s">
        <v>31</v>
      </c>
      <c r="V754" s="41" t="n">
        <v>43432</v>
      </c>
      <c r="W754" s="18"/>
      <c r="X754" s="18"/>
    </row>
    <row r="755" s="32" customFormat="true" ht="13.8" hidden="false" customHeight="false" outlineLevel="0" collapsed="false">
      <c r="A755" s="18"/>
      <c r="B755" s="19" t="n">
        <v>9180</v>
      </c>
      <c r="C755" s="20" t="n">
        <v>43329</v>
      </c>
      <c r="D755" s="38" t="s">
        <v>22</v>
      </c>
      <c r="E755" s="22" t="s">
        <v>623</v>
      </c>
      <c r="F755" s="34" t="s">
        <v>272</v>
      </c>
      <c r="G755" s="19" t="s">
        <v>1063</v>
      </c>
      <c r="H755" s="19" t="n">
        <v>152</v>
      </c>
      <c r="I755" s="19" t="n">
        <v>2</v>
      </c>
      <c r="J755" s="19" t="n">
        <v>42.58</v>
      </c>
      <c r="K755" s="39" t="n">
        <v>415000</v>
      </c>
      <c r="L755" s="39" t="n">
        <f aca="false">ROUND(K755/J755,2)</f>
        <v>9746.36</v>
      </c>
      <c r="M755" s="34" t="s">
        <v>987</v>
      </c>
      <c r="N755" s="40"/>
      <c r="O755" s="30" t="n">
        <f aca="false">K755+N755</f>
        <v>415000</v>
      </c>
      <c r="P755" s="39" t="n">
        <f aca="false">ROUND(O755/J755,2)</f>
        <v>9746.36</v>
      </c>
      <c r="Q755" s="19" t="s">
        <v>1064</v>
      </c>
      <c r="R755" s="22" t="s">
        <v>36</v>
      </c>
      <c r="S755" s="19" t="s">
        <v>29</v>
      </c>
      <c r="T755" s="19" t="s">
        <v>30</v>
      </c>
      <c r="U755" s="31" t="s">
        <v>31</v>
      </c>
      <c r="V755" s="41" t="n">
        <v>43432</v>
      </c>
      <c r="W755" s="34"/>
      <c r="X755" s="34"/>
    </row>
    <row r="756" s="32" customFormat="true" ht="13.8" hidden="false" customHeight="false" outlineLevel="0" collapsed="false">
      <c r="A756" s="18"/>
      <c r="B756" s="19" t="n">
        <v>4007</v>
      </c>
      <c r="C756" s="20" t="n">
        <v>43332</v>
      </c>
      <c r="D756" s="38" t="s">
        <v>22</v>
      </c>
      <c r="E756" s="22" t="s">
        <v>198</v>
      </c>
      <c r="F756" s="34" t="s">
        <v>199</v>
      </c>
      <c r="G756" s="19" t="s">
        <v>384</v>
      </c>
      <c r="H756" s="19" t="n">
        <v>27</v>
      </c>
      <c r="I756" s="19" t="n">
        <v>5</v>
      </c>
      <c r="J756" s="19" t="n">
        <v>61.6</v>
      </c>
      <c r="K756" s="39" t="n">
        <v>475000</v>
      </c>
      <c r="L756" s="39" t="n">
        <f aca="false">ROUND(K756/J756,2)</f>
        <v>7711.04</v>
      </c>
      <c r="M756" s="34" t="s">
        <v>1065</v>
      </c>
      <c r="N756" s="40"/>
      <c r="O756" s="30" t="n">
        <f aca="false">K756+N756</f>
        <v>475000</v>
      </c>
      <c r="P756" s="39" t="n">
        <f aca="false">ROUND(O756/J756,2)</f>
        <v>7711.04</v>
      </c>
      <c r="Q756" s="19" t="s">
        <v>1066</v>
      </c>
      <c r="R756" s="22" t="s">
        <v>26</v>
      </c>
      <c r="S756" s="19" t="s">
        <v>29</v>
      </c>
      <c r="T756" s="19" t="s">
        <v>30</v>
      </c>
      <c r="U756" s="31" t="s">
        <v>31</v>
      </c>
      <c r="V756" s="41" t="n">
        <v>43432</v>
      </c>
      <c r="W756" s="34"/>
      <c r="X756" s="34"/>
    </row>
    <row r="757" customFormat="false" ht="13.8" hidden="false" customHeight="false" outlineLevel="0" collapsed="false">
      <c r="A757" s="18"/>
      <c r="B757" s="19" t="n">
        <v>6372</v>
      </c>
      <c r="C757" s="20" t="n">
        <v>43332</v>
      </c>
      <c r="D757" s="38" t="s">
        <v>22</v>
      </c>
      <c r="E757" s="22" t="s">
        <v>80</v>
      </c>
      <c r="F757" s="34" t="s">
        <v>81</v>
      </c>
      <c r="G757" s="19" t="n">
        <v>3</v>
      </c>
      <c r="H757" s="19" t="n">
        <v>72</v>
      </c>
      <c r="I757" s="19" t="n">
        <v>1</v>
      </c>
      <c r="J757" s="19" t="n">
        <v>93</v>
      </c>
      <c r="K757" s="39" t="n">
        <v>1265000</v>
      </c>
      <c r="L757" s="39" t="n">
        <f aca="false">ROUND(K757/J757,2)</f>
        <v>13602.15</v>
      </c>
      <c r="M757" s="34" t="s">
        <v>1067</v>
      </c>
      <c r="N757" s="40" t="n">
        <f aca="false">50000+15000</f>
        <v>65000</v>
      </c>
      <c r="O757" s="30" t="n">
        <f aca="false">K757+N757</f>
        <v>1330000</v>
      </c>
      <c r="P757" s="39" t="n">
        <f aca="false">ROUND(O757/J757,2)</f>
        <v>14301.08</v>
      </c>
      <c r="Q757" s="19" t="s">
        <v>1068</v>
      </c>
      <c r="R757" s="22" t="s">
        <v>49</v>
      </c>
      <c r="S757" s="19" t="s">
        <v>29</v>
      </c>
      <c r="T757" s="19" t="s">
        <v>30</v>
      </c>
      <c r="U757" s="31" t="s">
        <v>31</v>
      </c>
      <c r="V757" s="41" t="n">
        <v>43432</v>
      </c>
      <c r="W757" s="34"/>
      <c r="X757" s="34"/>
    </row>
    <row r="758" customFormat="false" ht="13.8" hidden="false" customHeight="false" outlineLevel="0" collapsed="false">
      <c r="A758" s="18"/>
      <c r="B758" s="19" t="n">
        <v>3062</v>
      </c>
      <c r="C758" s="20" t="n">
        <v>43332</v>
      </c>
      <c r="D758" s="38" t="s">
        <v>22</v>
      </c>
      <c r="E758" s="22" t="s">
        <v>42</v>
      </c>
      <c r="F758" s="34" t="s">
        <v>1028</v>
      </c>
      <c r="G758" s="19" t="s">
        <v>1069</v>
      </c>
      <c r="H758" s="19" t="n">
        <v>19</v>
      </c>
      <c r="I758" s="19" t="n">
        <v>5</v>
      </c>
      <c r="J758" s="19" t="n">
        <v>34.3</v>
      </c>
      <c r="K758" s="39" t="n">
        <v>350000</v>
      </c>
      <c r="L758" s="39" t="n">
        <f aca="false">ROUND(K758/J758,2)</f>
        <v>10204.08</v>
      </c>
      <c r="M758" s="34" t="s">
        <v>189</v>
      </c>
      <c r="N758" s="40"/>
      <c r="O758" s="30" t="n">
        <f aca="false">K758+N758</f>
        <v>350000</v>
      </c>
      <c r="P758" s="39" t="n">
        <f aca="false">ROUND(O758/J758,2)</f>
        <v>10204.08</v>
      </c>
      <c r="Q758" s="19" t="s">
        <v>952</v>
      </c>
      <c r="R758" s="22" t="s">
        <v>26</v>
      </c>
      <c r="S758" s="19" t="s">
        <v>29</v>
      </c>
      <c r="T758" s="19" t="s">
        <v>30</v>
      </c>
      <c r="U758" s="31" t="s">
        <v>31</v>
      </c>
      <c r="V758" s="41" t="n">
        <v>43432</v>
      </c>
      <c r="W758" s="34"/>
      <c r="X758" s="34"/>
    </row>
    <row r="759" customFormat="false" ht="13.8" hidden="false" customHeight="false" outlineLevel="0" collapsed="false">
      <c r="A759" s="18"/>
      <c r="B759" s="19" t="n">
        <v>987</v>
      </c>
      <c r="C759" s="20" t="n">
        <v>43332</v>
      </c>
      <c r="D759" s="38" t="s">
        <v>22</v>
      </c>
      <c r="E759" s="22" t="s">
        <v>251</v>
      </c>
      <c r="F759" s="34" t="s">
        <v>1070</v>
      </c>
      <c r="G759" s="19" t="n">
        <v>6</v>
      </c>
      <c r="H759" s="19" t="n">
        <v>62</v>
      </c>
      <c r="I759" s="19" t="n">
        <v>3</v>
      </c>
      <c r="J759" s="19" t="n">
        <v>41.43</v>
      </c>
      <c r="K759" s="39" t="n">
        <v>375000</v>
      </c>
      <c r="L759" s="39" t="n">
        <f aca="false">ROUND(K759/J759,2)</f>
        <v>9051.41</v>
      </c>
      <c r="M759" s="34" t="s">
        <v>1071</v>
      </c>
      <c r="N759" s="40"/>
      <c r="O759" s="30" t="n">
        <f aca="false">K759+N759</f>
        <v>375000</v>
      </c>
      <c r="P759" s="39" t="n">
        <f aca="false">ROUND(O759/J759,2)</f>
        <v>9051.41</v>
      </c>
      <c r="Q759" s="19" t="s">
        <v>958</v>
      </c>
      <c r="R759" s="22" t="s">
        <v>26</v>
      </c>
      <c r="S759" s="19" t="s">
        <v>29</v>
      </c>
      <c r="T759" s="19" t="s">
        <v>30</v>
      </c>
      <c r="U759" s="31" t="s">
        <v>31</v>
      </c>
      <c r="V759" s="41" t="n">
        <v>43432</v>
      </c>
      <c r="W759" s="18"/>
      <c r="X759" s="18"/>
      <c r="AMJ759" s="32"/>
    </row>
    <row r="760" s="32" customFormat="true" ht="13.8" hidden="false" customHeight="false" outlineLevel="0" collapsed="false">
      <c r="A760" s="18"/>
      <c r="B760" s="19" t="n">
        <v>7068</v>
      </c>
      <c r="C760" s="20" t="n">
        <v>43332</v>
      </c>
      <c r="D760" s="38" t="s">
        <v>22</v>
      </c>
      <c r="E760" s="22" t="s">
        <v>354</v>
      </c>
      <c r="F760" s="34" t="s">
        <v>456</v>
      </c>
      <c r="G760" s="19" t="s">
        <v>192</v>
      </c>
      <c r="H760" s="19" t="n">
        <v>30</v>
      </c>
      <c r="I760" s="19" t="n">
        <v>3</v>
      </c>
      <c r="J760" s="19" t="n">
        <v>23.41</v>
      </c>
      <c r="K760" s="39" t="n">
        <v>255000</v>
      </c>
      <c r="L760" s="39" t="n">
        <f aca="false">ROUND(K760/J760,2)</f>
        <v>10892.78</v>
      </c>
      <c r="M760" s="34"/>
      <c r="N760" s="40"/>
      <c r="O760" s="30" t="n">
        <f aca="false">K760+N760</f>
        <v>255000</v>
      </c>
      <c r="P760" s="39" t="n">
        <f aca="false">ROUND(O760/J760,2)</f>
        <v>10892.78</v>
      </c>
      <c r="Q760" s="19" t="s">
        <v>982</v>
      </c>
      <c r="R760" s="22" t="s">
        <v>36</v>
      </c>
      <c r="S760" s="19" t="s">
        <v>29</v>
      </c>
      <c r="T760" s="19" t="s">
        <v>30</v>
      </c>
      <c r="U760" s="31" t="s">
        <v>31</v>
      </c>
      <c r="V760" s="41" t="n">
        <v>43432</v>
      </c>
      <c r="W760" s="18"/>
      <c r="X760" s="18"/>
    </row>
    <row r="761" s="32" customFormat="true" ht="13.8" hidden="false" customHeight="false" outlineLevel="0" collapsed="false">
      <c r="A761" s="18"/>
      <c r="B761" s="19" t="n">
        <v>2897</v>
      </c>
      <c r="C761" s="20" t="n">
        <v>43332</v>
      </c>
      <c r="D761" s="38" t="s">
        <v>22</v>
      </c>
      <c r="E761" s="22" t="s">
        <v>129</v>
      </c>
      <c r="F761" s="34" t="s">
        <v>1072</v>
      </c>
      <c r="G761" s="19" t="n">
        <v>4</v>
      </c>
      <c r="H761" s="19" t="s">
        <v>1073</v>
      </c>
      <c r="I761" s="19" t="n">
        <v>2</v>
      </c>
      <c r="J761" s="19" t="n">
        <v>60.9</v>
      </c>
      <c r="K761" s="39" t="n">
        <v>500000</v>
      </c>
      <c r="L761" s="39" t="n">
        <f aca="false">ROUND(K761/J761,2)</f>
        <v>8210.18</v>
      </c>
      <c r="M761" s="34"/>
      <c r="N761" s="40"/>
      <c r="O761" s="30" t="n">
        <f aca="false">K761+N761</f>
        <v>500000</v>
      </c>
      <c r="P761" s="39" t="n">
        <f aca="false">ROUND(O761/J761,2)</f>
        <v>8210.18</v>
      </c>
      <c r="Q761" s="19" t="s">
        <v>1074</v>
      </c>
      <c r="R761" s="22" t="s">
        <v>36</v>
      </c>
      <c r="S761" s="19" t="s">
        <v>29</v>
      </c>
      <c r="T761" s="19" t="s">
        <v>30</v>
      </c>
      <c r="U761" s="31" t="s">
        <v>31</v>
      </c>
      <c r="V761" s="41" t="n">
        <v>43432</v>
      </c>
      <c r="W761" s="18"/>
      <c r="X761" s="18"/>
    </row>
    <row r="762" s="32" customFormat="true" ht="13.8" hidden="false" customHeight="false" outlineLevel="0" collapsed="false">
      <c r="A762" s="18"/>
      <c r="B762" s="19" t="n">
        <v>5672</v>
      </c>
      <c r="C762" s="20" t="n">
        <v>43333</v>
      </c>
      <c r="D762" s="38" t="s">
        <v>22</v>
      </c>
      <c r="E762" s="22" t="s">
        <v>459</v>
      </c>
      <c r="F762" s="34" t="s">
        <v>279</v>
      </c>
      <c r="G762" s="19" t="n">
        <v>12</v>
      </c>
      <c r="H762" s="19" t="n">
        <v>72</v>
      </c>
      <c r="I762" s="19" t="n">
        <v>3</v>
      </c>
      <c r="J762" s="19" t="n">
        <v>46.78</v>
      </c>
      <c r="K762" s="39" t="n">
        <v>335000</v>
      </c>
      <c r="L762" s="39" t="n">
        <f aca="false">ROUND(K762/J762,2)</f>
        <v>7161.18</v>
      </c>
      <c r="M762" s="34"/>
      <c r="N762" s="40"/>
      <c r="O762" s="30" t="n">
        <f aca="false">K762+N762</f>
        <v>335000</v>
      </c>
      <c r="P762" s="39" t="n">
        <f aca="false">ROUND(O762/J762,2)</f>
        <v>7161.18</v>
      </c>
      <c r="Q762" s="19" t="s">
        <v>946</v>
      </c>
      <c r="R762" s="22" t="s">
        <v>49</v>
      </c>
      <c r="S762" s="19" t="s">
        <v>29</v>
      </c>
      <c r="T762" s="19" t="s">
        <v>30</v>
      </c>
      <c r="U762" s="31" t="s">
        <v>31</v>
      </c>
      <c r="V762" s="41" t="n">
        <v>43432</v>
      </c>
      <c r="W762" s="18"/>
      <c r="X762" s="18"/>
    </row>
    <row r="763" s="32" customFormat="true" ht="13.8" hidden="false" customHeight="false" outlineLevel="0" collapsed="false">
      <c r="A763" s="18"/>
      <c r="B763" s="19" t="n">
        <v>2991</v>
      </c>
      <c r="C763" s="20" t="n">
        <v>43334</v>
      </c>
      <c r="D763" s="38" t="s">
        <v>22</v>
      </c>
      <c r="E763" s="22" t="s">
        <v>287</v>
      </c>
      <c r="F763" s="34" t="s">
        <v>288</v>
      </c>
      <c r="G763" s="19" t="s">
        <v>570</v>
      </c>
      <c r="H763" s="19" t="n">
        <v>72</v>
      </c>
      <c r="I763" s="19" t="n">
        <v>11</v>
      </c>
      <c r="J763" s="19" t="n">
        <v>35</v>
      </c>
      <c r="K763" s="39" t="n">
        <v>290000</v>
      </c>
      <c r="L763" s="39" t="n">
        <f aca="false">ROUND(K763/J763,2)</f>
        <v>8285.71</v>
      </c>
      <c r="M763" s="34" t="s">
        <v>1075</v>
      </c>
      <c r="N763" s="40"/>
      <c r="O763" s="30" t="n">
        <f aca="false">K763+N763</f>
        <v>290000</v>
      </c>
      <c r="P763" s="39" t="n">
        <f aca="false">ROUND(O763/J763,2)</f>
        <v>8285.71</v>
      </c>
      <c r="Q763" s="19" t="s">
        <v>958</v>
      </c>
      <c r="R763" s="22" t="s">
        <v>26</v>
      </c>
      <c r="S763" s="19" t="s">
        <v>29</v>
      </c>
      <c r="T763" s="19" t="s">
        <v>30</v>
      </c>
      <c r="U763" s="31" t="s">
        <v>31</v>
      </c>
      <c r="V763" s="41" t="n">
        <v>43432</v>
      </c>
      <c r="W763" s="18"/>
      <c r="X763" s="18"/>
    </row>
    <row r="764" customFormat="false" ht="13.8" hidden="false" customHeight="false" outlineLevel="0" collapsed="false">
      <c r="A764" s="18"/>
      <c r="B764" s="19" t="n">
        <v>3614</v>
      </c>
      <c r="C764" s="20" t="n">
        <v>43334</v>
      </c>
      <c r="D764" s="38" t="s">
        <v>22</v>
      </c>
      <c r="E764" s="22" t="s">
        <v>543</v>
      </c>
      <c r="F764" s="34" t="s">
        <v>1076</v>
      </c>
      <c r="G764" s="19" t="n">
        <v>47</v>
      </c>
      <c r="H764" s="19" t="n">
        <v>169</v>
      </c>
      <c r="I764" s="19" t="n">
        <v>10</v>
      </c>
      <c r="J764" s="19" t="n">
        <v>28.01</v>
      </c>
      <c r="K764" s="39" t="n">
        <v>276000</v>
      </c>
      <c r="L764" s="39" t="n">
        <f aca="false">ROUND(K764/J764,2)</f>
        <v>9853.62</v>
      </c>
      <c r="M764" s="34"/>
      <c r="N764" s="40"/>
      <c r="O764" s="30" t="n">
        <f aca="false">K764+N764</f>
        <v>276000</v>
      </c>
      <c r="P764" s="39" t="n">
        <f aca="false">ROUND(O764/J764,2)</f>
        <v>9853.62</v>
      </c>
      <c r="Q764" s="19" t="s">
        <v>945</v>
      </c>
      <c r="R764" s="22" t="s">
        <v>36</v>
      </c>
      <c r="S764" s="19" t="s">
        <v>29</v>
      </c>
      <c r="T764" s="19" t="s">
        <v>30</v>
      </c>
      <c r="U764" s="31" t="s">
        <v>31</v>
      </c>
      <c r="V764" s="41" t="n">
        <v>43432</v>
      </c>
      <c r="W764" s="18"/>
      <c r="X764" s="18"/>
    </row>
    <row r="765" customFormat="false" ht="13.8" hidden="false" customHeight="false" outlineLevel="0" collapsed="false">
      <c r="A765" s="18"/>
      <c r="B765" s="19" t="n">
        <v>1940</v>
      </c>
      <c r="C765" s="20" t="n">
        <v>43334</v>
      </c>
      <c r="D765" s="38" t="s">
        <v>22</v>
      </c>
      <c r="E765" s="22" t="s">
        <v>53</v>
      </c>
      <c r="F765" s="34" t="s">
        <v>46</v>
      </c>
      <c r="G765" s="19" t="n">
        <v>257</v>
      </c>
      <c r="H765" s="19" t="n">
        <v>17</v>
      </c>
      <c r="I765" s="19" t="n">
        <v>4</v>
      </c>
      <c r="J765" s="19" t="n">
        <v>53</v>
      </c>
      <c r="K765" s="39" t="n">
        <v>570000</v>
      </c>
      <c r="L765" s="39" t="n">
        <f aca="false">ROUND(K765/J765,2)</f>
        <v>10754.72</v>
      </c>
      <c r="M765" s="34" t="s">
        <v>987</v>
      </c>
      <c r="N765" s="40"/>
      <c r="O765" s="30" t="n">
        <f aca="false">K765+N765</f>
        <v>570000</v>
      </c>
      <c r="P765" s="39" t="n">
        <f aca="false">ROUND(O765/J765,2)</f>
        <v>10754.72</v>
      </c>
      <c r="Q765" s="19" t="s">
        <v>1077</v>
      </c>
      <c r="R765" s="22" t="s">
        <v>36</v>
      </c>
      <c r="S765" s="19" t="s">
        <v>29</v>
      </c>
      <c r="T765" s="19" t="s">
        <v>30</v>
      </c>
      <c r="U765" s="31" t="s">
        <v>31</v>
      </c>
      <c r="V765" s="41" t="n">
        <v>43432</v>
      </c>
      <c r="W765" s="18"/>
      <c r="X765" s="18"/>
    </row>
    <row r="766" customFormat="false" ht="13.8" hidden="false" customHeight="false" outlineLevel="0" collapsed="false">
      <c r="A766" s="18"/>
      <c r="B766" s="19" t="n">
        <v>13076</v>
      </c>
      <c r="C766" s="20" t="n">
        <v>43335</v>
      </c>
      <c r="D766" s="38" t="s">
        <v>22</v>
      </c>
      <c r="E766" s="22" t="s">
        <v>281</v>
      </c>
      <c r="F766" s="34" t="s">
        <v>955</v>
      </c>
      <c r="G766" s="19" t="n">
        <v>127</v>
      </c>
      <c r="H766" s="19" t="n">
        <v>26</v>
      </c>
      <c r="I766" s="19" t="n">
        <v>7</v>
      </c>
      <c r="J766" s="19" t="n">
        <v>41.94</v>
      </c>
      <c r="K766" s="39" t="n">
        <v>407500</v>
      </c>
      <c r="L766" s="39" t="n">
        <f aca="false">ROUND(K766/J766,2)</f>
        <v>9716.26</v>
      </c>
      <c r="M766" s="34" t="s">
        <v>189</v>
      </c>
      <c r="N766" s="40"/>
      <c r="O766" s="30" t="n">
        <f aca="false">K766+N766</f>
        <v>407500</v>
      </c>
      <c r="P766" s="39" t="n">
        <f aca="false">ROUND(O766/J766,2)</f>
        <v>9716.26</v>
      </c>
      <c r="Q766" s="19" t="s">
        <v>952</v>
      </c>
      <c r="R766" s="22" t="s">
        <v>26</v>
      </c>
      <c r="S766" s="19" t="s">
        <v>29</v>
      </c>
      <c r="T766" s="19" t="s">
        <v>30</v>
      </c>
      <c r="U766" s="31" t="s">
        <v>31</v>
      </c>
      <c r="V766" s="41" t="n">
        <v>43432</v>
      </c>
      <c r="W766" s="18"/>
      <c r="X766" s="18"/>
      <c r="AMJ766" s="32"/>
    </row>
    <row r="767" s="32" customFormat="true" ht="13.8" hidden="false" customHeight="false" outlineLevel="0" collapsed="false">
      <c r="A767" s="18"/>
      <c r="B767" s="19" t="n">
        <v>1033</v>
      </c>
      <c r="C767" s="20" t="n">
        <v>43335</v>
      </c>
      <c r="D767" s="38" t="s">
        <v>22</v>
      </c>
      <c r="E767" s="22" t="s">
        <v>37</v>
      </c>
      <c r="F767" s="34" t="s">
        <v>108</v>
      </c>
      <c r="G767" s="19" t="n">
        <v>36</v>
      </c>
      <c r="H767" s="19" t="n">
        <v>65</v>
      </c>
      <c r="I767" s="19" t="n">
        <v>3</v>
      </c>
      <c r="J767" s="19" t="n">
        <v>33.26</v>
      </c>
      <c r="K767" s="39" t="n">
        <v>318000</v>
      </c>
      <c r="L767" s="39" t="n">
        <f aca="false">ROUND(K767/J767,2)</f>
        <v>9561.03</v>
      </c>
      <c r="M767" s="34" t="s">
        <v>189</v>
      </c>
      <c r="N767" s="40"/>
      <c r="O767" s="30" t="n">
        <f aca="false">K767+N767</f>
        <v>318000</v>
      </c>
      <c r="P767" s="39" t="n">
        <f aca="false">ROUND(O767/J767,2)</f>
        <v>9561.03</v>
      </c>
      <c r="Q767" s="19" t="s">
        <v>1078</v>
      </c>
      <c r="R767" s="22" t="s">
        <v>36</v>
      </c>
      <c r="S767" s="19" t="s">
        <v>29</v>
      </c>
      <c r="T767" s="19" t="s">
        <v>30</v>
      </c>
      <c r="U767" s="31" t="s">
        <v>31</v>
      </c>
      <c r="V767" s="41" t="n">
        <v>43432</v>
      </c>
      <c r="W767" s="18"/>
      <c r="X767" s="18"/>
    </row>
    <row r="768" customFormat="false" ht="13.8" hidden="false" customHeight="false" outlineLevel="0" collapsed="false">
      <c r="A768" s="18"/>
      <c r="B768" s="19" t="n">
        <v>40705</v>
      </c>
      <c r="C768" s="20" t="n">
        <v>43335</v>
      </c>
      <c r="D768" s="38" t="s">
        <v>22</v>
      </c>
      <c r="E768" s="22" t="s">
        <v>433</v>
      </c>
      <c r="F768" s="34" t="s">
        <v>434</v>
      </c>
      <c r="G768" s="19" t="n">
        <v>9</v>
      </c>
      <c r="H768" s="19" t="n">
        <v>15</v>
      </c>
      <c r="I768" s="19" t="n">
        <v>5</v>
      </c>
      <c r="J768" s="19" t="n">
        <v>58.94</v>
      </c>
      <c r="K768" s="39" t="n">
        <v>715000</v>
      </c>
      <c r="L768" s="39" t="n">
        <f aca="false">ROUND(K768/J768,2)</f>
        <v>12130.98</v>
      </c>
      <c r="M768" s="34" t="s">
        <v>987</v>
      </c>
      <c r="N768" s="40"/>
      <c r="O768" s="30" t="n">
        <f aca="false">K768+N768</f>
        <v>715000</v>
      </c>
      <c r="P768" s="39" t="n">
        <f aca="false">ROUND(O768/J768,2)</f>
        <v>12130.98</v>
      </c>
      <c r="Q768" s="19" t="s">
        <v>1079</v>
      </c>
      <c r="R768" s="22" t="s">
        <v>36</v>
      </c>
      <c r="S768" s="19" t="s">
        <v>29</v>
      </c>
      <c r="T768" s="19" t="s">
        <v>30</v>
      </c>
      <c r="U768" s="31" t="s">
        <v>31</v>
      </c>
      <c r="V768" s="41" t="n">
        <v>43432</v>
      </c>
      <c r="W768" s="18"/>
      <c r="X768" s="18"/>
    </row>
    <row r="769" customFormat="false" ht="13.8" hidden="false" customHeight="false" outlineLevel="0" collapsed="false">
      <c r="A769" s="18"/>
      <c r="B769" s="19" t="n">
        <v>1780</v>
      </c>
      <c r="C769" s="20" t="n">
        <v>43335</v>
      </c>
      <c r="D769" s="38" t="s">
        <v>22</v>
      </c>
      <c r="E769" s="22" t="s">
        <v>399</v>
      </c>
      <c r="F769" s="34" t="s">
        <v>483</v>
      </c>
      <c r="G769" s="19" t="n">
        <v>8</v>
      </c>
      <c r="H769" s="19" t="n">
        <v>14</v>
      </c>
      <c r="I769" s="19" t="n">
        <v>2</v>
      </c>
      <c r="J769" s="19" t="n">
        <v>92.66</v>
      </c>
      <c r="K769" s="39" t="n">
        <v>900000</v>
      </c>
      <c r="L769" s="39" t="n">
        <f aca="false">ROUND(K769/J769,2)</f>
        <v>9712.93</v>
      </c>
      <c r="M769" s="34" t="s">
        <v>1080</v>
      </c>
      <c r="N769" s="40" t="n">
        <v>50000</v>
      </c>
      <c r="O769" s="30" t="n">
        <f aca="false">K769+N769</f>
        <v>950000</v>
      </c>
      <c r="P769" s="39" t="n">
        <f aca="false">ROUND(O769/J769,2)</f>
        <v>10252.54</v>
      </c>
      <c r="Q769" s="19" t="s">
        <v>1081</v>
      </c>
      <c r="R769" s="22" t="s">
        <v>49</v>
      </c>
      <c r="S769" s="19" t="s">
        <v>29</v>
      </c>
      <c r="T769" s="19" t="s">
        <v>30</v>
      </c>
      <c r="U769" s="31" t="s">
        <v>31</v>
      </c>
      <c r="V769" s="41" t="n">
        <v>43432</v>
      </c>
      <c r="W769" s="18"/>
      <c r="X769" s="18"/>
    </row>
    <row r="770" customFormat="false" ht="13.8" hidden="false" customHeight="false" outlineLevel="0" collapsed="false">
      <c r="A770" s="18"/>
      <c r="B770" s="19" t="n">
        <v>2304</v>
      </c>
      <c r="C770" s="20" t="n">
        <v>43336</v>
      </c>
      <c r="D770" s="38" t="s">
        <v>22</v>
      </c>
      <c r="E770" s="22" t="s">
        <v>23</v>
      </c>
      <c r="F770" s="34" t="s">
        <v>955</v>
      </c>
      <c r="G770" s="19" t="n">
        <v>73</v>
      </c>
      <c r="H770" s="19" t="n">
        <v>59</v>
      </c>
      <c r="I770" s="19" t="n">
        <v>8</v>
      </c>
      <c r="J770" s="19" t="n">
        <v>36.7</v>
      </c>
      <c r="K770" s="39" t="n">
        <v>305000</v>
      </c>
      <c r="L770" s="39" t="n">
        <f aca="false">ROUND(K770/J770,2)</f>
        <v>8310.63</v>
      </c>
      <c r="M770" s="34"/>
      <c r="N770" s="40"/>
      <c r="O770" s="30" t="n">
        <f aca="false">K770+N770</f>
        <v>305000</v>
      </c>
      <c r="P770" s="39" t="n">
        <f aca="false">ROUND(O770/J770,2)</f>
        <v>8310.63</v>
      </c>
      <c r="Q770" s="19" t="s">
        <v>952</v>
      </c>
      <c r="R770" s="22" t="s">
        <v>26</v>
      </c>
      <c r="S770" s="19" t="s">
        <v>29</v>
      </c>
      <c r="T770" s="19" t="s">
        <v>30</v>
      </c>
      <c r="U770" s="31" t="s">
        <v>31</v>
      </c>
      <c r="V770" s="41" t="n">
        <v>43432</v>
      </c>
      <c r="W770" s="18"/>
      <c r="X770" s="18"/>
      <c r="AMJ770" s="32"/>
    </row>
    <row r="771" s="32" customFormat="true" ht="13.8" hidden="false" customHeight="false" outlineLevel="0" collapsed="false">
      <c r="A771" s="18"/>
      <c r="B771" s="19" t="n">
        <v>1571</v>
      </c>
      <c r="C771" s="20" t="n">
        <v>43336</v>
      </c>
      <c r="D771" s="38" t="s">
        <v>22</v>
      </c>
      <c r="E771" s="22" t="s">
        <v>1082</v>
      </c>
      <c r="F771" s="34" t="s">
        <v>955</v>
      </c>
      <c r="G771" s="19" t="n">
        <v>84</v>
      </c>
      <c r="H771" s="19" t="n">
        <v>18</v>
      </c>
      <c r="I771" s="19" t="n">
        <v>5</v>
      </c>
      <c r="J771" s="19" t="n">
        <v>49.71</v>
      </c>
      <c r="K771" s="39" t="n">
        <v>441000</v>
      </c>
      <c r="L771" s="39" t="n">
        <f aca="false">ROUND(K771/J771,2)</f>
        <v>8871.45</v>
      </c>
      <c r="M771" s="34"/>
      <c r="N771" s="40"/>
      <c r="O771" s="30" t="n">
        <f aca="false">K771+N771</f>
        <v>441000</v>
      </c>
      <c r="P771" s="39" t="n">
        <f aca="false">ROUND(O771/J771,2)</f>
        <v>8871.45</v>
      </c>
      <c r="Q771" s="19" t="s">
        <v>925</v>
      </c>
      <c r="R771" s="22" t="s">
        <v>26</v>
      </c>
      <c r="S771" s="19" t="s">
        <v>29</v>
      </c>
      <c r="T771" s="19" t="s">
        <v>30</v>
      </c>
      <c r="U771" s="31" t="s">
        <v>31</v>
      </c>
      <c r="V771" s="41" t="n">
        <v>43432</v>
      </c>
      <c r="W771" s="18"/>
      <c r="X771" s="18"/>
    </row>
    <row r="772" s="32" customFormat="true" ht="13.8" hidden="false" customHeight="false" outlineLevel="0" collapsed="false">
      <c r="A772" s="18"/>
      <c r="B772" s="19" t="n">
        <v>5683</v>
      </c>
      <c r="C772" s="20" t="n">
        <v>43336</v>
      </c>
      <c r="D772" s="38" t="s">
        <v>22</v>
      </c>
      <c r="E772" s="22" t="s">
        <v>80</v>
      </c>
      <c r="F772" s="34" t="s">
        <v>162</v>
      </c>
      <c r="G772" s="19" t="s">
        <v>1083</v>
      </c>
      <c r="H772" s="19" t="n">
        <v>6</v>
      </c>
      <c r="I772" s="19" t="n">
        <v>3</v>
      </c>
      <c r="J772" s="19" t="n">
        <v>90.8</v>
      </c>
      <c r="K772" s="39" t="n">
        <v>1150000</v>
      </c>
      <c r="L772" s="39" t="n">
        <f aca="false">ROUND(K772/J772,2)</f>
        <v>12665.2</v>
      </c>
      <c r="M772" s="34" t="s">
        <v>1034</v>
      </c>
      <c r="N772" s="40" t="n">
        <v>45000</v>
      </c>
      <c r="O772" s="30" t="n">
        <f aca="false">K772+N772</f>
        <v>1195000</v>
      </c>
      <c r="P772" s="39" t="n">
        <f aca="false">ROUND(O772/J772,2)</f>
        <v>13160.79</v>
      </c>
      <c r="Q772" s="19" t="s">
        <v>1084</v>
      </c>
      <c r="R772" s="22" t="s">
        <v>49</v>
      </c>
      <c r="S772" s="19" t="s">
        <v>29</v>
      </c>
      <c r="T772" s="19" t="s">
        <v>30</v>
      </c>
      <c r="U772" s="31" t="s">
        <v>31</v>
      </c>
      <c r="V772" s="41" t="n">
        <v>43432</v>
      </c>
      <c r="W772" s="34"/>
      <c r="X772" s="34"/>
    </row>
    <row r="773" s="32" customFormat="true" ht="13.8" hidden="false" customHeight="false" outlineLevel="0" collapsed="false">
      <c r="A773" s="18"/>
      <c r="B773" s="19" t="n">
        <v>2305</v>
      </c>
      <c r="C773" s="20" t="n">
        <v>43336</v>
      </c>
      <c r="D773" s="38" t="s">
        <v>22</v>
      </c>
      <c r="E773" s="22" t="s">
        <v>80</v>
      </c>
      <c r="F773" s="34" t="s">
        <v>81</v>
      </c>
      <c r="G773" s="19" t="n">
        <v>3</v>
      </c>
      <c r="H773" s="19" t="n">
        <v>128</v>
      </c>
      <c r="I773" s="19" t="n">
        <v>5</v>
      </c>
      <c r="J773" s="19" t="n">
        <v>31.76</v>
      </c>
      <c r="K773" s="39" t="n">
        <v>480000</v>
      </c>
      <c r="L773" s="39" t="n">
        <f aca="false">ROUND(K773/J773,2)</f>
        <v>15113.35</v>
      </c>
      <c r="M773" s="34" t="s">
        <v>987</v>
      </c>
      <c r="N773" s="40" t="n">
        <v>50000</v>
      </c>
      <c r="O773" s="30" t="n">
        <f aca="false">K773+N773</f>
        <v>530000</v>
      </c>
      <c r="P773" s="39" t="n">
        <f aca="false">ROUND(O773/J773,2)</f>
        <v>16687.66</v>
      </c>
      <c r="Q773" s="19" t="s">
        <v>1085</v>
      </c>
      <c r="R773" s="22" t="s">
        <v>36</v>
      </c>
      <c r="S773" s="19" t="s">
        <v>29</v>
      </c>
      <c r="T773" s="19" t="s">
        <v>30</v>
      </c>
      <c r="U773" s="31" t="s">
        <v>31</v>
      </c>
      <c r="V773" s="41" t="n">
        <v>43432</v>
      </c>
      <c r="W773" s="34"/>
      <c r="X773" s="34"/>
    </row>
    <row r="774" s="32" customFormat="true" ht="13.8" hidden="false" customHeight="false" outlineLevel="0" collapsed="false">
      <c r="A774" s="18"/>
      <c r="B774" s="19" t="n">
        <v>5092</v>
      </c>
      <c r="C774" s="20" t="n">
        <v>43336</v>
      </c>
      <c r="D774" s="38" t="s">
        <v>22</v>
      </c>
      <c r="E774" s="22" t="s">
        <v>235</v>
      </c>
      <c r="F774" s="34" t="s">
        <v>236</v>
      </c>
      <c r="G774" s="19" t="s">
        <v>747</v>
      </c>
      <c r="H774" s="19" t="s">
        <v>262</v>
      </c>
      <c r="I774" s="19" t="n">
        <v>5</v>
      </c>
      <c r="J774" s="19" t="n">
        <v>60.42</v>
      </c>
      <c r="K774" s="39" t="n">
        <v>535000</v>
      </c>
      <c r="L774" s="39" t="n">
        <f aca="false">ROUND(K774/J774,2)</f>
        <v>8854.68</v>
      </c>
      <c r="M774" s="18"/>
      <c r="N774" s="40"/>
      <c r="O774" s="30" t="n">
        <f aca="false">K774+N774</f>
        <v>535000</v>
      </c>
      <c r="P774" s="39" t="n">
        <f aca="false">ROUND(O774/J774,2)</f>
        <v>8854.68</v>
      </c>
      <c r="Q774" s="19" t="s">
        <v>1086</v>
      </c>
      <c r="R774" s="22" t="s">
        <v>57</v>
      </c>
      <c r="S774" s="19" t="s">
        <v>29</v>
      </c>
      <c r="T774" s="19" t="s">
        <v>30</v>
      </c>
      <c r="U774" s="31" t="s">
        <v>31</v>
      </c>
      <c r="V774" s="41" t="n">
        <v>43432</v>
      </c>
      <c r="W774" s="18"/>
      <c r="X774" s="18"/>
    </row>
    <row r="775" s="32" customFormat="true" ht="13.8" hidden="false" customHeight="false" outlineLevel="0" collapsed="false">
      <c r="A775" s="18"/>
      <c r="B775" s="19" t="n">
        <v>2011</v>
      </c>
      <c r="C775" s="20" t="n">
        <v>43336</v>
      </c>
      <c r="D775" s="38" t="s">
        <v>22</v>
      </c>
      <c r="E775" s="22" t="s">
        <v>251</v>
      </c>
      <c r="F775" s="34" t="s">
        <v>1070</v>
      </c>
      <c r="G775" s="19" t="n">
        <v>4</v>
      </c>
      <c r="H775" s="19" t="n">
        <v>19</v>
      </c>
      <c r="I775" s="19" t="n">
        <v>7</v>
      </c>
      <c r="J775" s="19" t="n">
        <v>26.92</v>
      </c>
      <c r="K775" s="39" t="n">
        <v>270000</v>
      </c>
      <c r="L775" s="39" t="n">
        <f aca="false">ROUND(K775/J775,2)</f>
        <v>10029.72</v>
      </c>
      <c r="M775" s="34" t="s">
        <v>1087</v>
      </c>
      <c r="N775" s="40"/>
      <c r="O775" s="30" t="n">
        <f aca="false">K775+N775</f>
        <v>270000</v>
      </c>
      <c r="P775" s="39" t="n">
        <f aca="false">ROUND(O775/J775,2)</f>
        <v>10029.72</v>
      </c>
      <c r="Q775" s="19" t="s">
        <v>1088</v>
      </c>
      <c r="R775" s="22" t="s">
        <v>36</v>
      </c>
      <c r="S775" s="19" t="s">
        <v>29</v>
      </c>
      <c r="T775" s="19" t="s">
        <v>30</v>
      </c>
      <c r="U775" s="31" t="s">
        <v>31</v>
      </c>
      <c r="V775" s="41" t="n">
        <v>43432</v>
      </c>
      <c r="W775" s="18"/>
      <c r="X775" s="18"/>
    </row>
    <row r="776" customFormat="false" ht="13.8" hidden="false" customHeight="false" outlineLevel="0" collapsed="false">
      <c r="A776" s="18"/>
      <c r="B776" s="19" t="n">
        <v>13132</v>
      </c>
      <c r="C776" s="20" t="n">
        <v>43336</v>
      </c>
      <c r="D776" s="38" t="s">
        <v>22</v>
      </c>
      <c r="E776" s="22" t="s">
        <v>572</v>
      </c>
      <c r="F776" s="34" t="s">
        <v>573</v>
      </c>
      <c r="G776" s="19" t="n">
        <v>6</v>
      </c>
      <c r="H776" s="19" t="n">
        <v>129</v>
      </c>
      <c r="I776" s="19" t="n">
        <v>2</v>
      </c>
      <c r="J776" s="19" t="n">
        <v>63.2</v>
      </c>
      <c r="K776" s="39" t="n">
        <v>515000</v>
      </c>
      <c r="L776" s="39" t="n">
        <f aca="false">ROUND(K776/J776,2)</f>
        <v>8148.73</v>
      </c>
      <c r="M776" s="34" t="s">
        <v>1089</v>
      </c>
      <c r="N776" s="40"/>
      <c r="O776" s="30" t="n">
        <f aca="false">K776+N776</f>
        <v>515000</v>
      </c>
      <c r="P776" s="39" t="n">
        <f aca="false">ROUND(O776/J776,2)</f>
        <v>8148.73</v>
      </c>
      <c r="Q776" s="19" t="s">
        <v>1090</v>
      </c>
      <c r="R776" s="22" t="s">
        <v>49</v>
      </c>
      <c r="S776" s="19" t="s">
        <v>29</v>
      </c>
      <c r="T776" s="19" t="s">
        <v>30</v>
      </c>
      <c r="U776" s="31" t="s">
        <v>31</v>
      </c>
      <c r="V776" s="41" t="n">
        <v>43432</v>
      </c>
      <c r="W776" s="34"/>
      <c r="X776" s="34"/>
    </row>
    <row r="777" customFormat="false" ht="13.8" hidden="false" customHeight="false" outlineLevel="0" collapsed="false">
      <c r="A777" s="18"/>
      <c r="B777" s="19" t="n">
        <v>4758</v>
      </c>
      <c r="C777" s="20" t="n">
        <v>43336</v>
      </c>
      <c r="D777" s="38" t="s">
        <v>22</v>
      </c>
      <c r="E777" s="22" t="s">
        <v>129</v>
      </c>
      <c r="F777" s="34" t="s">
        <v>1072</v>
      </c>
      <c r="G777" s="19" t="n">
        <v>4</v>
      </c>
      <c r="H777" s="19" t="s">
        <v>1091</v>
      </c>
      <c r="I777" s="19" t="n">
        <v>4</v>
      </c>
      <c r="J777" s="19" t="n">
        <v>62.34</v>
      </c>
      <c r="K777" s="39" t="n">
        <v>665000</v>
      </c>
      <c r="L777" s="39" t="n">
        <f aca="false">ROUND(K777/J777,2)</f>
        <v>10667.31</v>
      </c>
      <c r="M777" s="34" t="s">
        <v>1092</v>
      </c>
      <c r="N777" s="40"/>
      <c r="O777" s="30" t="n">
        <f aca="false">K777+N777</f>
        <v>665000</v>
      </c>
      <c r="P777" s="39" t="n">
        <f aca="false">ROUND(O777/J777,2)</f>
        <v>10667.31</v>
      </c>
      <c r="Q777" s="19" t="s">
        <v>1031</v>
      </c>
      <c r="R777" s="22" t="s">
        <v>49</v>
      </c>
      <c r="S777" s="19" t="s">
        <v>29</v>
      </c>
      <c r="T777" s="19" t="s">
        <v>30</v>
      </c>
      <c r="U777" s="31" t="s">
        <v>31</v>
      </c>
      <c r="V777" s="41" t="n">
        <v>43432</v>
      </c>
      <c r="W777" s="18"/>
      <c r="X777" s="18"/>
      <c r="AMJ777" s="32"/>
    </row>
    <row r="778" s="32" customFormat="true" ht="13.8" hidden="false" customHeight="false" outlineLevel="0" collapsed="false">
      <c r="A778" s="18"/>
      <c r="B778" s="19" t="n">
        <v>1059</v>
      </c>
      <c r="C778" s="20" t="n">
        <v>43337</v>
      </c>
      <c r="D778" s="38" t="s">
        <v>22</v>
      </c>
      <c r="E778" s="22" t="s">
        <v>203</v>
      </c>
      <c r="F778" s="34" t="s">
        <v>138</v>
      </c>
      <c r="G778" s="19" t="n">
        <v>12</v>
      </c>
      <c r="H778" s="19" t="n">
        <v>1321</v>
      </c>
      <c r="I778" s="19" t="n">
        <v>14</v>
      </c>
      <c r="J778" s="19" t="n">
        <v>37.15</v>
      </c>
      <c r="K778" s="39" t="n">
        <v>357000</v>
      </c>
      <c r="L778" s="39" t="n">
        <f aca="false">ROUND(K778/J778,2)</f>
        <v>9609.69</v>
      </c>
      <c r="M778" s="34"/>
      <c r="N778" s="40"/>
      <c r="O778" s="30" t="n">
        <f aca="false">K778+N778</f>
        <v>357000</v>
      </c>
      <c r="P778" s="39" t="n">
        <f aca="false">ROUND(O778/J778,2)</f>
        <v>9609.69</v>
      </c>
      <c r="Q778" s="19" t="s">
        <v>1093</v>
      </c>
      <c r="R778" s="22" t="s">
        <v>27</v>
      </c>
      <c r="S778" s="19" t="s">
        <v>29</v>
      </c>
      <c r="T778" s="19" t="s">
        <v>30</v>
      </c>
      <c r="U778" s="31" t="s">
        <v>31</v>
      </c>
      <c r="V778" s="41" t="n">
        <v>43432</v>
      </c>
      <c r="W778" s="34"/>
      <c r="X778" s="34"/>
    </row>
    <row r="779" customFormat="false" ht="13.8" hidden="false" customHeight="false" outlineLevel="0" collapsed="false">
      <c r="A779" s="18"/>
      <c r="B779" s="19" t="n">
        <v>1798</v>
      </c>
      <c r="C779" s="20" t="n">
        <v>43339</v>
      </c>
      <c r="D779" s="38" t="s">
        <v>22</v>
      </c>
      <c r="E779" s="22" t="s">
        <v>175</v>
      </c>
      <c r="F779" s="34" t="s">
        <v>955</v>
      </c>
      <c r="G779" s="19" t="s">
        <v>759</v>
      </c>
      <c r="H779" s="19" t="n">
        <v>27</v>
      </c>
      <c r="I779" s="19" t="n">
        <v>4</v>
      </c>
      <c r="J779" s="19" t="n">
        <v>67.6</v>
      </c>
      <c r="K779" s="39" t="n">
        <v>630000</v>
      </c>
      <c r="L779" s="39" t="n">
        <f aca="false">ROUND(K779/J779,2)</f>
        <v>9319.53</v>
      </c>
      <c r="M779" s="34" t="s">
        <v>189</v>
      </c>
      <c r="N779" s="40"/>
      <c r="O779" s="30" t="n">
        <f aca="false">K779+N779</f>
        <v>630000</v>
      </c>
      <c r="P779" s="39" t="n">
        <f aca="false">ROUND(O779/J779,2)</f>
        <v>9319.53</v>
      </c>
      <c r="Q779" s="19" t="s">
        <v>1094</v>
      </c>
      <c r="R779" s="22" t="s">
        <v>26</v>
      </c>
      <c r="S779" s="19" t="s">
        <v>29</v>
      </c>
      <c r="T779" s="19" t="s">
        <v>30</v>
      </c>
      <c r="U779" s="31" t="s">
        <v>31</v>
      </c>
      <c r="V779" s="41" t="n">
        <v>43432</v>
      </c>
      <c r="W779" s="18"/>
      <c r="X779" s="18"/>
    </row>
    <row r="780" customFormat="false" ht="13.8" hidden="false" customHeight="false" outlineLevel="0" collapsed="false">
      <c r="A780" s="18"/>
      <c r="B780" s="19" t="n">
        <v>6009</v>
      </c>
      <c r="C780" s="20" t="n">
        <v>43339</v>
      </c>
      <c r="D780" s="38" t="s">
        <v>22</v>
      </c>
      <c r="E780" s="22" t="s">
        <v>129</v>
      </c>
      <c r="F780" s="34" t="s">
        <v>985</v>
      </c>
      <c r="G780" s="19" t="n">
        <v>4</v>
      </c>
      <c r="H780" s="19" t="s">
        <v>1095</v>
      </c>
      <c r="I780" s="19" t="n">
        <v>5</v>
      </c>
      <c r="J780" s="19" t="n">
        <v>43.93</v>
      </c>
      <c r="K780" s="39" t="n">
        <v>380000</v>
      </c>
      <c r="L780" s="39" t="n">
        <f aca="false">ROUND(K780/J780,2)</f>
        <v>8650.13</v>
      </c>
      <c r="M780" s="34" t="s">
        <v>987</v>
      </c>
      <c r="N780" s="40"/>
      <c r="O780" s="30" t="n">
        <f aca="false">K780+N780</f>
        <v>380000</v>
      </c>
      <c r="P780" s="39" t="n">
        <f aca="false">ROUND(O780/J780,2)</f>
        <v>8650.13</v>
      </c>
      <c r="Q780" s="19" t="s">
        <v>1096</v>
      </c>
      <c r="R780" s="22" t="s">
        <v>36</v>
      </c>
      <c r="S780" s="19" t="s">
        <v>29</v>
      </c>
      <c r="T780" s="19" t="s">
        <v>30</v>
      </c>
      <c r="U780" s="31" t="s">
        <v>31</v>
      </c>
      <c r="V780" s="41" t="n">
        <v>43432</v>
      </c>
      <c r="W780" s="34"/>
      <c r="X780" s="34"/>
    </row>
    <row r="781" customFormat="false" ht="13.8" hidden="false" customHeight="false" outlineLevel="0" collapsed="false">
      <c r="A781" s="18"/>
      <c r="B781" s="19" t="n">
        <v>2755</v>
      </c>
      <c r="C781" s="20" t="n">
        <v>43339</v>
      </c>
      <c r="D781" s="38" t="s">
        <v>22</v>
      </c>
      <c r="E781" s="22" t="s">
        <v>198</v>
      </c>
      <c r="F781" s="34" t="s">
        <v>199</v>
      </c>
      <c r="G781" s="19" t="n">
        <v>4</v>
      </c>
      <c r="H781" s="19" t="n">
        <v>39</v>
      </c>
      <c r="I781" s="19" t="n">
        <v>7</v>
      </c>
      <c r="J781" s="19" t="n">
        <v>61.17</v>
      </c>
      <c r="K781" s="39" t="n">
        <v>350000</v>
      </c>
      <c r="L781" s="39" t="n">
        <f aca="false">ROUND(K781/J781,2)</f>
        <v>5721.76</v>
      </c>
      <c r="M781" s="34"/>
      <c r="N781" s="40"/>
      <c r="O781" s="30" t="n">
        <f aca="false">K781+N781</f>
        <v>350000</v>
      </c>
      <c r="P781" s="39" t="n">
        <f aca="false">ROUND(O781/J781,2)</f>
        <v>5721.76</v>
      </c>
      <c r="Q781" s="19" t="s">
        <v>948</v>
      </c>
      <c r="R781" s="22" t="s">
        <v>49</v>
      </c>
      <c r="S781" s="19" t="s">
        <v>29</v>
      </c>
      <c r="T781" s="19" t="s">
        <v>30</v>
      </c>
      <c r="U781" s="31" t="s">
        <v>31</v>
      </c>
      <c r="V781" s="41" t="n">
        <v>43432</v>
      </c>
      <c r="W781" s="18"/>
      <c r="X781" s="18"/>
    </row>
    <row r="782" customFormat="false" ht="13.8" hidden="false" customHeight="false" outlineLevel="0" collapsed="false">
      <c r="A782" s="18"/>
      <c r="B782" s="19" t="n">
        <v>4602</v>
      </c>
      <c r="C782" s="20" t="n">
        <v>43339</v>
      </c>
      <c r="D782" s="38" t="s">
        <v>22</v>
      </c>
      <c r="E782" s="22" t="s">
        <v>459</v>
      </c>
      <c r="F782" s="34" t="s">
        <v>416</v>
      </c>
      <c r="G782" s="19" t="n">
        <v>1</v>
      </c>
      <c r="H782" s="19" t="n">
        <v>20</v>
      </c>
      <c r="I782" s="19" t="n">
        <v>2</v>
      </c>
      <c r="J782" s="19" t="n">
        <v>22.7</v>
      </c>
      <c r="K782" s="39" t="n">
        <v>247500</v>
      </c>
      <c r="L782" s="39" t="n">
        <f aca="false">ROUND(K782/J782,2)</f>
        <v>10903.08</v>
      </c>
      <c r="M782" s="34"/>
      <c r="N782" s="40"/>
      <c r="O782" s="30" t="n">
        <f aca="false">K782+N782</f>
        <v>247500</v>
      </c>
      <c r="P782" s="39" t="n">
        <f aca="false">ROUND(O782/J782,2)</f>
        <v>10903.08</v>
      </c>
      <c r="Q782" s="19" t="s">
        <v>982</v>
      </c>
      <c r="R782" s="22" t="s">
        <v>36</v>
      </c>
      <c r="S782" s="19" t="s">
        <v>29</v>
      </c>
      <c r="T782" s="19" t="s">
        <v>30</v>
      </c>
      <c r="U782" s="31" t="s">
        <v>31</v>
      </c>
      <c r="V782" s="41" t="n">
        <v>43432</v>
      </c>
      <c r="W782" s="18"/>
      <c r="X782" s="18"/>
    </row>
    <row r="783" customFormat="false" ht="13.8" hidden="false" customHeight="false" outlineLevel="0" collapsed="false">
      <c r="A783" s="18"/>
      <c r="B783" s="19" t="n">
        <v>3722</v>
      </c>
      <c r="C783" s="20" t="n">
        <v>43339</v>
      </c>
      <c r="D783" s="38" t="s">
        <v>22</v>
      </c>
      <c r="E783" s="22" t="s">
        <v>354</v>
      </c>
      <c r="F783" s="34" t="s">
        <v>386</v>
      </c>
      <c r="G783" s="19" t="n">
        <v>17</v>
      </c>
      <c r="H783" s="19" t="n">
        <v>12</v>
      </c>
      <c r="I783" s="19" t="n">
        <v>4</v>
      </c>
      <c r="J783" s="19" t="n">
        <v>53.21</v>
      </c>
      <c r="K783" s="39" t="n">
        <v>594000</v>
      </c>
      <c r="L783" s="39" t="n">
        <f aca="false">ROUND(K783/J783,2)</f>
        <v>11163.32</v>
      </c>
      <c r="M783" s="34"/>
      <c r="N783" s="40"/>
      <c r="O783" s="30" t="n">
        <f aca="false">K783+N783</f>
        <v>594000</v>
      </c>
      <c r="P783" s="39" t="n">
        <f aca="false">ROUND(O783/J783,2)</f>
        <v>11163.32</v>
      </c>
      <c r="Q783" s="19" t="s">
        <v>1026</v>
      </c>
      <c r="R783" s="22" t="s">
        <v>26</v>
      </c>
      <c r="S783" s="19" t="s">
        <v>29</v>
      </c>
      <c r="T783" s="19" t="s">
        <v>30</v>
      </c>
      <c r="U783" s="31" t="s">
        <v>31</v>
      </c>
      <c r="V783" s="41" t="n">
        <v>43432</v>
      </c>
      <c r="W783" s="18"/>
      <c r="X783" s="18"/>
    </row>
    <row r="784" customFormat="false" ht="13.8" hidden="false" customHeight="false" outlineLevel="0" collapsed="false">
      <c r="A784" s="18"/>
      <c r="B784" s="19" t="n">
        <v>4888</v>
      </c>
      <c r="C784" s="20" t="n">
        <v>43339</v>
      </c>
      <c r="D784" s="38" t="s">
        <v>22</v>
      </c>
      <c r="E784" s="22" t="s">
        <v>144</v>
      </c>
      <c r="F784" s="34" t="s">
        <v>145</v>
      </c>
      <c r="G784" s="19" t="s">
        <v>146</v>
      </c>
      <c r="H784" s="19" t="n">
        <v>17</v>
      </c>
      <c r="I784" s="19" t="n">
        <v>2</v>
      </c>
      <c r="J784" s="19" t="n">
        <v>59.82</v>
      </c>
      <c r="K784" s="39" t="n">
        <v>480000</v>
      </c>
      <c r="L784" s="39" t="n">
        <f aca="false">ROUND(K784/J784,2)</f>
        <v>8024.07</v>
      </c>
      <c r="M784" s="34" t="s">
        <v>189</v>
      </c>
      <c r="N784" s="40"/>
      <c r="O784" s="30" t="n">
        <f aca="false">K784+N784</f>
        <v>480000</v>
      </c>
      <c r="P784" s="39" t="n">
        <f aca="false">ROUND(O784/J784,2)</f>
        <v>8024.07</v>
      </c>
      <c r="Q784" s="19" t="s">
        <v>948</v>
      </c>
      <c r="R784" s="22" t="s">
        <v>49</v>
      </c>
      <c r="S784" s="19" t="s">
        <v>29</v>
      </c>
      <c r="T784" s="19" t="s">
        <v>30</v>
      </c>
      <c r="U784" s="31" t="s">
        <v>31</v>
      </c>
      <c r="V784" s="41" t="n">
        <v>43432</v>
      </c>
      <c r="W784" s="18"/>
      <c r="X784" s="18"/>
      <c r="AMJ784" s="32"/>
    </row>
    <row r="785" s="32" customFormat="true" ht="13.8" hidden="false" customHeight="false" outlineLevel="0" collapsed="false">
      <c r="A785" s="18"/>
      <c r="B785" s="19" t="n">
        <v>3136</v>
      </c>
      <c r="C785" s="20" t="n">
        <v>43339</v>
      </c>
      <c r="D785" s="38" t="s">
        <v>22</v>
      </c>
      <c r="E785" s="22" t="s">
        <v>690</v>
      </c>
      <c r="F785" s="34" t="s">
        <v>87</v>
      </c>
      <c r="G785" s="19" t="n">
        <v>40</v>
      </c>
      <c r="H785" s="19" t="n">
        <v>23</v>
      </c>
      <c r="I785" s="19" t="n">
        <v>3</v>
      </c>
      <c r="J785" s="19" t="n">
        <v>30.2</v>
      </c>
      <c r="K785" s="39" t="n">
        <v>245000</v>
      </c>
      <c r="L785" s="39" t="n">
        <f aca="false">ROUND(K785/J785,2)</f>
        <v>8112.58</v>
      </c>
      <c r="M785" s="34"/>
      <c r="N785" s="40"/>
      <c r="O785" s="30" t="n">
        <f aca="false">K785+N785</f>
        <v>245000</v>
      </c>
      <c r="P785" s="39" t="n">
        <f aca="false">ROUND(O785/J785,2)</f>
        <v>8112.58</v>
      </c>
      <c r="Q785" s="19" t="s">
        <v>958</v>
      </c>
      <c r="R785" s="22" t="s">
        <v>26</v>
      </c>
      <c r="S785" s="19" t="s">
        <v>29</v>
      </c>
      <c r="T785" s="19" t="s">
        <v>30</v>
      </c>
      <c r="U785" s="31" t="s">
        <v>31</v>
      </c>
      <c r="V785" s="41" t="n">
        <v>43432</v>
      </c>
      <c r="W785" s="18"/>
      <c r="X785" s="18"/>
    </row>
    <row r="786" s="32" customFormat="true" ht="13.8" hidden="false" customHeight="false" outlineLevel="0" collapsed="false">
      <c r="A786" s="18"/>
      <c r="B786" s="19" t="n">
        <v>1992</v>
      </c>
      <c r="C786" s="20" t="n">
        <v>43339</v>
      </c>
      <c r="D786" s="38" t="s">
        <v>22</v>
      </c>
      <c r="E786" s="22" t="s">
        <v>53</v>
      </c>
      <c r="F786" s="34" t="s">
        <v>54</v>
      </c>
      <c r="G786" s="19" t="n">
        <v>15</v>
      </c>
      <c r="H786" s="19" t="n">
        <v>1024</v>
      </c>
      <c r="I786" s="19" t="n">
        <v>10</v>
      </c>
      <c r="J786" s="19" t="n">
        <v>59.2</v>
      </c>
      <c r="K786" s="39" t="n">
        <v>430000</v>
      </c>
      <c r="L786" s="39" t="n">
        <f aca="false">ROUND(K786/J786,2)</f>
        <v>7263.51</v>
      </c>
      <c r="M786" s="34" t="s">
        <v>1097</v>
      </c>
      <c r="N786" s="40"/>
      <c r="O786" s="30" t="n">
        <f aca="false">K786+N786</f>
        <v>430000</v>
      </c>
      <c r="P786" s="39" t="n">
        <f aca="false">ROUND(O786/J786,2)</f>
        <v>7263.51</v>
      </c>
      <c r="Q786" s="19" t="s">
        <v>1098</v>
      </c>
      <c r="R786" s="22" t="s">
        <v>49</v>
      </c>
      <c r="S786" s="19" t="s">
        <v>29</v>
      </c>
      <c r="T786" s="19" t="s">
        <v>30</v>
      </c>
      <c r="U786" s="31" t="s">
        <v>31</v>
      </c>
      <c r="V786" s="41" t="n">
        <v>43432</v>
      </c>
      <c r="W786" s="18"/>
      <c r="X786" s="18"/>
    </row>
    <row r="787" s="32" customFormat="true" ht="13.8" hidden="false" customHeight="false" outlineLevel="0" collapsed="false">
      <c r="A787" s="18"/>
      <c r="B787" s="19" t="n">
        <v>4825</v>
      </c>
      <c r="C787" s="20" t="n">
        <v>43340</v>
      </c>
      <c r="D787" s="38" t="s">
        <v>22</v>
      </c>
      <c r="E787" s="22" t="s">
        <v>129</v>
      </c>
      <c r="F787" s="34" t="s">
        <v>985</v>
      </c>
      <c r="G787" s="19" t="n">
        <v>4</v>
      </c>
      <c r="H787" s="19" t="s">
        <v>1099</v>
      </c>
      <c r="I787" s="19" t="n">
        <v>13</v>
      </c>
      <c r="J787" s="19" t="n">
        <v>41.98</v>
      </c>
      <c r="K787" s="39" t="n">
        <v>440000</v>
      </c>
      <c r="L787" s="39" t="n">
        <f aca="false">ROUND(K787/J787,2)</f>
        <v>10481.18</v>
      </c>
      <c r="M787" s="34" t="s">
        <v>1100</v>
      </c>
      <c r="N787" s="40"/>
      <c r="O787" s="30" t="n">
        <f aca="false">K787+N787</f>
        <v>440000</v>
      </c>
      <c r="P787" s="39" t="n">
        <f aca="false">ROUND(O787/J787,2)</f>
        <v>10481.18</v>
      </c>
      <c r="Q787" s="19" t="s">
        <v>1101</v>
      </c>
      <c r="R787" s="22" t="s">
        <v>36</v>
      </c>
      <c r="S787" s="19" t="s">
        <v>29</v>
      </c>
      <c r="T787" s="19" t="s">
        <v>30</v>
      </c>
      <c r="U787" s="31" t="s">
        <v>31</v>
      </c>
      <c r="V787" s="41" t="n">
        <v>43432</v>
      </c>
      <c r="W787" s="18"/>
      <c r="X787" s="18"/>
    </row>
    <row r="788" s="32" customFormat="true" ht="13.8" hidden="false" customHeight="false" outlineLevel="0" collapsed="false">
      <c r="A788" s="18"/>
      <c r="B788" s="19" t="n">
        <v>2948</v>
      </c>
      <c r="C788" s="20" t="n">
        <v>43340</v>
      </c>
      <c r="D788" s="38" t="s">
        <v>22</v>
      </c>
      <c r="E788" s="22" t="s">
        <v>203</v>
      </c>
      <c r="F788" s="34" t="s">
        <v>138</v>
      </c>
      <c r="G788" s="19" t="n">
        <v>12</v>
      </c>
      <c r="H788" s="19" t="n">
        <v>914</v>
      </c>
      <c r="I788" s="19" t="n">
        <v>10</v>
      </c>
      <c r="J788" s="19" t="n">
        <v>77.62</v>
      </c>
      <c r="K788" s="39" t="n">
        <v>800000</v>
      </c>
      <c r="L788" s="39" t="n">
        <f aca="false">ROUND(K788/J788,2)</f>
        <v>10306.62</v>
      </c>
      <c r="M788" s="34" t="s">
        <v>987</v>
      </c>
      <c r="N788" s="40" t="n">
        <v>30000</v>
      </c>
      <c r="O788" s="30" t="n">
        <f aca="false">K788+N788</f>
        <v>830000</v>
      </c>
      <c r="P788" s="39" t="n">
        <f aca="false">ROUND(O788/J788,2)</f>
        <v>10693.12</v>
      </c>
      <c r="Q788" s="19" t="s">
        <v>1059</v>
      </c>
      <c r="R788" s="22" t="s">
        <v>49</v>
      </c>
      <c r="S788" s="19" t="s">
        <v>29</v>
      </c>
      <c r="T788" s="19" t="s">
        <v>30</v>
      </c>
      <c r="U788" s="31" t="s">
        <v>31</v>
      </c>
      <c r="V788" s="41" t="n">
        <v>43432</v>
      </c>
      <c r="W788" s="34"/>
      <c r="X788" s="34"/>
    </row>
    <row r="789" s="32" customFormat="true" ht="13.8" hidden="false" customHeight="false" outlineLevel="0" collapsed="false">
      <c r="A789" s="18"/>
      <c r="B789" s="19" t="n">
        <v>5832</v>
      </c>
      <c r="C789" s="20" t="n">
        <v>43340</v>
      </c>
      <c r="D789" s="38" t="s">
        <v>22</v>
      </c>
      <c r="E789" s="22" t="s">
        <v>622</v>
      </c>
      <c r="F789" s="34" t="s">
        <v>38</v>
      </c>
      <c r="G789" s="19" t="n">
        <v>48</v>
      </c>
      <c r="H789" s="19" t="n">
        <v>142</v>
      </c>
      <c r="I789" s="19" t="n">
        <v>11</v>
      </c>
      <c r="J789" s="19" t="n">
        <v>37.7</v>
      </c>
      <c r="K789" s="39" t="n">
        <v>315000</v>
      </c>
      <c r="L789" s="39" t="n">
        <f aca="false">ROUND(K789/J789,2)</f>
        <v>8355.44</v>
      </c>
      <c r="M789" s="34" t="s">
        <v>189</v>
      </c>
      <c r="N789" s="40"/>
      <c r="O789" s="30" t="n">
        <f aca="false">K789+N789</f>
        <v>315000</v>
      </c>
      <c r="P789" s="39" t="n">
        <f aca="false">ROUND(O789/J789,2)</f>
        <v>8355.44</v>
      </c>
      <c r="Q789" s="19" t="s">
        <v>952</v>
      </c>
      <c r="R789" s="22" t="s">
        <v>26</v>
      </c>
      <c r="S789" s="19" t="s">
        <v>29</v>
      </c>
      <c r="T789" s="19" t="s">
        <v>30</v>
      </c>
      <c r="U789" s="31" t="s">
        <v>31</v>
      </c>
      <c r="V789" s="41" t="n">
        <v>43432</v>
      </c>
      <c r="W789" s="34"/>
      <c r="X789" s="34"/>
    </row>
    <row r="790" s="32" customFormat="true" ht="13.8" hidden="false" customHeight="false" outlineLevel="0" collapsed="false">
      <c r="A790" s="18"/>
      <c r="B790" s="19" t="n">
        <v>3850</v>
      </c>
      <c r="C790" s="20" t="n">
        <v>43340</v>
      </c>
      <c r="D790" s="38" t="s">
        <v>22</v>
      </c>
      <c r="E790" s="22" t="s">
        <v>906</v>
      </c>
      <c r="F790" s="34" t="s">
        <v>1102</v>
      </c>
      <c r="G790" s="19" t="n">
        <v>7</v>
      </c>
      <c r="H790" s="19" t="n">
        <v>603</v>
      </c>
      <c r="I790" s="19" t="n">
        <v>6</v>
      </c>
      <c r="J790" s="19" t="n">
        <v>62.1</v>
      </c>
      <c r="K790" s="39" t="n">
        <v>465000</v>
      </c>
      <c r="L790" s="39" t="n">
        <f aca="false">ROUND(K790/J790,2)</f>
        <v>7487.92</v>
      </c>
      <c r="M790" s="34" t="s">
        <v>1103</v>
      </c>
      <c r="N790" s="40"/>
      <c r="O790" s="30" t="n">
        <f aca="false">K790+N790</f>
        <v>465000</v>
      </c>
      <c r="P790" s="39" t="n">
        <f aca="false">ROUND(O790/J790,2)</f>
        <v>7487.92</v>
      </c>
      <c r="Q790" s="19" t="s">
        <v>997</v>
      </c>
      <c r="R790" s="22" t="s">
        <v>49</v>
      </c>
      <c r="S790" s="19" t="s">
        <v>29</v>
      </c>
      <c r="T790" s="19" t="s">
        <v>30</v>
      </c>
      <c r="U790" s="31" t="s">
        <v>31</v>
      </c>
      <c r="V790" s="41" t="n">
        <v>43432</v>
      </c>
      <c r="W790" s="34"/>
      <c r="X790" s="34"/>
    </row>
    <row r="791" s="32" customFormat="true" ht="13.8" hidden="false" customHeight="false" outlineLevel="0" collapsed="false">
      <c r="A791" s="18"/>
      <c r="B791" s="19" t="n">
        <v>3710</v>
      </c>
      <c r="C791" s="20" t="n">
        <v>43340</v>
      </c>
      <c r="D791" s="38" t="s">
        <v>1104</v>
      </c>
      <c r="E791" s="22" t="s">
        <v>1105</v>
      </c>
      <c r="F791" s="34" t="s">
        <v>46</v>
      </c>
      <c r="G791" s="19" t="n">
        <v>266</v>
      </c>
      <c r="H791" s="19" t="n">
        <v>247</v>
      </c>
      <c r="I791" s="19" t="n">
        <v>3</v>
      </c>
      <c r="J791" s="19" t="n">
        <v>56.6</v>
      </c>
      <c r="K791" s="39" t="n">
        <v>300000</v>
      </c>
      <c r="L791" s="39" t="n">
        <f aca="false">ROUND(K791/J791,2)</f>
        <v>5300.35</v>
      </c>
      <c r="M791" s="18"/>
      <c r="N791" s="40"/>
      <c r="O791" s="30" t="n">
        <f aca="false">K791+N791</f>
        <v>300000</v>
      </c>
      <c r="P791" s="39" t="n">
        <f aca="false">ROUND(O791/J791,2)</f>
        <v>5300.35</v>
      </c>
      <c r="Q791" s="19" t="s">
        <v>958</v>
      </c>
      <c r="R791" s="22" t="s">
        <v>26</v>
      </c>
      <c r="S791" s="19" t="s">
        <v>29</v>
      </c>
      <c r="T791" s="19" t="s">
        <v>30</v>
      </c>
      <c r="U791" s="31" t="s">
        <v>31</v>
      </c>
      <c r="V791" s="41" t="n">
        <v>43432</v>
      </c>
      <c r="W791" s="18"/>
      <c r="X791" s="18"/>
    </row>
    <row r="792" customFormat="false" ht="13.8" hidden="false" customHeight="false" outlineLevel="0" collapsed="false">
      <c r="A792" s="18"/>
      <c r="B792" s="19" t="n">
        <v>5840</v>
      </c>
      <c r="C792" s="20" t="n">
        <v>43340</v>
      </c>
      <c r="D792" s="38" t="s">
        <v>22</v>
      </c>
      <c r="E792" s="22" t="s">
        <v>354</v>
      </c>
      <c r="F792" s="34" t="s">
        <v>456</v>
      </c>
      <c r="G792" s="19" t="n">
        <v>4</v>
      </c>
      <c r="H792" s="19" t="n">
        <v>72</v>
      </c>
      <c r="I792" s="19" t="n">
        <v>2</v>
      </c>
      <c r="J792" s="19" t="n">
        <v>46.4</v>
      </c>
      <c r="K792" s="39" t="n">
        <v>570000</v>
      </c>
      <c r="L792" s="39" t="n">
        <f aca="false">ROUND(K792/J792,2)</f>
        <v>12284.48</v>
      </c>
      <c r="M792" s="18"/>
      <c r="N792" s="40"/>
      <c r="O792" s="30" t="n">
        <f aca="false">K792+N792</f>
        <v>570000</v>
      </c>
      <c r="P792" s="39" t="n">
        <f aca="false">ROUND(O792/J792,2)</f>
        <v>12284.48</v>
      </c>
      <c r="Q792" s="19" t="s">
        <v>925</v>
      </c>
      <c r="R792" s="22" t="s">
        <v>26</v>
      </c>
      <c r="S792" s="19" t="s">
        <v>29</v>
      </c>
      <c r="T792" s="19" t="s">
        <v>30</v>
      </c>
      <c r="U792" s="31" t="s">
        <v>31</v>
      </c>
      <c r="V792" s="41" t="n">
        <v>43432</v>
      </c>
      <c r="W792" s="18"/>
      <c r="X792" s="18"/>
      <c r="Y792" s="35"/>
      <c r="Z792" s="43"/>
      <c r="AMJ792" s="32"/>
    </row>
    <row r="793" s="32" customFormat="true" ht="13.8" hidden="false" customHeight="false" outlineLevel="0" collapsed="false">
      <c r="A793" s="18"/>
      <c r="B793" s="19" t="n">
        <v>5956</v>
      </c>
      <c r="C793" s="20" t="n">
        <v>43341</v>
      </c>
      <c r="D793" s="38" t="s">
        <v>22</v>
      </c>
      <c r="E793" s="22" t="s">
        <v>190</v>
      </c>
      <c r="F793" s="34" t="s">
        <v>591</v>
      </c>
      <c r="G793" s="19" t="n">
        <v>18</v>
      </c>
      <c r="H793" s="19" t="n">
        <v>189</v>
      </c>
      <c r="I793" s="19" t="n">
        <v>3</v>
      </c>
      <c r="J793" s="19" t="n">
        <v>42.8</v>
      </c>
      <c r="K793" s="39" t="n">
        <v>425000</v>
      </c>
      <c r="L793" s="39" t="n">
        <f aca="false">ROUND(K793/J793,2)</f>
        <v>9929.91</v>
      </c>
      <c r="M793" s="34"/>
      <c r="N793" s="40"/>
      <c r="O793" s="30" t="n">
        <f aca="false">K793+N793</f>
        <v>425000</v>
      </c>
      <c r="P793" s="39" t="n">
        <f aca="false">ROUND(O793/J793,2)</f>
        <v>9929.91</v>
      </c>
      <c r="Q793" s="19" t="s">
        <v>1106</v>
      </c>
      <c r="R793" s="22" t="s">
        <v>36</v>
      </c>
      <c r="S793" s="19" t="s">
        <v>29</v>
      </c>
      <c r="T793" s="19" t="s">
        <v>30</v>
      </c>
      <c r="U793" s="31" t="s">
        <v>31</v>
      </c>
      <c r="V793" s="41" t="n">
        <v>43432</v>
      </c>
      <c r="W793" s="34"/>
      <c r="X793" s="34"/>
    </row>
    <row r="794" customFormat="false" ht="13.8" hidden="false" customHeight="false" outlineLevel="0" collapsed="false">
      <c r="A794" s="18"/>
      <c r="B794" s="19" t="n">
        <v>3331</v>
      </c>
      <c r="C794" s="20" t="n">
        <v>43341</v>
      </c>
      <c r="D794" s="38" t="s">
        <v>22</v>
      </c>
      <c r="E794" s="22" t="s">
        <v>278</v>
      </c>
      <c r="F794" s="34" t="s">
        <v>688</v>
      </c>
      <c r="G794" s="19" t="s">
        <v>731</v>
      </c>
      <c r="H794" s="19" t="n">
        <v>59</v>
      </c>
      <c r="I794" s="19" t="n">
        <v>1</v>
      </c>
      <c r="J794" s="19" t="n">
        <v>47.3</v>
      </c>
      <c r="K794" s="39" t="n">
        <v>414500</v>
      </c>
      <c r="L794" s="39" t="n">
        <f aca="false">ROUND(K794/J794,2)</f>
        <v>8763.21</v>
      </c>
      <c r="M794" s="34" t="s">
        <v>189</v>
      </c>
      <c r="N794" s="40"/>
      <c r="O794" s="30" t="n">
        <f aca="false">K794+N794</f>
        <v>414500</v>
      </c>
      <c r="P794" s="39" t="n">
        <f aca="false">ROUND(O794/J794,2)</f>
        <v>8763.21</v>
      </c>
      <c r="Q794" s="19" t="s">
        <v>948</v>
      </c>
      <c r="R794" s="22" t="s">
        <v>49</v>
      </c>
      <c r="S794" s="19" t="s">
        <v>29</v>
      </c>
      <c r="T794" s="19" t="s">
        <v>30</v>
      </c>
      <c r="U794" s="31" t="s">
        <v>31</v>
      </c>
      <c r="V794" s="41" t="n">
        <v>43432</v>
      </c>
      <c r="W794" s="18"/>
      <c r="X794" s="18"/>
    </row>
    <row r="795" customFormat="false" ht="13.8" hidden="false" customHeight="false" outlineLevel="0" collapsed="false">
      <c r="A795" s="18"/>
      <c r="B795" s="19" t="n">
        <v>9370</v>
      </c>
      <c r="C795" s="20" t="n">
        <v>43341</v>
      </c>
      <c r="D795" s="38" t="s">
        <v>22</v>
      </c>
      <c r="E795" s="22" t="s">
        <v>75</v>
      </c>
      <c r="F795" s="34" t="s">
        <v>1107</v>
      </c>
      <c r="G795" s="19" t="n">
        <v>1</v>
      </c>
      <c r="H795" s="19" t="n">
        <v>30</v>
      </c>
      <c r="I795" s="19" t="n">
        <v>1</v>
      </c>
      <c r="J795" s="19" t="n">
        <v>61.66</v>
      </c>
      <c r="K795" s="39" t="n">
        <v>478500</v>
      </c>
      <c r="L795" s="39" t="n">
        <f aca="false">ROUND(K795/J795,2)</f>
        <v>7760.3</v>
      </c>
      <c r="M795" s="34" t="s">
        <v>1108</v>
      </c>
      <c r="N795" s="40"/>
      <c r="O795" s="30" t="n">
        <f aca="false">K795+N795</f>
        <v>478500</v>
      </c>
      <c r="P795" s="39" t="n">
        <f aca="false">ROUND(O795/J795,2)</f>
        <v>7760.3</v>
      </c>
      <c r="Q795" s="19" t="s">
        <v>1109</v>
      </c>
      <c r="R795" s="22" t="s">
        <v>49</v>
      </c>
      <c r="S795" s="19" t="s">
        <v>29</v>
      </c>
      <c r="T795" s="19" t="s">
        <v>30</v>
      </c>
      <c r="U795" s="31" t="s">
        <v>31</v>
      </c>
      <c r="V795" s="41" t="n">
        <v>43432</v>
      </c>
      <c r="W795" s="18"/>
      <c r="X795" s="18"/>
    </row>
    <row r="796" customFormat="false" ht="13.8" hidden="false" customHeight="false" outlineLevel="0" collapsed="false">
      <c r="A796" s="18"/>
      <c r="B796" s="19" t="n">
        <v>7933</v>
      </c>
      <c r="C796" s="20" t="n">
        <v>43341</v>
      </c>
      <c r="D796" s="38" t="s">
        <v>22</v>
      </c>
      <c r="E796" s="22" t="s">
        <v>399</v>
      </c>
      <c r="F796" s="34" t="s">
        <v>272</v>
      </c>
      <c r="G796" s="19" t="n">
        <v>78</v>
      </c>
      <c r="H796" s="19" t="n">
        <v>191</v>
      </c>
      <c r="I796" s="19" t="n">
        <v>10</v>
      </c>
      <c r="J796" s="19" t="n">
        <v>46.2</v>
      </c>
      <c r="K796" s="39" t="n">
        <v>483000</v>
      </c>
      <c r="L796" s="39" t="n">
        <f aca="false">ROUND(K796/J796,2)</f>
        <v>10454.55</v>
      </c>
      <c r="M796" s="34"/>
      <c r="N796" s="40"/>
      <c r="O796" s="30" t="n">
        <f aca="false">K796+N796</f>
        <v>483000</v>
      </c>
      <c r="P796" s="39" t="n">
        <f aca="false">ROUND(O796/J796,2)</f>
        <v>10454.55</v>
      </c>
      <c r="Q796" s="19" t="s">
        <v>1110</v>
      </c>
      <c r="R796" s="22" t="s">
        <v>36</v>
      </c>
      <c r="S796" s="19" t="s">
        <v>29</v>
      </c>
      <c r="T796" s="19" t="s">
        <v>30</v>
      </c>
      <c r="U796" s="31" t="s">
        <v>31</v>
      </c>
      <c r="V796" s="41" t="n">
        <v>43432</v>
      </c>
      <c r="W796" s="18"/>
      <c r="X796" s="18"/>
    </row>
    <row r="797" customFormat="false" ht="13.8" hidden="false" customHeight="false" outlineLevel="0" collapsed="false">
      <c r="A797" s="18"/>
      <c r="B797" s="19" t="n">
        <v>48125</v>
      </c>
      <c r="C797" s="20" t="n">
        <v>43342</v>
      </c>
      <c r="D797" s="38" t="s">
        <v>22</v>
      </c>
      <c r="E797" s="22" t="s">
        <v>75</v>
      </c>
      <c r="F797" s="34" t="s">
        <v>76</v>
      </c>
      <c r="G797" s="19" t="n">
        <v>105</v>
      </c>
      <c r="H797" s="19" t="n">
        <v>37</v>
      </c>
      <c r="I797" s="19" t="n">
        <v>7</v>
      </c>
      <c r="J797" s="19" t="n">
        <v>77.38</v>
      </c>
      <c r="K797" s="39" t="n">
        <v>647000</v>
      </c>
      <c r="L797" s="39" t="n">
        <f aca="false">ROUND(K797/J797,2)</f>
        <v>8361.33</v>
      </c>
      <c r="M797" s="34" t="s">
        <v>987</v>
      </c>
      <c r="N797" s="40"/>
      <c r="O797" s="30" t="n">
        <f aca="false">K797+N797</f>
        <v>647000</v>
      </c>
      <c r="P797" s="39" t="n">
        <f aca="false">ROUND(O797/J797,2)</f>
        <v>8361.33</v>
      </c>
      <c r="Q797" s="19" t="s">
        <v>1111</v>
      </c>
      <c r="R797" s="22" t="s">
        <v>49</v>
      </c>
      <c r="S797" s="19" t="s">
        <v>29</v>
      </c>
      <c r="T797" s="19" t="s">
        <v>30</v>
      </c>
      <c r="U797" s="31" t="s">
        <v>31</v>
      </c>
      <c r="V797" s="41" t="n">
        <v>43432</v>
      </c>
      <c r="W797" s="18"/>
      <c r="X797" s="18"/>
      <c r="AMJ797" s="32"/>
    </row>
    <row r="798" s="32" customFormat="true" ht="13.8" hidden="false" customHeight="false" outlineLevel="0" collapsed="false">
      <c r="A798" s="18"/>
      <c r="B798" s="19" t="n">
        <v>3105</v>
      </c>
      <c r="C798" s="20" t="n">
        <v>43342</v>
      </c>
      <c r="D798" s="38" t="s">
        <v>22</v>
      </c>
      <c r="E798" s="22" t="s">
        <v>80</v>
      </c>
      <c r="F798" s="34" t="s">
        <v>81</v>
      </c>
      <c r="G798" s="19" t="n">
        <v>7</v>
      </c>
      <c r="H798" s="19" t="n">
        <v>95</v>
      </c>
      <c r="I798" s="19" t="s">
        <v>1112</v>
      </c>
      <c r="J798" s="19" t="n">
        <v>171.7</v>
      </c>
      <c r="K798" s="39" t="n">
        <v>2700000</v>
      </c>
      <c r="L798" s="39" t="n">
        <f aca="false">ROUND(K798/J798,2)</f>
        <v>15725.1</v>
      </c>
      <c r="M798" s="34" t="s">
        <v>1113</v>
      </c>
      <c r="N798" s="40" t="n">
        <v>300000</v>
      </c>
      <c r="O798" s="30" t="n">
        <f aca="false">K798+N798</f>
        <v>3000000</v>
      </c>
      <c r="P798" s="39" t="n">
        <f aca="false">ROUND(O798/J798,2)</f>
        <v>17472.34</v>
      </c>
      <c r="Q798" s="19" t="s">
        <v>1114</v>
      </c>
      <c r="R798" s="22" t="s">
        <v>25</v>
      </c>
      <c r="S798" s="19" t="s">
        <v>29</v>
      </c>
      <c r="T798" s="19" t="s">
        <v>30</v>
      </c>
      <c r="U798" s="31" t="s">
        <v>31</v>
      </c>
      <c r="V798" s="41" t="n">
        <v>43432</v>
      </c>
      <c r="W798" s="34"/>
      <c r="X798" s="34"/>
    </row>
    <row r="799" s="32" customFormat="true" ht="13.8" hidden="false" customHeight="false" outlineLevel="0" collapsed="false">
      <c r="A799" s="18"/>
      <c r="B799" s="19" t="n">
        <v>41557</v>
      </c>
      <c r="C799" s="20" t="n">
        <v>43342</v>
      </c>
      <c r="D799" s="38" t="s">
        <v>22</v>
      </c>
      <c r="E799" s="22" t="s">
        <v>322</v>
      </c>
      <c r="F799" s="34" t="s">
        <v>323</v>
      </c>
      <c r="G799" s="19" t="s">
        <v>674</v>
      </c>
      <c r="H799" s="19" t="n">
        <v>118</v>
      </c>
      <c r="I799" s="19" t="n">
        <v>4</v>
      </c>
      <c r="J799" s="19" t="n">
        <v>30.85</v>
      </c>
      <c r="K799" s="39" t="n">
        <v>345000</v>
      </c>
      <c r="L799" s="39" t="n">
        <f aca="false">ROUND(K799/J799,2)</f>
        <v>11183.14</v>
      </c>
      <c r="M799" s="18"/>
      <c r="N799" s="40"/>
      <c r="O799" s="30" t="n">
        <f aca="false">K799+N799</f>
        <v>345000</v>
      </c>
      <c r="P799" s="39" t="n">
        <f aca="false">ROUND(O799/J799,2)</f>
        <v>11183.14</v>
      </c>
      <c r="Q799" s="19" t="s">
        <v>1115</v>
      </c>
      <c r="R799" s="22" t="n">
        <v>2</v>
      </c>
      <c r="S799" s="19" t="s">
        <v>29</v>
      </c>
      <c r="T799" s="19" t="s">
        <v>30</v>
      </c>
      <c r="U799" s="31" t="s">
        <v>31</v>
      </c>
      <c r="V799" s="41" t="n">
        <v>43432</v>
      </c>
      <c r="W799" s="34"/>
      <c r="X799" s="34"/>
    </row>
    <row r="800" customFormat="false" ht="13.8" hidden="false" customHeight="false" outlineLevel="0" collapsed="false">
      <c r="A800" s="18"/>
      <c r="B800" s="19" t="n">
        <v>2617</v>
      </c>
      <c r="C800" s="20" t="n">
        <v>43342</v>
      </c>
      <c r="D800" s="38" t="s">
        <v>22</v>
      </c>
      <c r="E800" s="22" t="s">
        <v>235</v>
      </c>
      <c r="F800" s="34" t="s">
        <v>236</v>
      </c>
      <c r="G800" s="19" t="n">
        <v>19</v>
      </c>
      <c r="H800" s="19" t="n">
        <v>3</v>
      </c>
      <c r="I800" s="19" t="n">
        <v>3</v>
      </c>
      <c r="J800" s="19" t="n">
        <v>62.42</v>
      </c>
      <c r="K800" s="39" t="n">
        <v>580000</v>
      </c>
      <c r="L800" s="39" t="n">
        <f aca="false">ROUND(K800/J800,2)</f>
        <v>9291.89</v>
      </c>
      <c r="M800" s="34" t="s">
        <v>1116</v>
      </c>
      <c r="N800" s="40"/>
      <c r="O800" s="30" t="n">
        <f aca="false">K800+N800</f>
        <v>580000</v>
      </c>
      <c r="P800" s="39" t="n">
        <f aca="false">ROUND(O800/J800,2)</f>
        <v>9291.89</v>
      </c>
      <c r="Q800" s="19" t="s">
        <v>1117</v>
      </c>
      <c r="R800" s="22" t="s">
        <v>49</v>
      </c>
      <c r="S800" s="19" t="s">
        <v>29</v>
      </c>
      <c r="T800" s="19" t="s">
        <v>30</v>
      </c>
      <c r="U800" s="31" t="s">
        <v>31</v>
      </c>
      <c r="V800" s="41" t="n">
        <v>43432</v>
      </c>
      <c r="W800" s="34"/>
      <c r="X800" s="34"/>
    </row>
    <row r="801" customFormat="false" ht="13.8" hidden="false" customHeight="false" outlineLevel="0" collapsed="false">
      <c r="A801" s="18"/>
      <c r="B801" s="19" t="n">
        <v>3673</v>
      </c>
      <c r="C801" s="20" t="n">
        <v>43342</v>
      </c>
      <c r="D801" s="38" t="s">
        <v>22</v>
      </c>
      <c r="E801" s="22" t="s">
        <v>284</v>
      </c>
      <c r="F801" s="34" t="s">
        <v>532</v>
      </c>
      <c r="G801" s="19" t="n">
        <v>8</v>
      </c>
      <c r="H801" s="19" t="n">
        <v>22</v>
      </c>
      <c r="I801" s="19" t="n">
        <v>1</v>
      </c>
      <c r="J801" s="19" t="n">
        <v>65.49</v>
      </c>
      <c r="K801" s="39" t="n">
        <v>400000</v>
      </c>
      <c r="L801" s="39" t="n">
        <f aca="false">ROUND(K801/J801,2)</f>
        <v>6107.8</v>
      </c>
      <c r="M801" s="18"/>
      <c r="N801" s="40"/>
      <c r="O801" s="30" t="n">
        <f aca="false">K801+N801</f>
        <v>400000</v>
      </c>
      <c r="P801" s="39" t="n">
        <f aca="false">ROUND(O801/J801,2)</f>
        <v>6107.8</v>
      </c>
      <c r="Q801" s="19" t="s">
        <v>961</v>
      </c>
      <c r="R801" s="22" t="s">
        <v>26</v>
      </c>
      <c r="S801" s="19" t="s">
        <v>29</v>
      </c>
      <c r="T801" s="19" t="s">
        <v>30</v>
      </c>
      <c r="U801" s="31" t="s">
        <v>31</v>
      </c>
      <c r="V801" s="41" t="n">
        <v>43432</v>
      </c>
      <c r="W801" s="34"/>
      <c r="X801" s="34"/>
    </row>
    <row r="802" customFormat="false" ht="13.8" hidden="false" customHeight="false" outlineLevel="0" collapsed="false">
      <c r="A802" s="18"/>
      <c r="B802" s="19" t="n">
        <v>3355</v>
      </c>
      <c r="C802" s="20" t="n">
        <v>43342</v>
      </c>
      <c r="D802" s="38" t="s">
        <v>22</v>
      </c>
      <c r="E802" s="22" t="s">
        <v>37</v>
      </c>
      <c r="F802" s="34" t="s">
        <v>108</v>
      </c>
      <c r="G802" s="19" t="n">
        <v>40</v>
      </c>
      <c r="H802" s="19" t="n">
        <v>84</v>
      </c>
      <c r="I802" s="19" t="n">
        <v>4</v>
      </c>
      <c r="J802" s="19" t="n">
        <v>24.48</v>
      </c>
      <c r="K802" s="39" t="n">
        <v>250000</v>
      </c>
      <c r="L802" s="39" t="n">
        <f aca="false">ROUND(K802/J802,2)</f>
        <v>10212.42</v>
      </c>
      <c r="M802" s="18"/>
      <c r="N802" s="40"/>
      <c r="O802" s="30" t="n">
        <f aca="false">K802+N802</f>
        <v>250000</v>
      </c>
      <c r="P802" s="39" t="n">
        <f aca="false">ROUND(O802/J802,2)</f>
        <v>10212.42</v>
      </c>
      <c r="Q802" s="19" t="s">
        <v>1118</v>
      </c>
      <c r="R802" s="22" t="s">
        <v>36</v>
      </c>
      <c r="S802" s="19" t="s">
        <v>29</v>
      </c>
      <c r="T802" s="19" t="s">
        <v>30</v>
      </c>
      <c r="U802" s="31" t="s">
        <v>31</v>
      </c>
      <c r="V802" s="41" t="n">
        <v>43432</v>
      </c>
      <c r="W802" s="18"/>
      <c r="X802" s="18"/>
    </row>
    <row r="803" customFormat="false" ht="13.8" hidden="false" customHeight="false" outlineLevel="0" collapsed="false">
      <c r="A803" s="18"/>
      <c r="B803" s="19" t="n">
        <v>6472</v>
      </c>
      <c r="C803" s="20" t="n">
        <v>43342</v>
      </c>
      <c r="D803" s="38" t="s">
        <v>22</v>
      </c>
      <c r="E803" s="22" t="s">
        <v>308</v>
      </c>
      <c r="F803" s="34" t="s">
        <v>46</v>
      </c>
      <c r="G803" s="19" t="s">
        <v>274</v>
      </c>
      <c r="H803" s="19" t="n">
        <v>41</v>
      </c>
      <c r="I803" s="19" t="n">
        <v>3</v>
      </c>
      <c r="J803" s="19" t="n">
        <v>40.8</v>
      </c>
      <c r="K803" s="39" t="n">
        <v>340000</v>
      </c>
      <c r="L803" s="39" t="n">
        <f aca="false">ROUND(K803/J803,2)</f>
        <v>8333.33</v>
      </c>
      <c r="M803" s="18"/>
      <c r="N803" s="40"/>
      <c r="O803" s="30" t="n">
        <f aca="false">K803+N803</f>
        <v>340000</v>
      </c>
      <c r="P803" s="39" t="n">
        <f aca="false">ROUND(O803/J803,2)</f>
        <v>8333.33</v>
      </c>
      <c r="Q803" s="19" t="s">
        <v>1119</v>
      </c>
      <c r="R803" s="22" t="s">
        <v>26</v>
      </c>
      <c r="S803" s="19" t="s">
        <v>29</v>
      </c>
      <c r="T803" s="19" t="s">
        <v>30</v>
      </c>
      <c r="U803" s="31" t="s">
        <v>31</v>
      </c>
      <c r="V803" s="41" t="n">
        <v>43432</v>
      </c>
      <c r="W803" s="18"/>
      <c r="X803" s="18"/>
    </row>
    <row r="804" customFormat="false" ht="13.8" hidden="false" customHeight="false" outlineLevel="0" collapsed="false">
      <c r="A804" s="18"/>
      <c r="B804" s="19" t="n">
        <v>48177</v>
      </c>
      <c r="C804" s="20" t="n">
        <v>43342</v>
      </c>
      <c r="D804" s="38" t="s">
        <v>22</v>
      </c>
      <c r="E804" s="22" t="s">
        <v>399</v>
      </c>
      <c r="F804" s="34" t="s">
        <v>549</v>
      </c>
      <c r="G804" s="19" t="n">
        <v>5</v>
      </c>
      <c r="H804" s="19" t="n">
        <v>11</v>
      </c>
      <c r="I804" s="19" t="n">
        <v>6</v>
      </c>
      <c r="J804" s="19" t="n">
        <v>112.76</v>
      </c>
      <c r="K804" s="39" t="n">
        <v>1100000</v>
      </c>
      <c r="L804" s="39" t="n">
        <f aca="false">ROUND(K804/J804,2)</f>
        <v>9755.23</v>
      </c>
      <c r="M804" s="34" t="s">
        <v>1120</v>
      </c>
      <c r="N804" s="40"/>
      <c r="O804" s="30" t="n">
        <f aca="false">K804+N804</f>
        <v>1100000</v>
      </c>
      <c r="P804" s="39" t="n">
        <f aca="false">ROUND(O804/J804,2)</f>
        <v>9755.23</v>
      </c>
      <c r="Q804" s="19" t="s">
        <v>1121</v>
      </c>
      <c r="R804" s="22" t="s">
        <v>57</v>
      </c>
      <c r="S804" s="19" t="s">
        <v>29</v>
      </c>
      <c r="T804" s="19" t="s">
        <v>30</v>
      </c>
      <c r="U804" s="31" t="s">
        <v>31</v>
      </c>
      <c r="V804" s="41" t="n">
        <v>43432</v>
      </c>
      <c r="W804" s="18"/>
      <c r="X804" s="18"/>
    </row>
    <row r="805" customFormat="false" ht="13.8" hidden="false" customHeight="false" outlineLevel="0" collapsed="false">
      <c r="A805" s="18"/>
      <c r="B805" s="19" t="n">
        <v>5766</v>
      </c>
      <c r="C805" s="20" t="n">
        <v>43342</v>
      </c>
      <c r="D805" s="38" t="s">
        <v>22</v>
      </c>
      <c r="E805" s="22" t="s">
        <v>572</v>
      </c>
      <c r="F805" s="34" t="s">
        <v>573</v>
      </c>
      <c r="G805" s="19" t="n">
        <v>2</v>
      </c>
      <c r="H805" s="19" t="n">
        <v>205</v>
      </c>
      <c r="I805" s="19" t="n">
        <v>2</v>
      </c>
      <c r="J805" s="19" t="n">
        <v>45.8</v>
      </c>
      <c r="K805" s="39" t="n">
        <v>440000</v>
      </c>
      <c r="L805" s="39" t="n">
        <f aca="false">ROUND(K805/J805,2)</f>
        <v>9606.99</v>
      </c>
      <c r="M805" s="34" t="s">
        <v>1122</v>
      </c>
      <c r="N805" s="40"/>
      <c r="O805" s="30" t="n">
        <f aca="false">K805+N805</f>
        <v>440000</v>
      </c>
      <c r="P805" s="39" t="n">
        <f aca="false">ROUND(O805/J805,2)</f>
        <v>9606.99</v>
      </c>
      <c r="Q805" s="19" t="s">
        <v>1123</v>
      </c>
      <c r="R805" s="22" t="s">
        <v>26</v>
      </c>
      <c r="S805" s="19" t="s">
        <v>29</v>
      </c>
      <c r="T805" s="19" t="s">
        <v>30</v>
      </c>
      <c r="U805" s="31" t="s">
        <v>31</v>
      </c>
      <c r="V805" s="41" t="n">
        <v>43432</v>
      </c>
      <c r="W805" s="34"/>
      <c r="X805" s="34"/>
    </row>
    <row r="806" customFormat="false" ht="13.8" hidden="false" customHeight="false" outlineLevel="0" collapsed="false">
      <c r="A806" s="18"/>
      <c r="B806" s="19" t="n">
        <v>2425</v>
      </c>
      <c r="C806" s="20" t="n">
        <v>43343</v>
      </c>
      <c r="D806" s="38" t="s">
        <v>22</v>
      </c>
      <c r="E806" s="22" t="s">
        <v>212</v>
      </c>
      <c r="F806" s="34" t="s">
        <v>955</v>
      </c>
      <c r="G806" s="19" t="n">
        <v>13</v>
      </c>
      <c r="H806" s="19" t="n">
        <v>40</v>
      </c>
      <c r="I806" s="19" t="n">
        <v>7</v>
      </c>
      <c r="J806" s="19" t="n">
        <v>58.5</v>
      </c>
      <c r="K806" s="39" t="n">
        <v>520000</v>
      </c>
      <c r="L806" s="39" t="n">
        <f aca="false">ROUND(K806/J806,2)</f>
        <v>8888.89</v>
      </c>
      <c r="M806" s="34"/>
      <c r="N806" s="40"/>
      <c r="O806" s="30" t="n">
        <f aca="false">K806+N806</f>
        <v>520000</v>
      </c>
      <c r="P806" s="39" t="n">
        <f aca="false">ROUND(O806/J806,2)</f>
        <v>8888.89</v>
      </c>
      <c r="Q806" s="19" t="s">
        <v>1124</v>
      </c>
      <c r="R806" s="22" t="s">
        <v>49</v>
      </c>
      <c r="S806" s="19" t="s">
        <v>29</v>
      </c>
      <c r="T806" s="19" t="s">
        <v>30</v>
      </c>
      <c r="U806" s="31" t="s">
        <v>31</v>
      </c>
      <c r="V806" s="41" t="n">
        <v>43432</v>
      </c>
      <c r="W806" s="18"/>
      <c r="X806" s="18"/>
      <c r="AMJ806" s="32"/>
    </row>
    <row r="807" s="32" customFormat="true" ht="13.8" hidden="false" customHeight="false" outlineLevel="0" collapsed="false">
      <c r="A807" s="18"/>
      <c r="B807" s="19" t="n">
        <v>2756</v>
      </c>
      <c r="C807" s="20" t="n">
        <v>43343</v>
      </c>
      <c r="D807" s="38" t="s">
        <v>22</v>
      </c>
      <c r="E807" s="22" t="s">
        <v>118</v>
      </c>
      <c r="F807" s="34" t="s">
        <v>1125</v>
      </c>
      <c r="G807" s="19" t="n">
        <v>4</v>
      </c>
      <c r="H807" s="19" t="n">
        <v>45</v>
      </c>
      <c r="I807" s="19" t="n">
        <v>4</v>
      </c>
      <c r="J807" s="19" t="n">
        <v>86.68</v>
      </c>
      <c r="K807" s="39" t="n">
        <v>740000</v>
      </c>
      <c r="L807" s="39" t="n">
        <f aca="false">ROUND(K807/J807,2)</f>
        <v>8537.15</v>
      </c>
      <c r="M807" s="34" t="s">
        <v>1126</v>
      </c>
      <c r="N807" s="40" t="n">
        <v>30000</v>
      </c>
      <c r="O807" s="30" t="n">
        <f aca="false">K807+N807</f>
        <v>770000</v>
      </c>
      <c r="P807" s="39" t="n">
        <f aca="false">ROUND(O807/J807,2)</f>
        <v>8883.25</v>
      </c>
      <c r="Q807" s="19" t="s">
        <v>1127</v>
      </c>
      <c r="R807" s="22" t="n">
        <v>1</v>
      </c>
      <c r="S807" s="19" t="s">
        <v>29</v>
      </c>
      <c r="T807" s="19" t="s">
        <v>30</v>
      </c>
      <c r="U807" s="31" t="s">
        <v>31</v>
      </c>
      <c r="V807" s="41" t="n">
        <v>43432</v>
      </c>
      <c r="W807" s="18"/>
      <c r="X807" s="18"/>
    </row>
    <row r="808" customFormat="false" ht="13.8" hidden="false" customHeight="false" outlineLevel="0" collapsed="false">
      <c r="A808" s="18"/>
      <c r="B808" s="19" t="n">
        <v>2672</v>
      </c>
      <c r="C808" s="20" t="n">
        <v>43343</v>
      </c>
      <c r="D808" s="38" t="s">
        <v>22</v>
      </c>
      <c r="E808" s="22" t="s">
        <v>198</v>
      </c>
      <c r="F808" s="34" t="s">
        <v>199</v>
      </c>
      <c r="G808" s="19" t="n">
        <v>10</v>
      </c>
      <c r="H808" s="19" t="s">
        <v>384</v>
      </c>
      <c r="I808" s="19" t="n">
        <v>1</v>
      </c>
      <c r="J808" s="19" t="n">
        <v>54.43</v>
      </c>
      <c r="K808" s="39" t="n">
        <v>513000</v>
      </c>
      <c r="L808" s="39" t="n">
        <f aca="false">ROUND(K808/J808,2)</f>
        <v>9424.95</v>
      </c>
      <c r="M808" s="34"/>
      <c r="N808" s="40"/>
      <c r="O808" s="30" t="n">
        <f aca="false">K808+N808</f>
        <v>513000</v>
      </c>
      <c r="P808" s="39" t="n">
        <f aca="false">ROUND(O808/J808,2)</f>
        <v>9424.95</v>
      </c>
      <c r="Q808" s="19" t="s">
        <v>947</v>
      </c>
      <c r="R808" s="22" t="s">
        <v>49</v>
      </c>
      <c r="S808" s="19" t="s">
        <v>29</v>
      </c>
      <c r="T808" s="19" t="s">
        <v>30</v>
      </c>
      <c r="U808" s="31" t="s">
        <v>31</v>
      </c>
      <c r="V808" s="41" t="n">
        <v>43432</v>
      </c>
      <c r="W808" s="18"/>
      <c r="X808" s="18"/>
    </row>
    <row r="809" customFormat="false" ht="13.8" hidden="false" customHeight="false" outlineLevel="0" collapsed="false">
      <c r="A809" s="18"/>
      <c r="B809" s="19" t="n">
        <v>3671</v>
      </c>
      <c r="C809" s="20" t="n">
        <v>43343</v>
      </c>
      <c r="D809" s="38" t="s">
        <v>22</v>
      </c>
      <c r="E809" s="22" t="s">
        <v>319</v>
      </c>
      <c r="F809" s="34" t="s">
        <v>320</v>
      </c>
      <c r="G809" s="19" t="n">
        <v>3</v>
      </c>
      <c r="H809" s="19" t="n">
        <v>138</v>
      </c>
      <c r="I809" s="19" t="n">
        <v>7</v>
      </c>
      <c r="J809" s="19" t="n">
        <v>89.43</v>
      </c>
      <c r="K809" s="39" t="n">
        <v>800000</v>
      </c>
      <c r="L809" s="39" t="n">
        <f aca="false">ROUND(K809/J809,2)</f>
        <v>8945.54</v>
      </c>
      <c r="M809" s="34" t="s">
        <v>987</v>
      </c>
      <c r="N809" s="40" t="n">
        <v>30000</v>
      </c>
      <c r="O809" s="30" t="n">
        <f aca="false">K809+N809</f>
        <v>830000</v>
      </c>
      <c r="P809" s="39" t="n">
        <f aca="false">ROUND(O809/J809,2)</f>
        <v>9281</v>
      </c>
      <c r="Q809" s="19" t="s">
        <v>1128</v>
      </c>
      <c r="R809" s="22" t="n">
        <v>3</v>
      </c>
      <c r="S809" s="19" t="s">
        <v>29</v>
      </c>
      <c r="T809" s="19" t="s">
        <v>30</v>
      </c>
      <c r="U809" s="31" t="s">
        <v>31</v>
      </c>
      <c r="V809" s="41" t="n">
        <v>43432</v>
      </c>
      <c r="W809" s="34"/>
      <c r="X809" s="34"/>
    </row>
    <row r="810" customFormat="false" ht="13.8" hidden="false" customHeight="false" outlineLevel="0" collapsed="false">
      <c r="A810" s="18"/>
      <c r="B810" s="19" t="n">
        <v>10494</v>
      </c>
      <c r="C810" s="20" t="n">
        <v>43343</v>
      </c>
      <c r="D810" s="38" t="s">
        <v>22</v>
      </c>
      <c r="E810" s="22" t="s">
        <v>278</v>
      </c>
      <c r="F810" s="34" t="s">
        <v>288</v>
      </c>
      <c r="G810" s="19" t="s">
        <v>430</v>
      </c>
      <c r="H810" s="19" t="n">
        <v>54</v>
      </c>
      <c r="I810" s="19" t="n">
        <v>7</v>
      </c>
      <c r="J810" s="19" t="n">
        <v>58.6</v>
      </c>
      <c r="K810" s="39" t="n">
        <v>546000</v>
      </c>
      <c r="L810" s="39" t="n">
        <f aca="false">ROUND(K810/J810,2)</f>
        <v>9317.41</v>
      </c>
      <c r="M810" s="34" t="s">
        <v>189</v>
      </c>
      <c r="N810" s="40"/>
      <c r="O810" s="30" t="n">
        <f aca="false">K810+N810</f>
        <v>546000</v>
      </c>
      <c r="P810" s="39" t="n">
        <f aca="false">ROUND(O810/J810,2)</f>
        <v>9317.41</v>
      </c>
      <c r="Q810" s="19" t="s">
        <v>1129</v>
      </c>
      <c r="R810" s="22" t="s">
        <v>49</v>
      </c>
      <c r="S810" s="19" t="s">
        <v>29</v>
      </c>
      <c r="T810" s="19" t="s">
        <v>30</v>
      </c>
      <c r="U810" s="31" t="s">
        <v>31</v>
      </c>
      <c r="V810" s="41" t="n">
        <v>43432</v>
      </c>
      <c r="W810" s="34"/>
      <c r="X810" s="34"/>
    </row>
    <row r="811" customFormat="false" ht="13.8" hidden="false" customHeight="false" outlineLevel="0" collapsed="false">
      <c r="A811" s="18"/>
      <c r="B811" s="19" t="n">
        <v>4607</v>
      </c>
      <c r="C811" s="20" t="n">
        <v>43343</v>
      </c>
      <c r="D811" s="38" t="s">
        <v>22</v>
      </c>
      <c r="E811" s="22" t="s">
        <v>278</v>
      </c>
      <c r="F811" s="34" t="s">
        <v>288</v>
      </c>
      <c r="G811" s="19" t="n">
        <v>11</v>
      </c>
      <c r="H811" s="19" t="n">
        <v>90</v>
      </c>
      <c r="I811" s="19" t="n">
        <v>5</v>
      </c>
      <c r="J811" s="19" t="n">
        <v>56</v>
      </c>
      <c r="K811" s="39" t="n">
        <v>520000</v>
      </c>
      <c r="L811" s="39" t="n">
        <f aca="false">ROUND(K811/J811,2)</f>
        <v>9285.71</v>
      </c>
      <c r="M811" s="34" t="s">
        <v>987</v>
      </c>
      <c r="N811" s="40" t="n">
        <v>20000</v>
      </c>
      <c r="O811" s="30" t="n">
        <f aca="false">K811+N811</f>
        <v>540000</v>
      </c>
      <c r="P811" s="39" t="n">
        <f aca="false">ROUND(O811/J811,2)</f>
        <v>9642.86</v>
      </c>
      <c r="Q811" s="19" t="s">
        <v>1130</v>
      </c>
      <c r="R811" s="22" t="s">
        <v>36</v>
      </c>
      <c r="S811" s="19" t="s">
        <v>29</v>
      </c>
      <c r="T811" s="19" t="s">
        <v>30</v>
      </c>
      <c r="U811" s="31" t="s">
        <v>31</v>
      </c>
      <c r="V811" s="41" t="n">
        <v>43432</v>
      </c>
      <c r="W811" s="34"/>
      <c r="X811" s="34"/>
    </row>
    <row r="812" customFormat="false" ht="13.8" hidden="false" customHeight="false" outlineLevel="0" collapsed="false">
      <c r="A812" s="18"/>
      <c r="B812" s="19" t="n">
        <v>3991</v>
      </c>
      <c r="C812" s="20" t="n">
        <v>43343</v>
      </c>
      <c r="D812" s="38" t="s">
        <v>22</v>
      </c>
      <c r="E812" s="22" t="s">
        <v>665</v>
      </c>
      <c r="F812" s="34" t="s">
        <v>1131</v>
      </c>
      <c r="G812" s="19" t="n">
        <v>2</v>
      </c>
      <c r="H812" s="19" t="n">
        <v>78</v>
      </c>
      <c r="I812" s="19" t="n">
        <v>6</v>
      </c>
      <c r="J812" s="19" t="n">
        <v>36.9</v>
      </c>
      <c r="K812" s="39" t="n">
        <v>230000</v>
      </c>
      <c r="L812" s="39" t="n">
        <f aca="false">ROUND(K812/J812,2)</f>
        <v>6233.06</v>
      </c>
      <c r="M812" s="34" t="s">
        <v>1132</v>
      </c>
      <c r="N812" s="40"/>
      <c r="O812" s="30" t="n">
        <f aca="false">K812+N812</f>
        <v>230000</v>
      </c>
      <c r="P812" s="39" t="n">
        <f aca="false">ROUND(O812/J812,2)</f>
        <v>6233.06</v>
      </c>
      <c r="Q812" s="19" t="s">
        <v>1133</v>
      </c>
      <c r="R812" s="22" t="n">
        <v>2</v>
      </c>
      <c r="S812" s="19" t="s">
        <v>29</v>
      </c>
      <c r="T812" s="19" t="s">
        <v>30</v>
      </c>
      <c r="U812" s="31" t="s">
        <v>31</v>
      </c>
      <c r="V812" s="41" t="n">
        <v>43432</v>
      </c>
      <c r="W812" s="34"/>
      <c r="X812" s="34"/>
    </row>
    <row r="813" customFormat="false" ht="13.8" hidden="false" customHeight="false" outlineLevel="0" collapsed="false">
      <c r="A813" s="18"/>
      <c r="B813" s="19" t="n">
        <v>2082</v>
      </c>
      <c r="C813" s="20" t="n">
        <v>43343</v>
      </c>
      <c r="D813" s="38" t="s">
        <v>22</v>
      </c>
      <c r="E813" s="22" t="s">
        <v>278</v>
      </c>
      <c r="F813" s="34" t="s">
        <v>279</v>
      </c>
      <c r="G813" s="19" t="n">
        <v>17</v>
      </c>
      <c r="H813" s="19" t="n">
        <v>4</v>
      </c>
      <c r="I813" s="19" t="n">
        <v>1</v>
      </c>
      <c r="J813" s="19" t="n">
        <v>46.17</v>
      </c>
      <c r="K813" s="39" t="n">
        <v>370000</v>
      </c>
      <c r="L813" s="39" t="n">
        <f aca="false">ROUND(K813/J813,2)</f>
        <v>8013.86</v>
      </c>
      <c r="M813" s="18"/>
      <c r="N813" s="40"/>
      <c r="O813" s="30" t="n">
        <f aca="false">K813+N813</f>
        <v>370000</v>
      </c>
      <c r="P813" s="39" t="n">
        <f aca="false">ROUND(O813/J813,2)</f>
        <v>8013.86</v>
      </c>
      <c r="Q813" s="19" t="s">
        <v>948</v>
      </c>
      <c r="R813" s="22" t="s">
        <v>49</v>
      </c>
      <c r="S813" s="19" t="s">
        <v>29</v>
      </c>
      <c r="T813" s="19" t="s">
        <v>30</v>
      </c>
      <c r="U813" s="31" t="s">
        <v>31</v>
      </c>
      <c r="V813" s="41" t="n">
        <v>43432</v>
      </c>
      <c r="W813" s="34"/>
      <c r="X813" s="34"/>
      <c r="Z813" s="33"/>
      <c r="AB813" s="37"/>
    </row>
    <row r="814" customFormat="false" ht="13.8" hidden="false" customHeight="false" outlineLevel="0" collapsed="false">
      <c r="A814" s="18"/>
      <c r="B814" s="19" t="n">
        <v>10507</v>
      </c>
      <c r="C814" s="20" t="n">
        <v>43343</v>
      </c>
      <c r="D814" s="38" t="s">
        <v>22</v>
      </c>
      <c r="E814" s="22" t="s">
        <v>543</v>
      </c>
      <c r="F814" s="34" t="s">
        <v>172</v>
      </c>
      <c r="G814" s="19" t="n">
        <v>20</v>
      </c>
      <c r="H814" s="19" t="n">
        <v>69</v>
      </c>
      <c r="I814" s="19" t="n">
        <v>2</v>
      </c>
      <c r="J814" s="19" t="n">
        <v>41</v>
      </c>
      <c r="K814" s="39" t="n">
        <v>377500</v>
      </c>
      <c r="L814" s="39" t="n">
        <f aca="false">ROUND(K814/J814,2)</f>
        <v>9207.32</v>
      </c>
      <c r="M814" s="34" t="s">
        <v>1134</v>
      </c>
      <c r="N814" s="40"/>
      <c r="O814" s="30" t="n">
        <f aca="false">K814+N814</f>
        <v>377500</v>
      </c>
      <c r="P814" s="39" t="n">
        <f aca="false">ROUND(O814/J814,2)</f>
        <v>9207.32</v>
      </c>
      <c r="Q814" s="19" t="s">
        <v>952</v>
      </c>
      <c r="R814" s="22" t="s">
        <v>26</v>
      </c>
      <c r="S814" s="19" t="s">
        <v>29</v>
      </c>
      <c r="T814" s="19" t="s">
        <v>30</v>
      </c>
      <c r="U814" s="31" t="s">
        <v>31</v>
      </c>
      <c r="V814" s="41" t="n">
        <v>43432</v>
      </c>
      <c r="W814" s="18"/>
      <c r="X814" s="18"/>
    </row>
    <row r="815" customFormat="false" ht="13.8" hidden="false" customHeight="false" outlineLevel="0" collapsed="false">
      <c r="A815" s="18"/>
      <c r="B815" s="19" t="n">
        <v>4993</v>
      </c>
      <c r="C815" s="20" t="n">
        <v>43343</v>
      </c>
      <c r="D815" s="38" t="s">
        <v>22</v>
      </c>
      <c r="E815" s="22" t="s">
        <v>517</v>
      </c>
      <c r="F815" s="34" t="s">
        <v>592</v>
      </c>
      <c r="G815" s="19" t="n">
        <v>14</v>
      </c>
      <c r="H815" s="19" t="n">
        <v>10</v>
      </c>
      <c r="I815" s="19" t="n">
        <v>1</v>
      </c>
      <c r="J815" s="19" t="n">
        <v>37.3</v>
      </c>
      <c r="K815" s="39" t="n">
        <v>373500</v>
      </c>
      <c r="L815" s="39" t="n">
        <f aca="false">ROUND(K815/J815,2)</f>
        <v>10013.4</v>
      </c>
      <c r="M815" s="34" t="s">
        <v>189</v>
      </c>
      <c r="N815" s="40"/>
      <c r="O815" s="30" t="n">
        <f aca="false">K815+N815</f>
        <v>373500</v>
      </c>
      <c r="P815" s="39" t="n">
        <f aca="false">ROUND(O815/J815,2)</f>
        <v>10013.4</v>
      </c>
      <c r="Q815" s="19" t="s">
        <v>1026</v>
      </c>
      <c r="R815" s="22" t="s">
        <v>26</v>
      </c>
      <c r="S815" s="19" t="s">
        <v>29</v>
      </c>
      <c r="T815" s="19" t="s">
        <v>30</v>
      </c>
      <c r="U815" s="31" t="s">
        <v>31</v>
      </c>
      <c r="V815" s="41" t="n">
        <v>43432</v>
      </c>
      <c r="W815" s="18"/>
      <c r="X815" s="18"/>
    </row>
    <row r="816" customFormat="false" ht="13.8" hidden="false" customHeight="false" outlineLevel="0" collapsed="false">
      <c r="A816" s="18"/>
      <c r="B816" s="19" t="n">
        <v>5943</v>
      </c>
      <c r="C816" s="20" t="n">
        <v>43343</v>
      </c>
      <c r="D816" s="38" t="s">
        <v>22</v>
      </c>
      <c r="E816" s="22" t="s">
        <v>65</v>
      </c>
      <c r="F816" s="34" t="s">
        <v>66</v>
      </c>
      <c r="G816" s="19" t="n">
        <v>70</v>
      </c>
      <c r="H816" s="19" t="n">
        <v>57</v>
      </c>
      <c r="I816" s="19" t="n">
        <v>4</v>
      </c>
      <c r="J816" s="19" t="n">
        <v>53.5</v>
      </c>
      <c r="K816" s="39" t="n">
        <v>480000</v>
      </c>
      <c r="L816" s="39" t="n">
        <f aca="false">ROUND(K816/J816,2)</f>
        <v>8971.96</v>
      </c>
      <c r="M816" s="34"/>
      <c r="N816" s="40"/>
      <c r="O816" s="30" t="n">
        <f aca="false">K816+N816</f>
        <v>480000</v>
      </c>
      <c r="P816" s="39" t="n">
        <f aca="false">ROUND(O816/J816,2)</f>
        <v>8971.96</v>
      </c>
      <c r="Q816" s="19" t="s">
        <v>1135</v>
      </c>
      <c r="R816" s="22" t="s">
        <v>36</v>
      </c>
      <c r="S816" s="19" t="s">
        <v>29</v>
      </c>
      <c r="T816" s="19" t="s">
        <v>30</v>
      </c>
      <c r="U816" s="31" t="s">
        <v>31</v>
      </c>
      <c r="V816" s="41" t="n">
        <v>43432</v>
      </c>
      <c r="W816" s="34"/>
      <c r="X816" s="34"/>
    </row>
    <row r="817" customFormat="false" ht="13.8" hidden="false" customHeight="false" outlineLevel="0" collapsed="false">
      <c r="A817" s="18"/>
      <c r="B817" s="19" t="n">
        <v>3614</v>
      </c>
      <c r="C817" s="20" t="n">
        <v>43344</v>
      </c>
      <c r="D817" s="38" t="s">
        <v>22</v>
      </c>
      <c r="E817" s="22" t="s">
        <v>459</v>
      </c>
      <c r="F817" s="34" t="s">
        <v>279</v>
      </c>
      <c r="G817" s="19" t="n">
        <v>4</v>
      </c>
      <c r="H817" s="19" t="n">
        <v>61</v>
      </c>
      <c r="I817" s="19" t="n">
        <v>4</v>
      </c>
      <c r="J817" s="19" t="n">
        <v>38.71</v>
      </c>
      <c r="K817" s="39" t="n">
        <v>370000</v>
      </c>
      <c r="L817" s="39" t="n">
        <f aca="false">ROUND(K817/J817,2)</f>
        <v>9558.25</v>
      </c>
      <c r="M817" s="34"/>
      <c r="N817" s="40"/>
      <c r="O817" s="30" t="n">
        <f aca="false">K817+N817</f>
        <v>370000</v>
      </c>
      <c r="P817" s="39" t="n">
        <f aca="false">ROUND(O817/J817,2)</f>
        <v>9558.25</v>
      </c>
      <c r="Q817" s="19" t="s">
        <v>1026</v>
      </c>
      <c r="R817" s="22" t="s">
        <v>26</v>
      </c>
      <c r="S817" s="19" t="s">
        <v>29</v>
      </c>
      <c r="T817" s="19" t="s">
        <v>30</v>
      </c>
      <c r="U817" s="31" t="s">
        <v>31</v>
      </c>
      <c r="V817" s="41" t="n">
        <v>43432</v>
      </c>
      <c r="W817" s="18"/>
      <c r="X817" s="18"/>
    </row>
    <row r="818" customFormat="false" ht="13.8" hidden="false" customHeight="false" outlineLevel="0" collapsed="false">
      <c r="A818" s="18"/>
      <c r="B818" s="19" t="n">
        <v>4255</v>
      </c>
      <c r="C818" s="20" t="n">
        <v>43344</v>
      </c>
      <c r="D818" s="38" t="s">
        <v>22</v>
      </c>
      <c r="E818" s="22" t="s">
        <v>175</v>
      </c>
      <c r="F818" s="34" t="s">
        <v>485</v>
      </c>
      <c r="G818" s="19" t="n">
        <v>32</v>
      </c>
      <c r="H818" s="19" t="n">
        <v>15</v>
      </c>
      <c r="I818" s="19" t="n">
        <v>2</v>
      </c>
      <c r="J818" s="19" t="n">
        <v>86.92</v>
      </c>
      <c r="K818" s="39" t="n">
        <v>930000</v>
      </c>
      <c r="L818" s="39" t="n">
        <f aca="false">K818/J818</f>
        <v>10699.4937873907</v>
      </c>
      <c r="M818" s="34"/>
      <c r="N818" s="40"/>
      <c r="O818" s="30" t="n">
        <f aca="false">K818+N818</f>
        <v>930000</v>
      </c>
      <c r="P818" s="39" t="n">
        <f aca="false">O818/J818</f>
        <v>10699.4937873907</v>
      </c>
      <c r="Q818" s="19" t="s">
        <v>1136</v>
      </c>
      <c r="R818" s="22" t="s">
        <v>26</v>
      </c>
      <c r="S818" s="19" t="s">
        <v>29</v>
      </c>
      <c r="T818" s="19" t="s">
        <v>30</v>
      </c>
      <c r="U818" s="19" t="s">
        <v>31</v>
      </c>
      <c r="V818" s="41" t="n">
        <v>43514</v>
      </c>
      <c r="W818" s="34" t="s">
        <v>1137</v>
      </c>
      <c r="X818" s="18"/>
      <c r="AMJ818" s="32"/>
    </row>
    <row r="819" s="32" customFormat="true" ht="13.8" hidden="false" customHeight="false" outlineLevel="0" collapsed="false">
      <c r="A819" s="18"/>
      <c r="B819" s="19" t="n">
        <v>6700</v>
      </c>
      <c r="C819" s="20" t="n">
        <v>43346</v>
      </c>
      <c r="D819" s="38" t="s">
        <v>22</v>
      </c>
      <c r="E819" s="22" t="s">
        <v>125</v>
      </c>
      <c r="F819" s="34" t="s">
        <v>955</v>
      </c>
      <c r="G819" s="19" t="n">
        <v>54</v>
      </c>
      <c r="H819" s="19" t="n">
        <v>36</v>
      </c>
      <c r="I819" s="19" t="n">
        <v>7</v>
      </c>
      <c r="J819" s="19" t="n">
        <v>68.03</v>
      </c>
      <c r="K819" s="39" t="n">
        <v>840000</v>
      </c>
      <c r="L819" s="39" t="n">
        <f aca="false">ROUND(K819/J819,2)</f>
        <v>12347.49</v>
      </c>
      <c r="M819" s="34" t="s">
        <v>987</v>
      </c>
      <c r="N819" s="40"/>
      <c r="O819" s="30" t="n">
        <f aca="false">K819+N819</f>
        <v>840000</v>
      </c>
      <c r="P819" s="39" t="n">
        <f aca="false">ROUND(O819/J819,2)</f>
        <v>12347.49</v>
      </c>
      <c r="Q819" s="19" t="s">
        <v>1138</v>
      </c>
      <c r="R819" s="22" t="s">
        <v>49</v>
      </c>
      <c r="S819" s="19" t="s">
        <v>29</v>
      </c>
      <c r="T819" s="19" t="s">
        <v>30</v>
      </c>
      <c r="U819" s="31" t="s">
        <v>31</v>
      </c>
      <c r="V819" s="41" t="n">
        <v>43432</v>
      </c>
      <c r="W819" s="18"/>
      <c r="X819" s="18"/>
    </row>
    <row r="820" customFormat="false" ht="13.8" hidden="false" customHeight="false" outlineLevel="0" collapsed="false">
      <c r="A820" s="18"/>
      <c r="B820" s="19" t="s">
        <v>887</v>
      </c>
      <c r="C820" s="20" t="n">
        <v>43346</v>
      </c>
      <c r="D820" s="38" t="s">
        <v>22</v>
      </c>
      <c r="E820" s="22" t="s">
        <v>477</v>
      </c>
      <c r="F820" s="45" t="s">
        <v>1139</v>
      </c>
      <c r="G820" s="19" t="n">
        <v>31</v>
      </c>
      <c r="H820" s="19"/>
      <c r="I820" s="19" t="n">
        <v>6</v>
      </c>
      <c r="J820" s="25" t="n">
        <v>79.6</v>
      </c>
      <c r="K820" s="39" t="n">
        <v>540000</v>
      </c>
      <c r="L820" s="39" t="n">
        <f aca="false">K820/J820</f>
        <v>6783.91959798995</v>
      </c>
      <c r="M820" s="34" t="s">
        <v>1140</v>
      </c>
      <c r="N820" s="40"/>
      <c r="O820" s="30" t="n">
        <f aca="false">K820+N820</f>
        <v>540000</v>
      </c>
      <c r="P820" s="39" t="n">
        <f aca="false">O820/J820</f>
        <v>6783.91959798995</v>
      </c>
      <c r="Q820" s="19" t="s">
        <v>889</v>
      </c>
      <c r="R820" s="19" t="n">
        <v>5</v>
      </c>
      <c r="S820" s="19" t="s">
        <v>1141</v>
      </c>
      <c r="T820" s="19"/>
      <c r="U820" s="19" t="s">
        <v>31</v>
      </c>
      <c r="V820" s="41" t="n">
        <v>43727</v>
      </c>
      <c r="W820" s="18"/>
      <c r="X820" s="18"/>
    </row>
    <row r="821" customFormat="false" ht="13.8" hidden="false" customHeight="false" outlineLevel="0" collapsed="false">
      <c r="A821" s="18"/>
      <c r="B821" s="19" t="n">
        <v>3644</v>
      </c>
      <c r="C821" s="20" t="n">
        <v>43347</v>
      </c>
      <c r="D821" s="38" t="s">
        <v>22</v>
      </c>
      <c r="E821" s="22" t="s">
        <v>65</v>
      </c>
      <c r="F821" s="34" t="s">
        <v>764</v>
      </c>
      <c r="G821" s="19" t="n">
        <v>3</v>
      </c>
      <c r="H821" s="19" t="n">
        <v>33</v>
      </c>
      <c r="I821" s="19" t="n">
        <v>2</v>
      </c>
      <c r="J821" s="19" t="n">
        <v>52.9</v>
      </c>
      <c r="K821" s="39" t="n">
        <v>423000</v>
      </c>
      <c r="L821" s="39" t="n">
        <f aca="false">ROUND(K821/J821,2)</f>
        <v>7996.22</v>
      </c>
      <c r="M821" s="34"/>
      <c r="N821" s="40"/>
      <c r="O821" s="30" t="n">
        <f aca="false">K821+N821</f>
        <v>423000</v>
      </c>
      <c r="P821" s="39" t="n">
        <f aca="false">ROUND(O821/J821,2)</f>
        <v>7996.22</v>
      </c>
      <c r="Q821" s="19" t="s">
        <v>1142</v>
      </c>
      <c r="R821" s="22" t="s">
        <v>49</v>
      </c>
      <c r="S821" s="19" t="s">
        <v>29</v>
      </c>
      <c r="T821" s="19" t="s">
        <v>30</v>
      </c>
      <c r="U821" s="31" t="s">
        <v>31</v>
      </c>
      <c r="V821" s="41" t="n">
        <v>43432</v>
      </c>
      <c r="W821" s="18"/>
      <c r="X821" s="18"/>
      <c r="Y821" s="35"/>
      <c r="Z821" s="43"/>
    </row>
    <row r="822" customFormat="false" ht="13.8" hidden="false" customHeight="false" outlineLevel="0" collapsed="false">
      <c r="A822" s="18"/>
      <c r="B822" s="19" t="n">
        <v>5214</v>
      </c>
      <c r="C822" s="20" t="n">
        <v>43347</v>
      </c>
      <c r="D822" s="38" t="s">
        <v>22</v>
      </c>
      <c r="E822" s="22" t="s">
        <v>343</v>
      </c>
      <c r="F822" s="34" t="s">
        <v>1143</v>
      </c>
      <c r="G822" s="19" t="n">
        <v>4</v>
      </c>
      <c r="H822" s="19" t="n">
        <v>30</v>
      </c>
      <c r="I822" s="19" t="n">
        <v>3</v>
      </c>
      <c r="J822" s="19" t="n">
        <v>71.15</v>
      </c>
      <c r="K822" s="39" t="n">
        <v>640000</v>
      </c>
      <c r="L822" s="39" t="n">
        <f aca="false">ROUND(K822/J822,2)</f>
        <v>8995.08</v>
      </c>
      <c r="M822" s="34" t="s">
        <v>1126</v>
      </c>
      <c r="N822" s="40"/>
      <c r="O822" s="30" t="n">
        <f aca="false">K822+N822</f>
        <v>640000</v>
      </c>
      <c r="P822" s="39" t="n">
        <f aca="false">ROUND(O822/J822,2)</f>
        <v>8995.08</v>
      </c>
      <c r="Q822" s="19" t="s">
        <v>1144</v>
      </c>
      <c r="R822" s="22" t="n">
        <v>4</v>
      </c>
      <c r="S822" s="19" t="s">
        <v>29</v>
      </c>
      <c r="T822" s="19" t="s">
        <v>30</v>
      </c>
      <c r="U822" s="31" t="s">
        <v>31</v>
      </c>
      <c r="V822" s="41" t="n">
        <v>43432</v>
      </c>
      <c r="W822" s="34"/>
      <c r="X822" s="34"/>
      <c r="Y822" s="35"/>
      <c r="Z822" s="36"/>
      <c r="AMJ822" s="32"/>
    </row>
    <row r="823" s="32" customFormat="true" ht="13.8" hidden="false" customHeight="false" outlineLevel="0" collapsed="false">
      <c r="A823" s="18"/>
      <c r="B823" s="19" t="n">
        <v>2410</v>
      </c>
      <c r="C823" s="20" t="n">
        <v>43347</v>
      </c>
      <c r="D823" s="38" t="s">
        <v>22</v>
      </c>
      <c r="E823" s="22" t="s">
        <v>175</v>
      </c>
      <c r="F823" s="34" t="s">
        <v>1145</v>
      </c>
      <c r="G823" s="19" t="n">
        <v>2</v>
      </c>
      <c r="H823" s="19" t="n">
        <v>17</v>
      </c>
      <c r="I823" s="19" t="n">
        <v>4</v>
      </c>
      <c r="J823" s="19" t="n">
        <v>18.8</v>
      </c>
      <c r="K823" s="39" t="n">
        <v>198000</v>
      </c>
      <c r="L823" s="39" t="n">
        <f aca="false">ROUND(K823/J823,2)</f>
        <v>10531.91</v>
      </c>
      <c r="M823" s="18"/>
      <c r="N823" s="40"/>
      <c r="O823" s="30" t="n">
        <f aca="false">K823+N823</f>
        <v>198000</v>
      </c>
      <c r="P823" s="39" t="n">
        <f aca="false">ROUND(O823/J823,2)</f>
        <v>10531.91</v>
      </c>
      <c r="Q823" s="19" t="s">
        <v>1146</v>
      </c>
      <c r="R823" s="22" t="s">
        <v>27</v>
      </c>
      <c r="S823" s="19" t="s">
        <v>29</v>
      </c>
      <c r="T823" s="19" t="s">
        <v>30</v>
      </c>
      <c r="U823" s="31" t="s">
        <v>31</v>
      </c>
      <c r="V823" s="41" t="n">
        <v>43432</v>
      </c>
      <c r="W823" s="34"/>
      <c r="X823" s="34"/>
    </row>
    <row r="824" customFormat="false" ht="13.8" hidden="false" customHeight="false" outlineLevel="0" collapsed="false">
      <c r="A824" s="18"/>
      <c r="B824" s="19" t="n">
        <v>28314</v>
      </c>
      <c r="C824" s="20" t="n">
        <v>43347</v>
      </c>
      <c r="D824" s="38" t="s">
        <v>22</v>
      </c>
      <c r="E824" s="22" t="s">
        <v>118</v>
      </c>
      <c r="F824" s="34" t="s">
        <v>347</v>
      </c>
      <c r="G824" s="19" t="n">
        <v>14</v>
      </c>
      <c r="H824" s="19" t="n">
        <v>14</v>
      </c>
      <c r="I824" s="19" t="n">
        <v>2</v>
      </c>
      <c r="J824" s="19" t="n">
        <v>37.2</v>
      </c>
      <c r="K824" s="39" t="n">
        <v>275000</v>
      </c>
      <c r="L824" s="39" t="n">
        <f aca="false">ROUND(K824/J824,2)</f>
        <v>7392.47</v>
      </c>
      <c r="M824" s="34" t="s">
        <v>1075</v>
      </c>
      <c r="N824" s="40"/>
      <c r="O824" s="30" t="n">
        <f aca="false">K824+N824</f>
        <v>275000</v>
      </c>
      <c r="P824" s="39" t="n">
        <f aca="false">ROUND(O824/J824,2)</f>
        <v>7392.47</v>
      </c>
      <c r="Q824" s="19" t="s">
        <v>958</v>
      </c>
      <c r="R824" s="22" t="s">
        <v>26</v>
      </c>
      <c r="S824" s="19" t="s">
        <v>29</v>
      </c>
      <c r="T824" s="19" t="s">
        <v>30</v>
      </c>
      <c r="U824" s="31" t="s">
        <v>31</v>
      </c>
      <c r="V824" s="41" t="n">
        <v>43432</v>
      </c>
      <c r="W824" s="34"/>
      <c r="X824" s="34"/>
      <c r="AMJ824" s="32"/>
    </row>
    <row r="825" s="32" customFormat="true" ht="13.8" hidden="false" customHeight="false" outlineLevel="0" collapsed="false">
      <c r="A825" s="18"/>
      <c r="B825" s="19" t="n">
        <v>3839</v>
      </c>
      <c r="C825" s="20" t="n">
        <v>43347</v>
      </c>
      <c r="D825" s="38" t="s">
        <v>22</v>
      </c>
      <c r="E825" s="22" t="s">
        <v>265</v>
      </c>
      <c r="F825" s="34" t="s">
        <v>152</v>
      </c>
      <c r="G825" s="19" t="n">
        <v>83</v>
      </c>
      <c r="H825" s="19" t="n">
        <v>10</v>
      </c>
      <c r="I825" s="19" t="n">
        <v>6</v>
      </c>
      <c r="J825" s="19" t="n">
        <v>330.92</v>
      </c>
      <c r="K825" s="39" t="n">
        <v>13917000</v>
      </c>
      <c r="L825" s="39" t="n">
        <f aca="false">ROUND(K825/J825,2)</f>
        <v>42055.48</v>
      </c>
      <c r="M825" s="34" t="s">
        <v>1147</v>
      </c>
      <c r="N825" s="40" t="n">
        <f aca="false">450000+420000</f>
        <v>870000</v>
      </c>
      <c r="O825" s="30" t="n">
        <f aca="false">K825+N825</f>
        <v>14787000</v>
      </c>
      <c r="P825" s="39" t="n">
        <f aca="false">ROUND(O825/J825,2)</f>
        <v>44684.52</v>
      </c>
      <c r="Q825" s="19" t="s">
        <v>1148</v>
      </c>
      <c r="R825" s="22" t="s">
        <v>112</v>
      </c>
      <c r="S825" s="19" t="s">
        <v>29</v>
      </c>
      <c r="T825" s="19" t="s">
        <v>30</v>
      </c>
      <c r="U825" s="31" t="s">
        <v>31</v>
      </c>
      <c r="V825" s="41" t="n">
        <v>43432</v>
      </c>
      <c r="W825" s="34"/>
      <c r="X825" s="34"/>
    </row>
    <row r="826" s="32" customFormat="true" ht="13.8" hidden="false" customHeight="false" outlineLevel="0" collapsed="false">
      <c r="A826" s="18"/>
      <c r="B826" s="19" t="n">
        <v>15547</v>
      </c>
      <c r="C826" s="20" t="n">
        <v>43347</v>
      </c>
      <c r="D826" s="38" t="s">
        <v>22</v>
      </c>
      <c r="E826" s="22" t="s">
        <v>350</v>
      </c>
      <c r="F826" s="34" t="s">
        <v>812</v>
      </c>
      <c r="G826" s="19" t="n">
        <v>10</v>
      </c>
      <c r="H826" s="19" t="n">
        <v>141</v>
      </c>
      <c r="I826" s="19" t="n">
        <v>2</v>
      </c>
      <c r="J826" s="19" t="n">
        <v>53.67</v>
      </c>
      <c r="K826" s="39" t="n">
        <v>673000</v>
      </c>
      <c r="L826" s="39" t="n">
        <f aca="false">ROUND(K826/J826,2)</f>
        <v>12539.59</v>
      </c>
      <c r="M826" s="34" t="s">
        <v>987</v>
      </c>
      <c r="N826" s="40"/>
      <c r="O826" s="30" t="n">
        <f aca="false">K826+N826</f>
        <v>673000</v>
      </c>
      <c r="P826" s="39" t="n">
        <f aca="false">ROUND(O826/J826,2)</f>
        <v>12539.59</v>
      </c>
      <c r="Q826" s="19" t="s">
        <v>1133</v>
      </c>
      <c r="R826" s="22" t="n">
        <v>2</v>
      </c>
      <c r="S826" s="19" t="s">
        <v>29</v>
      </c>
      <c r="T826" s="19" t="s">
        <v>30</v>
      </c>
      <c r="U826" s="31" t="s">
        <v>31</v>
      </c>
      <c r="V826" s="41" t="n">
        <v>43432</v>
      </c>
      <c r="W826" s="34"/>
      <c r="X826" s="34"/>
    </row>
    <row r="827" customFormat="false" ht="13.8" hidden="false" customHeight="false" outlineLevel="0" collapsed="false">
      <c r="A827" s="18"/>
      <c r="B827" s="19" t="n">
        <v>2211</v>
      </c>
      <c r="C827" s="20" t="n">
        <v>43347</v>
      </c>
      <c r="D827" s="38" t="s">
        <v>22</v>
      </c>
      <c r="E827" s="22" t="s">
        <v>299</v>
      </c>
      <c r="F827" s="34" t="s">
        <v>642</v>
      </c>
      <c r="G827" s="19" t="n">
        <v>32</v>
      </c>
      <c r="H827" s="19" t="n">
        <v>1</v>
      </c>
      <c r="I827" s="19" t="n">
        <v>1</v>
      </c>
      <c r="J827" s="19" t="n">
        <v>108.82</v>
      </c>
      <c r="K827" s="39" t="n">
        <v>1600000</v>
      </c>
      <c r="L827" s="39" t="n">
        <f aca="false">ROUND(K827/J827,2)</f>
        <v>14703.18</v>
      </c>
      <c r="M827" s="34" t="s">
        <v>1149</v>
      </c>
      <c r="N827" s="40"/>
      <c r="O827" s="30" t="n">
        <f aca="false">K827+N827</f>
        <v>1600000</v>
      </c>
      <c r="P827" s="39" t="n">
        <f aca="false">ROUND(O827/J827,2)</f>
        <v>14703.18</v>
      </c>
      <c r="Q827" s="19" t="s">
        <v>1150</v>
      </c>
      <c r="R827" s="22" t="s">
        <v>57</v>
      </c>
      <c r="S827" s="19" t="s">
        <v>29</v>
      </c>
      <c r="T827" s="19" t="s">
        <v>30</v>
      </c>
      <c r="U827" s="31" t="s">
        <v>31</v>
      </c>
      <c r="V827" s="41" t="n">
        <v>43432</v>
      </c>
      <c r="W827" s="34"/>
      <c r="X827" s="34"/>
      <c r="Y827" s="32"/>
      <c r="Z827" s="33"/>
    </row>
    <row r="828" customFormat="false" ht="13.8" hidden="false" customHeight="false" outlineLevel="0" collapsed="false">
      <c r="A828" s="18"/>
      <c r="B828" s="19" t="n">
        <v>42828</v>
      </c>
      <c r="C828" s="20" t="n">
        <v>43348</v>
      </c>
      <c r="D828" s="38" t="s">
        <v>22</v>
      </c>
      <c r="E828" s="22" t="s">
        <v>140</v>
      </c>
      <c r="F828" s="34" t="s">
        <v>273</v>
      </c>
      <c r="G828" s="19" t="n">
        <v>2</v>
      </c>
      <c r="H828" s="19" t="n">
        <v>42</v>
      </c>
      <c r="I828" s="19" t="n">
        <v>5</v>
      </c>
      <c r="J828" s="19" t="n">
        <v>47.79</v>
      </c>
      <c r="K828" s="39" t="n">
        <v>300000</v>
      </c>
      <c r="L828" s="39" t="n">
        <f aca="false">ROUND(K828/J828,2)</f>
        <v>6277.46</v>
      </c>
      <c r="M828" s="18"/>
      <c r="N828" s="40"/>
      <c r="O828" s="30" t="n">
        <f aca="false">K828+N828</f>
        <v>300000</v>
      </c>
      <c r="P828" s="39" t="n">
        <f aca="false">ROUND(O828/J828,2)</f>
        <v>6277.46</v>
      </c>
      <c r="Q828" s="19" t="s">
        <v>1151</v>
      </c>
      <c r="R828" s="22" t="n">
        <v>4</v>
      </c>
      <c r="S828" s="19" t="s">
        <v>29</v>
      </c>
      <c r="T828" s="19" t="s">
        <v>30</v>
      </c>
      <c r="U828" s="31" t="s">
        <v>31</v>
      </c>
      <c r="V828" s="41" t="n">
        <v>43432</v>
      </c>
      <c r="W828" s="34"/>
      <c r="X828" s="34"/>
    </row>
    <row r="829" customFormat="false" ht="13.8" hidden="false" customHeight="false" outlineLevel="0" collapsed="false">
      <c r="A829" s="18"/>
      <c r="B829" s="19" t="n">
        <v>6618</v>
      </c>
      <c r="C829" s="20" t="n">
        <v>43348</v>
      </c>
      <c r="D829" s="38" t="s">
        <v>22</v>
      </c>
      <c r="E829" s="22" t="s">
        <v>527</v>
      </c>
      <c r="F829" s="34" t="s">
        <v>973</v>
      </c>
      <c r="G829" s="19" t="n">
        <v>17</v>
      </c>
      <c r="H829" s="19" t="n">
        <v>7</v>
      </c>
      <c r="I829" s="19" t="n">
        <v>4</v>
      </c>
      <c r="J829" s="19" t="n">
        <v>170.7</v>
      </c>
      <c r="K829" s="39" t="n">
        <v>2000000</v>
      </c>
      <c r="L829" s="39" t="n">
        <f aca="false">ROUND(K829/J829,2)</f>
        <v>11716.46</v>
      </c>
      <c r="M829" s="34" t="s">
        <v>1152</v>
      </c>
      <c r="N829" s="40"/>
      <c r="O829" s="30" t="n">
        <f aca="false">K829+N829</f>
        <v>2000000</v>
      </c>
      <c r="P829" s="39" t="n">
        <f aca="false">ROUND(O829/J829,2)</f>
        <v>11716.46</v>
      </c>
      <c r="Q829" s="19" t="s">
        <v>1153</v>
      </c>
      <c r="R829" s="22" t="s">
        <v>57</v>
      </c>
      <c r="S829" s="19" t="s">
        <v>29</v>
      </c>
      <c r="T829" s="19" t="s">
        <v>30</v>
      </c>
      <c r="U829" s="31" t="s">
        <v>31</v>
      </c>
      <c r="V829" s="41" t="n">
        <v>43432</v>
      </c>
      <c r="W829" s="18"/>
      <c r="X829" s="18"/>
    </row>
    <row r="830" customFormat="false" ht="13.8" hidden="false" customHeight="false" outlineLevel="0" collapsed="false">
      <c r="A830" s="18"/>
      <c r="B830" s="19" t="n">
        <v>3199</v>
      </c>
      <c r="C830" s="20" t="n">
        <v>43348</v>
      </c>
      <c r="D830" s="38" t="s">
        <v>22</v>
      </c>
      <c r="E830" s="22" t="s">
        <v>23</v>
      </c>
      <c r="F830" s="34" t="s">
        <v>957</v>
      </c>
      <c r="G830" s="19" t="n">
        <v>75</v>
      </c>
      <c r="H830" s="19" t="n">
        <v>15</v>
      </c>
      <c r="I830" s="19" t="n">
        <v>3</v>
      </c>
      <c r="J830" s="19" t="n">
        <v>28.2</v>
      </c>
      <c r="K830" s="39" t="n">
        <v>250000</v>
      </c>
      <c r="L830" s="39" t="n">
        <f aca="false">ROUND(K830/J830,2)</f>
        <v>8865.25</v>
      </c>
      <c r="M830" s="34"/>
      <c r="N830" s="40"/>
      <c r="O830" s="30" t="n">
        <f aca="false">K830+N830</f>
        <v>250000</v>
      </c>
      <c r="P830" s="39" t="n">
        <f aca="false">ROUND(O830/J830,2)</f>
        <v>8865.25</v>
      </c>
      <c r="Q830" s="19" t="s">
        <v>1154</v>
      </c>
      <c r="R830" s="22" t="s">
        <v>27</v>
      </c>
      <c r="S830" s="19" t="s">
        <v>29</v>
      </c>
      <c r="T830" s="19" t="s">
        <v>30</v>
      </c>
      <c r="U830" s="31" t="s">
        <v>31</v>
      </c>
      <c r="V830" s="41" t="n">
        <v>43432</v>
      </c>
      <c r="W830" s="34"/>
      <c r="X830" s="34"/>
      <c r="AMJ830" s="32"/>
    </row>
    <row r="831" s="32" customFormat="true" ht="13.8" hidden="false" customHeight="false" outlineLevel="0" collapsed="false">
      <c r="A831" s="18"/>
      <c r="B831" s="19" t="n">
        <v>19463</v>
      </c>
      <c r="C831" s="20" t="n">
        <v>43348</v>
      </c>
      <c r="D831" s="38" t="s">
        <v>22</v>
      </c>
      <c r="E831" s="22" t="s">
        <v>287</v>
      </c>
      <c r="F831" s="34" t="s">
        <v>688</v>
      </c>
      <c r="G831" s="19" t="n">
        <v>16</v>
      </c>
      <c r="H831" s="19" t="n">
        <v>10</v>
      </c>
      <c r="I831" s="19" t="n">
        <v>3</v>
      </c>
      <c r="J831" s="19" t="n">
        <v>46.99</v>
      </c>
      <c r="K831" s="39" t="n">
        <v>370000</v>
      </c>
      <c r="L831" s="39" t="n">
        <f aca="false">ROUND(K831/J831,2)</f>
        <v>7874.02</v>
      </c>
      <c r="M831" s="34"/>
      <c r="N831" s="40"/>
      <c r="O831" s="30" t="n">
        <f aca="false">K831+N831</f>
        <v>370000</v>
      </c>
      <c r="P831" s="39" t="n">
        <f aca="false">ROUND(O831/J831,2)</f>
        <v>7874.02</v>
      </c>
      <c r="Q831" s="19" t="s">
        <v>1038</v>
      </c>
      <c r="R831" s="22" t="s">
        <v>26</v>
      </c>
      <c r="S831" s="19" t="s">
        <v>29</v>
      </c>
      <c r="T831" s="19" t="s">
        <v>30</v>
      </c>
      <c r="U831" s="31" t="s">
        <v>31</v>
      </c>
      <c r="V831" s="41" t="n">
        <v>43432</v>
      </c>
      <c r="W831" s="18"/>
      <c r="X831" s="18"/>
    </row>
    <row r="832" customFormat="false" ht="13.8" hidden="false" customHeight="false" outlineLevel="0" collapsed="false">
      <c r="A832" s="18"/>
      <c r="B832" s="19" t="n">
        <v>4059</v>
      </c>
      <c r="C832" s="20" t="n">
        <v>43348</v>
      </c>
      <c r="D832" s="38" t="s">
        <v>22</v>
      </c>
      <c r="E832" s="22" t="s">
        <v>278</v>
      </c>
      <c r="F832" s="34" t="s">
        <v>688</v>
      </c>
      <c r="G832" s="19" t="s">
        <v>274</v>
      </c>
      <c r="H832" s="19" t="n">
        <v>96</v>
      </c>
      <c r="I832" s="19" t="n">
        <v>3</v>
      </c>
      <c r="J832" s="19" t="n">
        <v>44.53</v>
      </c>
      <c r="K832" s="39" t="n">
        <v>410000</v>
      </c>
      <c r="L832" s="39" t="n">
        <f aca="false">ROUND(K832/J832,2)</f>
        <v>9207.28</v>
      </c>
      <c r="M832" s="34"/>
      <c r="N832" s="40"/>
      <c r="O832" s="30" t="n">
        <f aca="false">K832+N832</f>
        <v>410000</v>
      </c>
      <c r="P832" s="39" t="n">
        <f aca="false">ROUND(O832/J832,2)</f>
        <v>9207.28</v>
      </c>
      <c r="Q832" s="19" t="s">
        <v>1016</v>
      </c>
      <c r="R832" s="22" t="s">
        <v>49</v>
      </c>
      <c r="S832" s="19" t="s">
        <v>29</v>
      </c>
      <c r="T832" s="19" t="s">
        <v>30</v>
      </c>
      <c r="U832" s="31" t="s">
        <v>31</v>
      </c>
      <c r="V832" s="41" t="n">
        <v>43432</v>
      </c>
      <c r="W832" s="18"/>
      <c r="X832" s="18"/>
    </row>
    <row r="833" customFormat="false" ht="13.8" hidden="false" customHeight="false" outlineLevel="0" collapsed="false">
      <c r="A833" s="18"/>
      <c r="B833" s="19" t="n">
        <v>6354</v>
      </c>
      <c r="C833" s="20" t="n">
        <v>43348</v>
      </c>
      <c r="D833" s="38" t="s">
        <v>22</v>
      </c>
      <c r="E833" s="22" t="s">
        <v>543</v>
      </c>
      <c r="F833" s="34" t="s">
        <v>351</v>
      </c>
      <c r="G833" s="19" t="n">
        <v>12</v>
      </c>
      <c r="H833" s="19" t="n">
        <v>46</v>
      </c>
      <c r="I833" s="19" t="n">
        <v>1</v>
      </c>
      <c r="J833" s="19" t="n">
        <v>53.12</v>
      </c>
      <c r="K833" s="39" t="n">
        <v>280000</v>
      </c>
      <c r="L833" s="39" t="n">
        <f aca="false">ROUND(K833/J833,2)</f>
        <v>5271.08</v>
      </c>
      <c r="M833" s="34" t="s">
        <v>1155</v>
      </c>
      <c r="N833" s="40"/>
      <c r="O833" s="30" t="n">
        <f aca="false">K833+N833</f>
        <v>280000</v>
      </c>
      <c r="P833" s="39" t="n">
        <f aca="false">ROUND(O833/J833,2)</f>
        <v>5271.08</v>
      </c>
      <c r="Q833" s="19" t="s">
        <v>701</v>
      </c>
      <c r="R833" s="22" t="n">
        <v>3</v>
      </c>
      <c r="S833" s="19" t="s">
        <v>29</v>
      </c>
      <c r="T833" s="19" t="s">
        <v>30</v>
      </c>
      <c r="U833" s="31" t="s">
        <v>31</v>
      </c>
      <c r="V833" s="41" t="n">
        <v>43432</v>
      </c>
      <c r="W833" s="18"/>
      <c r="X833" s="18"/>
      <c r="Y833" s="35"/>
      <c r="Z833" s="36"/>
    </row>
    <row r="834" customFormat="false" ht="13.8" hidden="false" customHeight="false" outlineLevel="0" collapsed="false">
      <c r="A834" s="18"/>
      <c r="B834" s="19" t="n">
        <v>4331</v>
      </c>
      <c r="C834" s="20" t="n">
        <v>43348</v>
      </c>
      <c r="D834" s="38" t="s">
        <v>22</v>
      </c>
      <c r="E834" s="22" t="s">
        <v>350</v>
      </c>
      <c r="F834" s="34" t="s">
        <v>351</v>
      </c>
      <c r="G834" s="19" t="s">
        <v>1156</v>
      </c>
      <c r="H834" s="19" t="n">
        <v>62</v>
      </c>
      <c r="I834" s="19" t="n">
        <v>9</v>
      </c>
      <c r="J834" s="19" t="n">
        <v>57.83</v>
      </c>
      <c r="K834" s="39" t="n">
        <v>607000</v>
      </c>
      <c r="L834" s="39" t="n">
        <f aca="false">ROUND(K834/J834,2)</f>
        <v>10496.28</v>
      </c>
      <c r="M834" s="34" t="s">
        <v>987</v>
      </c>
      <c r="N834" s="40" t="n">
        <v>33000</v>
      </c>
      <c r="O834" s="30" t="n">
        <f aca="false">K834+N834</f>
        <v>640000</v>
      </c>
      <c r="P834" s="39" t="n">
        <f aca="false">ROUND(O834/J834,2)</f>
        <v>11066.92</v>
      </c>
      <c r="Q834" s="19" t="s">
        <v>1157</v>
      </c>
      <c r="R834" s="22" t="s">
        <v>26</v>
      </c>
      <c r="S834" s="19" t="s">
        <v>29</v>
      </c>
      <c r="T834" s="19" t="s">
        <v>30</v>
      </c>
      <c r="U834" s="31" t="s">
        <v>31</v>
      </c>
      <c r="V834" s="41" t="n">
        <v>43432</v>
      </c>
      <c r="W834" s="18"/>
      <c r="X834" s="18"/>
    </row>
    <row r="835" customFormat="false" ht="13.8" hidden="false" customHeight="false" outlineLevel="0" collapsed="false">
      <c r="A835" s="18"/>
      <c r="B835" s="19" t="n">
        <v>4793</v>
      </c>
      <c r="C835" s="20" t="n">
        <v>43348</v>
      </c>
      <c r="D835" s="38" t="s">
        <v>22</v>
      </c>
      <c r="E835" s="22" t="s">
        <v>480</v>
      </c>
      <c r="F835" s="34" t="s">
        <v>244</v>
      </c>
      <c r="G835" s="19" t="n">
        <v>18</v>
      </c>
      <c r="H835" s="19" t="n">
        <v>8</v>
      </c>
      <c r="I835" s="19" t="n">
        <v>3</v>
      </c>
      <c r="J835" s="19" t="n">
        <v>47.8</v>
      </c>
      <c r="K835" s="39" t="n">
        <v>524500</v>
      </c>
      <c r="L835" s="39" t="n">
        <f aca="false">ROUND(K835/J835,2)</f>
        <v>10972.8</v>
      </c>
      <c r="M835" s="34" t="s">
        <v>1158</v>
      </c>
      <c r="N835" s="40"/>
      <c r="O835" s="30" t="n">
        <f aca="false">K835+N835</f>
        <v>524500</v>
      </c>
      <c r="P835" s="39" t="n">
        <f aca="false">ROUND(O835/J835,2)</f>
        <v>10972.8</v>
      </c>
      <c r="Q835" s="19" t="s">
        <v>701</v>
      </c>
      <c r="R835" s="22" t="n">
        <v>3</v>
      </c>
      <c r="S835" s="19" t="s">
        <v>29</v>
      </c>
      <c r="T835" s="19" t="s">
        <v>30</v>
      </c>
      <c r="U835" s="31" t="s">
        <v>31</v>
      </c>
      <c r="V835" s="41" t="n">
        <v>43432</v>
      </c>
      <c r="W835" s="34"/>
      <c r="X835" s="34"/>
      <c r="AMJ835" s="32"/>
    </row>
    <row r="836" s="32" customFormat="true" ht="13.8" hidden="false" customHeight="false" outlineLevel="0" collapsed="false">
      <c r="A836" s="18"/>
      <c r="B836" s="19" t="n">
        <v>12366</v>
      </c>
      <c r="C836" s="20" t="n">
        <v>43348</v>
      </c>
      <c r="D836" s="38" t="s">
        <v>22</v>
      </c>
      <c r="E836" s="22" t="s">
        <v>122</v>
      </c>
      <c r="F836" s="34" t="s">
        <v>805</v>
      </c>
      <c r="G836" s="19" t="n">
        <v>48</v>
      </c>
      <c r="H836" s="19" t="n">
        <v>401</v>
      </c>
      <c r="I836" s="19" t="n">
        <v>5</v>
      </c>
      <c r="J836" s="19" t="n">
        <v>41.17</v>
      </c>
      <c r="K836" s="39" t="n">
        <v>400000</v>
      </c>
      <c r="L836" s="39" t="n">
        <f aca="false">ROUND(K836/J836,2)</f>
        <v>9715.81</v>
      </c>
      <c r="M836" s="34" t="s">
        <v>943</v>
      </c>
      <c r="N836" s="40" t="n">
        <v>20000</v>
      </c>
      <c r="O836" s="30" t="n">
        <f aca="false">K836+N836</f>
        <v>420000</v>
      </c>
      <c r="P836" s="39" t="n">
        <f aca="false">ROUND(O836/J836,2)</f>
        <v>10201.6</v>
      </c>
      <c r="Q836" s="19" t="s">
        <v>1133</v>
      </c>
      <c r="R836" s="22" t="n">
        <v>2</v>
      </c>
      <c r="S836" s="19" t="s">
        <v>29</v>
      </c>
      <c r="T836" s="19" t="s">
        <v>30</v>
      </c>
      <c r="U836" s="31" t="s">
        <v>31</v>
      </c>
      <c r="V836" s="41" t="n">
        <v>43432</v>
      </c>
      <c r="W836" s="34"/>
      <c r="X836" s="34"/>
    </row>
    <row r="837" s="32" customFormat="true" ht="13.8" hidden="false" customHeight="false" outlineLevel="0" collapsed="false">
      <c r="A837" s="18"/>
      <c r="B837" s="19" t="n">
        <v>3027</v>
      </c>
      <c r="C837" s="20" t="n">
        <v>43349</v>
      </c>
      <c r="D837" s="38" t="s">
        <v>22</v>
      </c>
      <c r="E837" s="22" t="s">
        <v>23</v>
      </c>
      <c r="F837" s="34" t="s">
        <v>955</v>
      </c>
      <c r="G837" s="19" t="n">
        <v>73</v>
      </c>
      <c r="H837" s="19" t="n">
        <v>59</v>
      </c>
      <c r="I837" s="19" t="n">
        <v>8</v>
      </c>
      <c r="J837" s="19" t="n">
        <v>36.7</v>
      </c>
      <c r="K837" s="39" t="n">
        <v>345000</v>
      </c>
      <c r="L837" s="39" t="n">
        <f aca="false">ROUND(K837/J837,2)</f>
        <v>9400.54</v>
      </c>
      <c r="M837" s="34"/>
      <c r="N837" s="40"/>
      <c r="O837" s="30" t="n">
        <f aca="false">K837+N837</f>
        <v>345000</v>
      </c>
      <c r="P837" s="39" t="n">
        <f aca="false">ROUND(O837/J837,2)</f>
        <v>9400.54</v>
      </c>
      <c r="Q837" s="19" t="s">
        <v>952</v>
      </c>
      <c r="R837" s="22" t="s">
        <v>26</v>
      </c>
      <c r="S837" s="19" t="s">
        <v>29</v>
      </c>
      <c r="T837" s="19" t="s">
        <v>30</v>
      </c>
      <c r="U837" s="31" t="s">
        <v>31</v>
      </c>
      <c r="V837" s="41" t="n">
        <v>43432</v>
      </c>
      <c r="W837" s="18"/>
      <c r="X837" s="18"/>
    </row>
    <row r="838" s="32" customFormat="true" ht="13.8" hidden="false" customHeight="false" outlineLevel="0" collapsed="false">
      <c r="A838" s="18"/>
      <c r="B838" s="19" t="n">
        <v>3633</v>
      </c>
      <c r="C838" s="20" t="n">
        <v>43349</v>
      </c>
      <c r="D838" s="38" t="s">
        <v>22</v>
      </c>
      <c r="E838" s="22" t="s">
        <v>198</v>
      </c>
      <c r="F838" s="34" t="s">
        <v>199</v>
      </c>
      <c r="G838" s="19" t="s">
        <v>1001</v>
      </c>
      <c r="H838" s="19" t="n">
        <v>89</v>
      </c>
      <c r="I838" s="19" t="n">
        <v>4</v>
      </c>
      <c r="J838" s="19" t="n">
        <v>46.92</v>
      </c>
      <c r="K838" s="39" t="n">
        <v>450000</v>
      </c>
      <c r="L838" s="39" t="n">
        <f aca="false">ROUND(K838/J838,2)</f>
        <v>9590.79</v>
      </c>
      <c r="M838" s="34" t="s">
        <v>1159</v>
      </c>
      <c r="N838" s="40"/>
      <c r="O838" s="30" t="n">
        <f aca="false">K838+N838</f>
        <v>450000</v>
      </c>
      <c r="P838" s="39" t="n">
        <f aca="false">ROUND(O838/J838,2)</f>
        <v>9590.79</v>
      </c>
      <c r="Q838" s="19" t="s">
        <v>1160</v>
      </c>
      <c r="R838" s="22" t="s">
        <v>26</v>
      </c>
      <c r="S838" s="19" t="s">
        <v>29</v>
      </c>
      <c r="T838" s="19" t="s">
        <v>30</v>
      </c>
      <c r="U838" s="31" t="s">
        <v>31</v>
      </c>
      <c r="V838" s="41" t="n">
        <v>43432</v>
      </c>
      <c r="W838" s="18"/>
      <c r="X838" s="18"/>
    </row>
    <row r="839" customFormat="false" ht="13.8" hidden="false" customHeight="false" outlineLevel="0" collapsed="false">
      <c r="A839" s="18"/>
      <c r="B839" s="19" t="n">
        <v>9880</v>
      </c>
      <c r="C839" s="20" t="n">
        <v>43349</v>
      </c>
      <c r="D839" s="38" t="s">
        <v>22</v>
      </c>
      <c r="E839" s="22" t="s">
        <v>80</v>
      </c>
      <c r="F839" s="34" t="s">
        <v>162</v>
      </c>
      <c r="G839" s="19" t="n">
        <v>7</v>
      </c>
      <c r="H839" s="19" t="n">
        <v>59</v>
      </c>
      <c r="I839" s="19" t="n">
        <v>3</v>
      </c>
      <c r="J839" s="19" t="n">
        <v>61.3</v>
      </c>
      <c r="K839" s="39" t="n">
        <v>1049000</v>
      </c>
      <c r="L839" s="39" t="n">
        <f aca="false">ROUND(K839/J839,2)</f>
        <v>17112.56</v>
      </c>
      <c r="M839" s="34" t="s">
        <v>987</v>
      </c>
      <c r="N839" s="40"/>
      <c r="O839" s="30" t="n">
        <f aca="false">K839+N839</f>
        <v>1049000</v>
      </c>
      <c r="P839" s="39" t="n">
        <f aca="false">ROUND(O839/J839,2)</f>
        <v>17112.56</v>
      </c>
      <c r="Q839" s="19" t="s">
        <v>1033</v>
      </c>
      <c r="R839" s="22" t="s">
        <v>26</v>
      </c>
      <c r="S839" s="19" t="s">
        <v>29</v>
      </c>
      <c r="T839" s="19" t="s">
        <v>30</v>
      </c>
      <c r="U839" s="31" t="s">
        <v>31</v>
      </c>
      <c r="V839" s="41" t="n">
        <v>43432</v>
      </c>
      <c r="W839" s="18"/>
      <c r="X839" s="18"/>
    </row>
    <row r="840" customFormat="false" ht="13.8" hidden="false" customHeight="false" outlineLevel="0" collapsed="false">
      <c r="A840" s="18"/>
      <c r="B840" s="19" t="n">
        <v>2073</v>
      </c>
      <c r="C840" s="20" t="n">
        <v>43349</v>
      </c>
      <c r="D840" s="38" t="s">
        <v>22</v>
      </c>
      <c r="E840" s="22" t="s">
        <v>37</v>
      </c>
      <c r="F840" s="34" t="s">
        <v>386</v>
      </c>
      <c r="G840" s="19" t="n">
        <v>2</v>
      </c>
      <c r="H840" s="19" t="n">
        <v>18</v>
      </c>
      <c r="I840" s="19" t="n">
        <v>4</v>
      </c>
      <c r="J840" s="19" t="n">
        <v>45.9</v>
      </c>
      <c r="K840" s="39" t="n">
        <v>350000</v>
      </c>
      <c r="L840" s="39" t="n">
        <f aca="false">ROUND(K840/J840,2)</f>
        <v>7625.27</v>
      </c>
      <c r="M840" s="34" t="s">
        <v>1158</v>
      </c>
      <c r="N840" s="40"/>
      <c r="O840" s="30" t="n">
        <f aca="false">K840+N840</f>
        <v>350000</v>
      </c>
      <c r="P840" s="39" t="n">
        <f aca="false">ROUND(O840/J840,2)</f>
        <v>7625.27</v>
      </c>
      <c r="Q840" s="19" t="s">
        <v>701</v>
      </c>
      <c r="R840" s="22" t="n">
        <v>3</v>
      </c>
      <c r="S840" s="19" t="s">
        <v>29</v>
      </c>
      <c r="T840" s="19" t="s">
        <v>30</v>
      </c>
      <c r="U840" s="31" t="s">
        <v>31</v>
      </c>
      <c r="V840" s="41" t="n">
        <v>43432</v>
      </c>
      <c r="W840" s="18"/>
      <c r="X840" s="18"/>
    </row>
    <row r="841" customFormat="false" ht="13.8" hidden="false" customHeight="false" outlineLevel="0" collapsed="false">
      <c r="A841" s="18"/>
      <c r="B841" s="19" t="n">
        <v>2708</v>
      </c>
      <c r="C841" s="20" t="n">
        <v>43349</v>
      </c>
      <c r="D841" s="38" t="s">
        <v>22</v>
      </c>
      <c r="E841" s="22" t="s">
        <v>302</v>
      </c>
      <c r="F841" s="34" t="s">
        <v>1161</v>
      </c>
      <c r="G841" s="19" t="s">
        <v>1162</v>
      </c>
      <c r="H841" s="19" t="s">
        <v>1163</v>
      </c>
      <c r="I841" s="19" t="n">
        <v>12</v>
      </c>
      <c r="J841" s="19" t="n">
        <v>23.94</v>
      </c>
      <c r="K841" s="39" t="n">
        <v>260000</v>
      </c>
      <c r="L841" s="39" t="n">
        <f aca="false">ROUND(K841/J841,2)</f>
        <v>10860.48</v>
      </c>
      <c r="M841" s="34"/>
      <c r="N841" s="40"/>
      <c r="O841" s="30" t="n">
        <f aca="false">K841+N841</f>
        <v>260000</v>
      </c>
      <c r="P841" s="39" t="n">
        <f aca="false">ROUND(O841/J841,2)</f>
        <v>10860.48</v>
      </c>
      <c r="Q841" s="19" t="s">
        <v>982</v>
      </c>
      <c r="R841" s="22" t="s">
        <v>36</v>
      </c>
      <c r="S841" s="19" t="s">
        <v>29</v>
      </c>
      <c r="T841" s="19" t="s">
        <v>30</v>
      </c>
      <c r="U841" s="31" t="s">
        <v>31</v>
      </c>
      <c r="V841" s="41" t="n">
        <v>43432</v>
      </c>
      <c r="W841" s="18"/>
      <c r="X841" s="18"/>
    </row>
    <row r="842" customFormat="false" ht="13.8" hidden="false" customHeight="false" outlineLevel="0" collapsed="false">
      <c r="A842" s="18"/>
      <c r="B842" s="19" t="n">
        <v>6608</v>
      </c>
      <c r="C842" s="20" t="n">
        <v>43349</v>
      </c>
      <c r="D842" s="38" t="s">
        <v>22</v>
      </c>
      <c r="E842" s="22" t="s">
        <v>118</v>
      </c>
      <c r="F842" s="34" t="s">
        <v>119</v>
      </c>
      <c r="G842" s="19" t="n">
        <v>14</v>
      </c>
      <c r="H842" s="19" t="n">
        <v>30</v>
      </c>
      <c r="I842" s="19" t="n">
        <v>8</v>
      </c>
      <c r="J842" s="19" t="n">
        <v>51.9</v>
      </c>
      <c r="K842" s="39" t="n">
        <v>394440</v>
      </c>
      <c r="L842" s="39" t="n">
        <f aca="false">K842/J842</f>
        <v>7600</v>
      </c>
      <c r="M842" s="34"/>
      <c r="N842" s="40"/>
      <c r="O842" s="30" t="n">
        <f aca="false">K842+N842</f>
        <v>394440</v>
      </c>
      <c r="P842" s="39" t="n">
        <f aca="false">O842/J842</f>
        <v>7600</v>
      </c>
      <c r="Q842" s="19" t="s">
        <v>861</v>
      </c>
      <c r="R842" s="22" t="s">
        <v>26</v>
      </c>
      <c r="S842" s="19" t="s">
        <v>29</v>
      </c>
      <c r="T842" s="19" t="s">
        <v>30</v>
      </c>
      <c r="U842" s="19" t="s">
        <v>31</v>
      </c>
      <c r="V842" s="41" t="n">
        <v>43514</v>
      </c>
      <c r="W842" s="34" t="s">
        <v>1164</v>
      </c>
      <c r="X842" s="18"/>
    </row>
    <row r="843" customFormat="false" ht="13.8" hidden="false" customHeight="false" outlineLevel="0" collapsed="false">
      <c r="A843" s="18"/>
      <c r="B843" s="19" t="n">
        <v>6608</v>
      </c>
      <c r="C843" s="20" t="n">
        <v>43349</v>
      </c>
      <c r="D843" s="38" t="s">
        <v>22</v>
      </c>
      <c r="E843" s="22" t="s">
        <v>118</v>
      </c>
      <c r="F843" s="34" t="s">
        <v>119</v>
      </c>
      <c r="G843" s="19" t="n">
        <v>14</v>
      </c>
      <c r="H843" s="19" t="n">
        <v>30</v>
      </c>
      <c r="I843" s="19" t="n">
        <v>8</v>
      </c>
      <c r="J843" s="19" t="n">
        <v>51.9</v>
      </c>
      <c r="K843" s="39" t="n">
        <v>394440</v>
      </c>
      <c r="L843" s="39" t="n">
        <f aca="false">K843/J843</f>
        <v>7600</v>
      </c>
      <c r="M843" s="34"/>
      <c r="N843" s="40"/>
      <c r="O843" s="30" t="n">
        <f aca="false">K843+N843</f>
        <v>394440</v>
      </c>
      <c r="P843" s="39" t="n">
        <f aca="false">O843/J843</f>
        <v>7600</v>
      </c>
      <c r="Q843" s="19" t="s">
        <v>861</v>
      </c>
      <c r="R843" s="22" t="s">
        <v>26</v>
      </c>
      <c r="S843" s="19" t="s">
        <v>29</v>
      </c>
      <c r="T843" s="19" t="s">
        <v>30</v>
      </c>
      <c r="U843" s="19" t="s">
        <v>31</v>
      </c>
      <c r="V843" s="41" t="n">
        <v>43514</v>
      </c>
      <c r="W843" s="34" t="s">
        <v>1164</v>
      </c>
      <c r="X843" s="18"/>
    </row>
    <row r="844" customFormat="false" ht="13.8" hidden="false" customHeight="false" outlineLevel="0" collapsed="false">
      <c r="A844" s="18"/>
      <c r="B844" s="19" t="n">
        <v>1394</v>
      </c>
      <c r="C844" s="20" t="n">
        <v>43349</v>
      </c>
      <c r="D844" s="38" t="s">
        <v>22</v>
      </c>
      <c r="E844" s="22" t="s">
        <v>72</v>
      </c>
      <c r="F844" s="34" t="s">
        <v>46</v>
      </c>
      <c r="G844" s="19" t="n">
        <v>100</v>
      </c>
      <c r="H844" s="19" t="n">
        <v>7</v>
      </c>
      <c r="I844" s="19" t="n">
        <v>3</v>
      </c>
      <c r="J844" s="19" t="n">
        <v>45.01</v>
      </c>
      <c r="K844" s="39" t="n">
        <v>400000</v>
      </c>
      <c r="L844" s="39" t="n">
        <f aca="false">ROUND(K844/J844,2)</f>
        <v>8886.91</v>
      </c>
      <c r="M844" s="34" t="s">
        <v>189</v>
      </c>
      <c r="N844" s="40"/>
      <c r="O844" s="30" t="n">
        <f aca="false">K844+N844</f>
        <v>400000</v>
      </c>
      <c r="P844" s="39" t="n">
        <f aca="false">ROUND(O844/J844,2)</f>
        <v>8886.91</v>
      </c>
      <c r="Q844" s="19" t="s">
        <v>925</v>
      </c>
      <c r="R844" s="22" t="s">
        <v>26</v>
      </c>
      <c r="S844" s="19" t="s">
        <v>29</v>
      </c>
      <c r="T844" s="19" t="s">
        <v>30</v>
      </c>
      <c r="U844" s="31" t="s">
        <v>31</v>
      </c>
      <c r="V844" s="41" t="n">
        <v>43432</v>
      </c>
      <c r="W844" s="34"/>
      <c r="X844" s="34"/>
    </row>
    <row r="845" customFormat="false" ht="13.8" hidden="false" customHeight="false" outlineLevel="0" collapsed="false">
      <c r="A845" s="18"/>
      <c r="B845" s="19" t="n">
        <v>10735</v>
      </c>
      <c r="C845" s="20" t="n">
        <v>43349</v>
      </c>
      <c r="D845" s="38" t="s">
        <v>22</v>
      </c>
      <c r="E845" s="22" t="s">
        <v>302</v>
      </c>
      <c r="F845" s="34" t="s">
        <v>544</v>
      </c>
      <c r="G845" s="19" t="s">
        <v>1165</v>
      </c>
      <c r="H845" s="19" t="n">
        <v>6</v>
      </c>
      <c r="I845" s="19" t="n">
        <v>2</v>
      </c>
      <c r="J845" s="19" t="n">
        <v>34.36</v>
      </c>
      <c r="K845" s="39" t="n">
        <v>300000</v>
      </c>
      <c r="L845" s="39" t="n">
        <f aca="false">ROUND(K845/J845,2)</f>
        <v>8731.08</v>
      </c>
      <c r="M845" s="34" t="s">
        <v>1158</v>
      </c>
      <c r="N845" s="40"/>
      <c r="O845" s="30" t="n">
        <f aca="false">K845+N845</f>
        <v>300000</v>
      </c>
      <c r="P845" s="39" t="n">
        <f aca="false">ROUND(O845/J845,2)</f>
        <v>8731.08</v>
      </c>
      <c r="Q845" s="19" t="s">
        <v>1166</v>
      </c>
      <c r="R845" s="22" t="n">
        <v>2</v>
      </c>
      <c r="S845" s="19" t="s">
        <v>29</v>
      </c>
      <c r="T845" s="19" t="s">
        <v>30</v>
      </c>
      <c r="U845" s="31" t="s">
        <v>31</v>
      </c>
      <c r="V845" s="41" t="n">
        <v>43432</v>
      </c>
      <c r="W845" s="18"/>
      <c r="X845" s="18"/>
      <c r="AMJ845" s="32"/>
    </row>
    <row r="846" s="32" customFormat="true" ht="13.8" hidden="false" customHeight="false" outlineLevel="0" collapsed="false">
      <c r="A846" s="18"/>
      <c r="B846" s="19" t="n">
        <v>2798</v>
      </c>
      <c r="C846" s="20" t="n">
        <v>43349</v>
      </c>
      <c r="D846" s="38" t="s">
        <v>22</v>
      </c>
      <c r="E846" s="22" t="s">
        <v>251</v>
      </c>
      <c r="F846" s="34" t="s">
        <v>1017</v>
      </c>
      <c r="G846" s="19" t="n">
        <v>3</v>
      </c>
      <c r="H846" s="19" t="n">
        <v>514</v>
      </c>
      <c r="I846" s="19" t="n">
        <v>10</v>
      </c>
      <c r="J846" s="19" t="n">
        <v>44.03</v>
      </c>
      <c r="K846" s="39" t="n">
        <v>363000</v>
      </c>
      <c r="L846" s="39" t="n">
        <f aca="false">ROUND(K846/J846,2)</f>
        <v>8244.38</v>
      </c>
      <c r="M846" s="34" t="s">
        <v>189</v>
      </c>
      <c r="N846" s="40"/>
      <c r="O846" s="30" t="n">
        <f aca="false">K846+N846</f>
        <v>363000</v>
      </c>
      <c r="P846" s="39" t="n">
        <f aca="false">ROUND(O846/J846,2)</f>
        <v>8244.38</v>
      </c>
      <c r="Q846" s="19" t="s">
        <v>1167</v>
      </c>
      <c r="R846" s="22" t="s">
        <v>26</v>
      </c>
      <c r="S846" s="19" t="s">
        <v>29</v>
      </c>
      <c r="T846" s="19" t="s">
        <v>30</v>
      </c>
      <c r="U846" s="31" t="s">
        <v>31</v>
      </c>
      <c r="V846" s="41" t="n">
        <v>43432</v>
      </c>
      <c r="W846" s="18"/>
      <c r="X846" s="18"/>
    </row>
    <row r="847" s="32" customFormat="true" ht="13.8" hidden="false" customHeight="false" outlineLevel="0" collapsed="false">
      <c r="A847" s="18"/>
      <c r="B847" s="19" t="n">
        <v>5600</v>
      </c>
      <c r="C847" s="20" t="n">
        <v>43350</v>
      </c>
      <c r="D847" s="38" t="s">
        <v>22</v>
      </c>
      <c r="E847" s="22" t="s">
        <v>281</v>
      </c>
      <c r="F847" s="34" t="s">
        <v>282</v>
      </c>
      <c r="G847" s="19" t="s">
        <v>321</v>
      </c>
      <c r="H847" s="19" t="n">
        <v>11</v>
      </c>
      <c r="I847" s="19" t="n">
        <v>3</v>
      </c>
      <c r="J847" s="19" t="n">
        <v>44</v>
      </c>
      <c r="K847" s="39" t="n">
        <v>460000</v>
      </c>
      <c r="L847" s="39" t="n">
        <f aca="false">ROUND(K847/J847,2)</f>
        <v>10454.55</v>
      </c>
      <c r="M847" s="34" t="s">
        <v>1168</v>
      </c>
      <c r="N847" s="40"/>
      <c r="O847" s="30" t="n">
        <f aca="false">K847+N847</f>
        <v>460000</v>
      </c>
      <c r="P847" s="39" t="n">
        <f aca="false">ROUND(O847/J847,2)</f>
        <v>10454.55</v>
      </c>
      <c r="Q847" s="19" t="s">
        <v>701</v>
      </c>
      <c r="R847" s="22" t="n">
        <v>3</v>
      </c>
      <c r="S847" s="19" t="s">
        <v>29</v>
      </c>
      <c r="T847" s="19" t="s">
        <v>30</v>
      </c>
      <c r="U847" s="31" t="s">
        <v>31</v>
      </c>
      <c r="V847" s="41" t="n">
        <v>43432</v>
      </c>
      <c r="W847" s="18"/>
      <c r="X847" s="18"/>
    </row>
    <row r="848" s="32" customFormat="true" ht="13.8" hidden="false" customHeight="false" outlineLevel="0" collapsed="false">
      <c r="A848" s="18"/>
      <c r="B848" s="19" t="n">
        <v>8684</v>
      </c>
      <c r="C848" s="20" t="n">
        <v>43350</v>
      </c>
      <c r="D848" s="38" t="s">
        <v>22</v>
      </c>
      <c r="E848" s="22" t="s">
        <v>144</v>
      </c>
      <c r="F848" s="34" t="s">
        <v>854</v>
      </c>
      <c r="G848" s="19" t="n">
        <v>17</v>
      </c>
      <c r="H848" s="19" t="n">
        <v>1</v>
      </c>
      <c r="I848" s="19" t="n">
        <v>1</v>
      </c>
      <c r="J848" s="19" t="n">
        <v>32.8</v>
      </c>
      <c r="K848" s="39" t="n">
        <v>385000</v>
      </c>
      <c r="L848" s="39" t="n">
        <f aca="false">ROUND(K848/J848,2)</f>
        <v>11737.8</v>
      </c>
      <c r="M848" s="18"/>
      <c r="N848" s="40"/>
      <c r="O848" s="30" t="n">
        <f aca="false">K848+N848</f>
        <v>385000</v>
      </c>
      <c r="P848" s="39" t="n">
        <f aca="false">ROUND(O848/J848,2)</f>
        <v>11737.8</v>
      </c>
      <c r="Q848" s="19" t="s">
        <v>1169</v>
      </c>
      <c r="R848" s="22" t="s">
        <v>27</v>
      </c>
      <c r="S848" s="19" t="s">
        <v>29</v>
      </c>
      <c r="T848" s="19" t="s">
        <v>30</v>
      </c>
      <c r="U848" s="31" t="s">
        <v>31</v>
      </c>
      <c r="V848" s="41" t="n">
        <v>43432</v>
      </c>
      <c r="W848" s="18"/>
      <c r="X848" s="18"/>
    </row>
    <row r="849" customFormat="false" ht="13.8" hidden="false" customHeight="false" outlineLevel="0" collapsed="false">
      <c r="A849" s="18"/>
      <c r="B849" s="19" t="n">
        <v>625</v>
      </c>
      <c r="C849" s="20" t="n">
        <v>43350</v>
      </c>
      <c r="D849" s="38" t="s">
        <v>22</v>
      </c>
      <c r="E849" s="22" t="s">
        <v>201</v>
      </c>
      <c r="F849" s="34" t="s">
        <v>199</v>
      </c>
      <c r="G849" s="19" t="n">
        <v>18</v>
      </c>
      <c r="H849" s="19" t="n">
        <v>78</v>
      </c>
      <c r="I849" s="19" t="n">
        <v>13</v>
      </c>
      <c r="J849" s="19" t="n">
        <v>58.75</v>
      </c>
      <c r="K849" s="39" t="n">
        <v>417500</v>
      </c>
      <c r="L849" s="39" t="n">
        <f aca="false">K849/J849</f>
        <v>7106.3829787234</v>
      </c>
      <c r="M849" s="18"/>
      <c r="N849" s="40"/>
      <c r="O849" s="30" t="n">
        <f aca="false">K849+N849</f>
        <v>417500</v>
      </c>
      <c r="P849" s="39" t="n">
        <f aca="false">O849/J849</f>
        <v>7106.3829787234</v>
      </c>
      <c r="Q849" s="19" t="s">
        <v>861</v>
      </c>
      <c r="R849" s="22" t="s">
        <v>26</v>
      </c>
      <c r="S849" s="19" t="s">
        <v>29</v>
      </c>
      <c r="T849" s="19" t="s">
        <v>30</v>
      </c>
      <c r="U849" s="19" t="s">
        <v>31</v>
      </c>
      <c r="V849" s="41" t="n">
        <v>43514</v>
      </c>
      <c r="W849" s="34" t="s">
        <v>1170</v>
      </c>
      <c r="X849" s="18"/>
    </row>
    <row r="850" customFormat="false" ht="13.8" hidden="false" customHeight="false" outlineLevel="0" collapsed="false">
      <c r="A850" s="18"/>
      <c r="B850" s="19" t="n">
        <v>625</v>
      </c>
      <c r="C850" s="20" t="n">
        <v>43350</v>
      </c>
      <c r="D850" s="38" t="s">
        <v>22</v>
      </c>
      <c r="E850" s="22" t="s">
        <v>201</v>
      </c>
      <c r="F850" s="34" t="s">
        <v>199</v>
      </c>
      <c r="G850" s="19" t="n">
        <v>18</v>
      </c>
      <c r="H850" s="19" t="n">
        <v>78</v>
      </c>
      <c r="I850" s="19" t="n">
        <v>13</v>
      </c>
      <c r="J850" s="19" t="n">
        <v>58.75</v>
      </c>
      <c r="K850" s="39" t="n">
        <v>417500</v>
      </c>
      <c r="L850" s="39" t="n">
        <f aca="false">K850/J850</f>
        <v>7106.3829787234</v>
      </c>
      <c r="M850" s="18"/>
      <c r="N850" s="40"/>
      <c r="O850" s="30" t="n">
        <f aca="false">K850+N850</f>
        <v>417500</v>
      </c>
      <c r="P850" s="39" t="n">
        <f aca="false">O850/J850</f>
        <v>7106.3829787234</v>
      </c>
      <c r="Q850" s="19" t="s">
        <v>861</v>
      </c>
      <c r="R850" s="22" t="s">
        <v>26</v>
      </c>
      <c r="S850" s="19" t="s">
        <v>29</v>
      </c>
      <c r="T850" s="19" t="s">
        <v>30</v>
      </c>
      <c r="U850" s="19" t="s">
        <v>31</v>
      </c>
      <c r="V850" s="41" t="n">
        <v>43514</v>
      </c>
      <c r="W850" s="34" t="s">
        <v>1170</v>
      </c>
      <c r="X850" s="18"/>
    </row>
    <row r="851" customFormat="false" ht="13.8" hidden="false" customHeight="false" outlineLevel="0" collapsed="false">
      <c r="A851" s="18"/>
      <c r="B851" s="19" t="s">
        <v>887</v>
      </c>
      <c r="C851" s="20" t="n">
        <v>43350</v>
      </c>
      <c r="D851" s="38" t="s">
        <v>22</v>
      </c>
      <c r="E851" s="22" t="s">
        <v>281</v>
      </c>
      <c r="F851" s="45" t="s">
        <v>1171</v>
      </c>
      <c r="G851" s="19" t="s">
        <v>1172</v>
      </c>
      <c r="H851" s="19"/>
      <c r="I851" s="19" t="n">
        <v>3</v>
      </c>
      <c r="J851" s="25" t="n">
        <v>45</v>
      </c>
      <c r="K851" s="39" t="n">
        <v>465000</v>
      </c>
      <c r="L851" s="39" t="n">
        <f aca="false">K851/J851</f>
        <v>10333.3333333333</v>
      </c>
      <c r="M851" s="34" t="s">
        <v>1173</v>
      </c>
      <c r="N851" s="40"/>
      <c r="O851" s="30" t="n">
        <f aca="false">K851+N851</f>
        <v>465000</v>
      </c>
      <c r="P851" s="39" t="n">
        <f aca="false">O851/J851</f>
        <v>10333.3333333333</v>
      </c>
      <c r="Q851" s="19" t="s">
        <v>889</v>
      </c>
      <c r="R851" s="19" t="n">
        <v>3</v>
      </c>
      <c r="S851" s="19" t="s">
        <v>1141</v>
      </c>
      <c r="T851" s="19" t="n">
        <v>1</v>
      </c>
      <c r="U851" s="19" t="s">
        <v>31</v>
      </c>
      <c r="V851" s="41" t="n">
        <v>43727</v>
      </c>
      <c r="W851" s="18"/>
      <c r="X851" s="18"/>
    </row>
    <row r="852" customFormat="false" ht="13.8" hidden="false" customHeight="false" outlineLevel="0" collapsed="false">
      <c r="A852" s="18"/>
      <c r="B852" s="19" t="n">
        <v>3440</v>
      </c>
      <c r="C852" s="20" t="n">
        <v>43350</v>
      </c>
      <c r="D852" s="38" t="s">
        <v>22</v>
      </c>
      <c r="E852" s="22" t="s">
        <v>65</v>
      </c>
      <c r="F852" s="34" t="s">
        <v>1174</v>
      </c>
      <c r="G852" s="19" t="n">
        <v>1</v>
      </c>
      <c r="H852" s="19" t="n">
        <v>282</v>
      </c>
      <c r="I852" s="19" t="n">
        <v>5</v>
      </c>
      <c r="J852" s="19" t="n">
        <v>56.2</v>
      </c>
      <c r="K852" s="39" t="n">
        <v>390000</v>
      </c>
      <c r="L852" s="39" t="n">
        <f aca="false">ROUND(K852/J852,2)</f>
        <v>6939.5</v>
      </c>
      <c r="M852" s="34" t="s">
        <v>1158</v>
      </c>
      <c r="N852" s="40"/>
      <c r="O852" s="30" t="n">
        <f aca="false">K852+N852</f>
        <v>390000</v>
      </c>
      <c r="P852" s="39" t="n">
        <f aca="false">ROUND(O852/J852,2)</f>
        <v>6939.5</v>
      </c>
      <c r="Q852" s="19" t="s">
        <v>1144</v>
      </c>
      <c r="R852" s="22" t="n">
        <v>4</v>
      </c>
      <c r="S852" s="19" t="s">
        <v>29</v>
      </c>
      <c r="T852" s="19" t="s">
        <v>30</v>
      </c>
      <c r="U852" s="31" t="s">
        <v>31</v>
      </c>
      <c r="V852" s="41" t="n">
        <v>43432</v>
      </c>
      <c r="W852" s="18"/>
      <c r="X852" s="18"/>
      <c r="AMJ852" s="32"/>
    </row>
    <row r="853" s="32" customFormat="true" ht="13.8" hidden="false" customHeight="false" outlineLevel="0" collapsed="false">
      <c r="A853" s="18"/>
      <c r="B853" s="19" t="n">
        <v>6092</v>
      </c>
      <c r="C853" s="20" t="n">
        <v>43350</v>
      </c>
      <c r="D853" s="38" t="s">
        <v>22</v>
      </c>
      <c r="E853" s="22" t="s">
        <v>23</v>
      </c>
      <c r="F853" s="34" t="s">
        <v>387</v>
      </c>
      <c r="G853" s="19" t="s">
        <v>1175</v>
      </c>
      <c r="H853" s="19" t="n">
        <v>17</v>
      </c>
      <c r="I853" s="19" t="n">
        <v>1</v>
      </c>
      <c r="J853" s="19" t="n">
        <v>44.73</v>
      </c>
      <c r="K853" s="39" t="n">
        <v>400000</v>
      </c>
      <c r="L853" s="39" t="n">
        <f aca="false">ROUND(K853/J853,2)</f>
        <v>8942.54</v>
      </c>
      <c r="M853" s="34" t="s">
        <v>189</v>
      </c>
      <c r="N853" s="40"/>
      <c r="O853" s="30" t="n">
        <f aca="false">K853+N853</f>
        <v>400000</v>
      </c>
      <c r="P853" s="39" t="n">
        <f aca="false">ROUND(O853/J853,2)</f>
        <v>8942.54</v>
      </c>
      <c r="Q853" s="19" t="s">
        <v>925</v>
      </c>
      <c r="R853" s="22" t="s">
        <v>26</v>
      </c>
      <c r="S853" s="19" t="s">
        <v>29</v>
      </c>
      <c r="T853" s="19" t="s">
        <v>30</v>
      </c>
      <c r="U853" s="31" t="s">
        <v>31</v>
      </c>
      <c r="V853" s="41" t="n">
        <v>43432</v>
      </c>
      <c r="W853" s="18"/>
      <c r="X853" s="18"/>
    </row>
    <row r="854" customFormat="false" ht="13.8" hidden="false" customHeight="false" outlineLevel="0" collapsed="false">
      <c r="A854" s="18"/>
      <c r="B854" s="19" t="n">
        <v>2760</v>
      </c>
      <c r="C854" s="20" t="n">
        <v>43350</v>
      </c>
      <c r="D854" s="38" t="s">
        <v>22</v>
      </c>
      <c r="E854" s="22" t="s">
        <v>399</v>
      </c>
      <c r="F854" s="34" t="s">
        <v>503</v>
      </c>
      <c r="G854" s="19" t="n">
        <v>6</v>
      </c>
      <c r="H854" s="19" t="n">
        <v>15</v>
      </c>
      <c r="I854" s="19" t="n">
        <v>5</v>
      </c>
      <c r="J854" s="19" t="n">
        <v>79.93</v>
      </c>
      <c r="K854" s="39" t="n">
        <v>785000</v>
      </c>
      <c r="L854" s="39" t="n">
        <f aca="false">ROUND(K854/J854,2)</f>
        <v>9821.09</v>
      </c>
      <c r="M854" s="34" t="s">
        <v>1176</v>
      </c>
      <c r="N854" s="40" t="n">
        <v>30000</v>
      </c>
      <c r="O854" s="30" t="n">
        <f aca="false">K854+N854</f>
        <v>815000</v>
      </c>
      <c r="P854" s="39" t="n">
        <f aca="false">ROUND(O854/J854,2)</f>
        <v>10196.42</v>
      </c>
      <c r="Q854" s="19" t="s">
        <v>1177</v>
      </c>
      <c r="R854" s="22" t="n">
        <v>4</v>
      </c>
      <c r="S854" s="19" t="s">
        <v>29</v>
      </c>
      <c r="T854" s="19" t="s">
        <v>30</v>
      </c>
      <c r="U854" s="31" t="s">
        <v>31</v>
      </c>
      <c r="V854" s="41" t="n">
        <v>43432</v>
      </c>
      <c r="W854" s="18"/>
      <c r="X854" s="18"/>
    </row>
    <row r="855" customFormat="false" ht="13.8" hidden="false" customHeight="false" outlineLevel="0" collapsed="false">
      <c r="A855" s="18"/>
      <c r="B855" s="19" t="s">
        <v>887</v>
      </c>
      <c r="C855" s="20" t="n">
        <v>43353</v>
      </c>
      <c r="D855" s="38" t="s">
        <v>22</v>
      </c>
      <c r="E855" s="22" t="s">
        <v>934</v>
      </c>
      <c r="F855" s="45" t="s">
        <v>1178</v>
      </c>
      <c r="G855" s="19" t="n">
        <v>18</v>
      </c>
      <c r="H855" s="19"/>
      <c r="I855" s="19" t="n">
        <v>13</v>
      </c>
      <c r="J855" s="25" t="n">
        <v>36.3</v>
      </c>
      <c r="K855" s="39" t="n">
        <v>378000</v>
      </c>
      <c r="L855" s="39" t="n">
        <f aca="false">K855/J855</f>
        <v>10413.2231404959</v>
      </c>
      <c r="M855" s="34" t="s">
        <v>1140</v>
      </c>
      <c r="N855" s="40"/>
      <c r="O855" s="30" t="n">
        <f aca="false">K855+N855</f>
        <v>378000</v>
      </c>
      <c r="P855" s="39" t="n">
        <f aca="false">O855/J855</f>
        <v>10413.2231404959</v>
      </c>
      <c r="Q855" s="19" t="s">
        <v>889</v>
      </c>
      <c r="R855" s="19" t="n">
        <v>4</v>
      </c>
      <c r="S855" s="19" t="s">
        <v>1141</v>
      </c>
      <c r="T855" s="19"/>
      <c r="U855" s="19" t="s">
        <v>31</v>
      </c>
      <c r="V855" s="41" t="n">
        <v>43727</v>
      </c>
      <c r="W855" s="18"/>
      <c r="X855" s="18"/>
    </row>
    <row r="856" customFormat="false" ht="13.8" hidden="false" customHeight="false" outlineLevel="0" collapsed="false">
      <c r="A856" s="18"/>
      <c r="B856" s="19" t="n">
        <v>5433</v>
      </c>
      <c r="C856" s="20" t="n">
        <v>43353</v>
      </c>
      <c r="D856" s="38" t="s">
        <v>22</v>
      </c>
      <c r="E856" s="22" t="s">
        <v>212</v>
      </c>
      <c r="F856" s="34" t="s">
        <v>955</v>
      </c>
      <c r="G856" s="19" t="s">
        <v>848</v>
      </c>
      <c r="H856" s="19" t="n">
        <v>60</v>
      </c>
      <c r="I856" s="19" t="n">
        <v>11</v>
      </c>
      <c r="J856" s="19" t="n">
        <v>57.1</v>
      </c>
      <c r="K856" s="39" t="n">
        <v>445000</v>
      </c>
      <c r="L856" s="39" t="n">
        <f aca="false">ROUND(K856/J856,2)</f>
        <v>7793.35</v>
      </c>
      <c r="M856" s="34" t="s">
        <v>1179</v>
      </c>
      <c r="N856" s="40"/>
      <c r="O856" s="30" t="n">
        <f aca="false">K856+N856</f>
        <v>445000</v>
      </c>
      <c r="P856" s="39" t="n">
        <f aca="false">ROUND(O856/J856,2)</f>
        <v>7793.35</v>
      </c>
      <c r="Q856" s="19" t="s">
        <v>1144</v>
      </c>
      <c r="R856" s="22" t="n">
        <v>4</v>
      </c>
      <c r="S856" s="19" t="s">
        <v>29</v>
      </c>
      <c r="T856" s="19" t="s">
        <v>30</v>
      </c>
      <c r="U856" s="31" t="s">
        <v>31</v>
      </c>
      <c r="V856" s="41" t="n">
        <v>43432</v>
      </c>
      <c r="W856" s="18"/>
      <c r="X856" s="18"/>
    </row>
    <row r="857" customFormat="false" ht="13.8" hidden="false" customHeight="false" outlineLevel="0" collapsed="false">
      <c r="A857" s="18"/>
      <c r="B857" s="19" t="n">
        <v>3865</v>
      </c>
      <c r="C857" s="20" t="n">
        <v>43353</v>
      </c>
      <c r="D857" s="38" t="s">
        <v>22</v>
      </c>
      <c r="E857" s="22" t="s">
        <v>187</v>
      </c>
      <c r="F857" s="34" t="s">
        <v>429</v>
      </c>
      <c r="G857" s="19" t="s">
        <v>1180</v>
      </c>
      <c r="H857" s="19" t="n">
        <v>49</v>
      </c>
      <c r="I857" s="19" t="n">
        <v>4</v>
      </c>
      <c r="J857" s="19" t="n">
        <v>25.92</v>
      </c>
      <c r="K857" s="39" t="n">
        <v>300000</v>
      </c>
      <c r="L857" s="39" t="n">
        <f aca="false">K857/J857</f>
        <v>11574.0740740741</v>
      </c>
      <c r="M857" s="34"/>
      <c r="N857" s="40"/>
      <c r="O857" s="30" t="n">
        <f aca="false">K857+N857</f>
        <v>300000</v>
      </c>
      <c r="P857" s="39" t="n">
        <f aca="false">O857/J857</f>
        <v>11574.0740740741</v>
      </c>
      <c r="Q857" s="19" t="s">
        <v>1181</v>
      </c>
      <c r="R857" s="22" t="s">
        <v>27</v>
      </c>
      <c r="S857" s="19" t="s">
        <v>29</v>
      </c>
      <c r="T857" s="19" t="s">
        <v>30</v>
      </c>
      <c r="U857" s="19" t="s">
        <v>31</v>
      </c>
      <c r="V857" s="41" t="n">
        <v>43514</v>
      </c>
      <c r="W857" s="34" t="s">
        <v>1182</v>
      </c>
      <c r="X857" s="18"/>
      <c r="Y857" s="35"/>
      <c r="Z857" s="36"/>
    </row>
    <row r="858" customFormat="false" ht="13.8" hidden="false" customHeight="false" outlineLevel="0" collapsed="false">
      <c r="A858" s="18"/>
      <c r="B858" s="19" t="n">
        <v>3865</v>
      </c>
      <c r="C858" s="20" t="n">
        <v>43353</v>
      </c>
      <c r="D858" s="38" t="s">
        <v>22</v>
      </c>
      <c r="E858" s="22" t="s">
        <v>187</v>
      </c>
      <c r="F858" s="34" t="s">
        <v>429</v>
      </c>
      <c r="G858" s="19" t="s">
        <v>1180</v>
      </c>
      <c r="H858" s="19" t="n">
        <v>49</v>
      </c>
      <c r="I858" s="19" t="n">
        <v>4</v>
      </c>
      <c r="J858" s="19" t="n">
        <v>25.92</v>
      </c>
      <c r="K858" s="39" t="n">
        <v>300000</v>
      </c>
      <c r="L858" s="39" t="n">
        <f aca="false">K858/J858</f>
        <v>11574.0740740741</v>
      </c>
      <c r="M858" s="34"/>
      <c r="N858" s="40"/>
      <c r="O858" s="30" t="n">
        <f aca="false">K858+N858</f>
        <v>300000</v>
      </c>
      <c r="P858" s="39" t="n">
        <f aca="false">O858/J858</f>
        <v>11574.0740740741</v>
      </c>
      <c r="Q858" s="19" t="s">
        <v>1181</v>
      </c>
      <c r="R858" s="22" t="s">
        <v>27</v>
      </c>
      <c r="S858" s="19" t="s">
        <v>29</v>
      </c>
      <c r="T858" s="19" t="s">
        <v>30</v>
      </c>
      <c r="U858" s="19" t="s">
        <v>31</v>
      </c>
      <c r="V858" s="41" t="n">
        <v>43514</v>
      </c>
      <c r="W858" s="34" t="s">
        <v>1182</v>
      </c>
      <c r="X858" s="18"/>
    </row>
    <row r="859" customFormat="false" ht="13.8" hidden="false" customHeight="false" outlineLevel="0" collapsed="false">
      <c r="A859" s="18"/>
      <c r="B859" s="19" t="n">
        <v>14071</v>
      </c>
      <c r="C859" s="20" t="n">
        <v>43353</v>
      </c>
      <c r="D859" s="38" t="s">
        <v>22</v>
      </c>
      <c r="E859" s="22" t="s">
        <v>190</v>
      </c>
      <c r="F859" s="34" t="s">
        <v>225</v>
      </c>
      <c r="G859" s="19" t="n">
        <v>10</v>
      </c>
      <c r="H859" s="19" t="n">
        <v>12</v>
      </c>
      <c r="I859" s="19" t="n">
        <v>2</v>
      </c>
      <c r="J859" s="19" t="n">
        <v>37.4</v>
      </c>
      <c r="K859" s="39" t="n">
        <v>296000</v>
      </c>
      <c r="L859" s="39" t="n">
        <f aca="false">ROUND(K859/J859,2)</f>
        <v>7914.44</v>
      </c>
      <c r="M859" s="34"/>
      <c r="N859" s="40"/>
      <c r="O859" s="30" t="n">
        <f aca="false">K859+N859</f>
        <v>296000</v>
      </c>
      <c r="P859" s="39" t="n">
        <f aca="false">ROUND(O859/J859,2)</f>
        <v>7914.44</v>
      </c>
      <c r="Q859" s="19" t="s">
        <v>1166</v>
      </c>
      <c r="R859" s="22" t="n">
        <v>2</v>
      </c>
      <c r="S859" s="19" t="s">
        <v>29</v>
      </c>
      <c r="T859" s="19" t="s">
        <v>30</v>
      </c>
      <c r="U859" s="31" t="s">
        <v>31</v>
      </c>
      <c r="V859" s="41" t="n">
        <v>43432</v>
      </c>
      <c r="W859" s="34"/>
      <c r="X859" s="34"/>
    </row>
    <row r="860" customFormat="false" ht="13.8" hidden="false" customHeight="false" outlineLevel="0" collapsed="false">
      <c r="A860" s="18"/>
      <c r="B860" s="19" t="n">
        <v>5166</v>
      </c>
      <c r="C860" s="20" t="n">
        <v>43353</v>
      </c>
      <c r="D860" s="38" t="s">
        <v>22</v>
      </c>
      <c r="E860" s="22" t="s">
        <v>265</v>
      </c>
      <c r="F860" s="34" t="s">
        <v>152</v>
      </c>
      <c r="G860" s="19" t="n">
        <v>47</v>
      </c>
      <c r="H860" s="19" t="n">
        <v>22</v>
      </c>
      <c r="I860" s="19" t="n">
        <v>4</v>
      </c>
      <c r="J860" s="19" t="n">
        <v>43.19</v>
      </c>
      <c r="K860" s="39" t="n">
        <v>380000</v>
      </c>
      <c r="L860" s="39" t="n">
        <f aca="false">ROUND(K860/J860,2)</f>
        <v>8798.33</v>
      </c>
      <c r="M860" s="18"/>
      <c r="N860" s="40"/>
      <c r="O860" s="30" t="n">
        <f aca="false">K860+N860</f>
        <v>380000</v>
      </c>
      <c r="P860" s="39" t="n">
        <f aca="false">ROUND(O860/J860,2)</f>
        <v>8798.33</v>
      </c>
      <c r="Q860" s="19" t="s">
        <v>701</v>
      </c>
      <c r="R860" s="22" t="n">
        <v>3</v>
      </c>
      <c r="S860" s="19" t="s">
        <v>29</v>
      </c>
      <c r="T860" s="19" t="s">
        <v>30</v>
      </c>
      <c r="U860" s="31" t="s">
        <v>31</v>
      </c>
      <c r="V860" s="41" t="n">
        <v>43432</v>
      </c>
      <c r="W860" s="18"/>
      <c r="X860" s="18"/>
    </row>
    <row r="861" customFormat="false" ht="13.8" hidden="false" customHeight="false" outlineLevel="0" collapsed="false">
      <c r="A861" s="18"/>
      <c r="B861" s="19" t="n">
        <v>1664</v>
      </c>
      <c r="C861" s="20" t="n">
        <v>43354</v>
      </c>
      <c r="D861" s="38" t="s">
        <v>22</v>
      </c>
      <c r="E861" s="22" t="s">
        <v>140</v>
      </c>
      <c r="F861" s="34" t="s">
        <v>138</v>
      </c>
      <c r="G861" s="19" t="s">
        <v>818</v>
      </c>
      <c r="H861" s="19" t="n">
        <v>79</v>
      </c>
      <c r="I861" s="19" t="n">
        <v>6</v>
      </c>
      <c r="J861" s="19" t="n">
        <v>51.94</v>
      </c>
      <c r="K861" s="39" t="n">
        <v>540000</v>
      </c>
      <c r="L861" s="39" t="n">
        <f aca="false">ROUND(K861/J861,2)</f>
        <v>10396.61</v>
      </c>
      <c r="M861" s="34" t="s">
        <v>1183</v>
      </c>
      <c r="N861" s="40"/>
      <c r="O861" s="30" t="n">
        <f aca="false">K861+N861</f>
        <v>540000</v>
      </c>
      <c r="P861" s="39" t="n">
        <f aca="false">ROUND(O861/J861,2)</f>
        <v>10396.61</v>
      </c>
      <c r="Q861" s="19" t="s">
        <v>701</v>
      </c>
      <c r="R861" s="22" t="n">
        <v>3</v>
      </c>
      <c r="S861" s="19" t="s">
        <v>29</v>
      </c>
      <c r="T861" s="19" t="s">
        <v>30</v>
      </c>
      <c r="U861" s="31" t="s">
        <v>31</v>
      </c>
      <c r="V861" s="41" t="n">
        <v>43432</v>
      </c>
      <c r="W861" s="34"/>
      <c r="X861" s="34"/>
    </row>
    <row r="862" customFormat="false" ht="13.8" hidden="false" customHeight="false" outlineLevel="0" collapsed="false">
      <c r="A862" s="18"/>
      <c r="B862" s="19" t="n">
        <v>16309</v>
      </c>
      <c r="C862" s="20" t="n">
        <v>43354</v>
      </c>
      <c r="D862" s="38" t="s">
        <v>22</v>
      </c>
      <c r="E862" s="22" t="s">
        <v>137</v>
      </c>
      <c r="F862" s="34" t="s">
        <v>1184</v>
      </c>
      <c r="G862" s="19" t="n">
        <v>9</v>
      </c>
      <c r="H862" s="19" t="n">
        <v>38</v>
      </c>
      <c r="I862" s="19" t="n">
        <v>3</v>
      </c>
      <c r="J862" s="19" t="n">
        <v>90.91</v>
      </c>
      <c r="K862" s="39" t="n">
        <v>1000000</v>
      </c>
      <c r="L862" s="39" t="n">
        <f aca="false">ROUND(K862/J862,2)</f>
        <v>10999.89</v>
      </c>
      <c r="M862" s="34"/>
      <c r="N862" s="40"/>
      <c r="O862" s="30" t="n">
        <f aca="false">K862+N862</f>
        <v>1000000</v>
      </c>
      <c r="P862" s="39" t="n">
        <f aca="false">ROUND(O862/J862,2)</f>
        <v>10999.89</v>
      </c>
      <c r="Q862" s="19" t="s">
        <v>1185</v>
      </c>
      <c r="R862" s="22" t="s">
        <v>49</v>
      </c>
      <c r="S862" s="19" t="s">
        <v>29</v>
      </c>
      <c r="T862" s="19" t="s">
        <v>30</v>
      </c>
      <c r="U862" s="31" t="s">
        <v>31</v>
      </c>
      <c r="V862" s="41" t="n">
        <v>43432</v>
      </c>
      <c r="W862" s="34"/>
      <c r="X862" s="34"/>
    </row>
    <row r="863" customFormat="false" ht="13.8" hidden="false" customHeight="false" outlineLevel="0" collapsed="false">
      <c r="A863" s="18"/>
      <c r="B863" s="19" t="n">
        <v>2556</v>
      </c>
      <c r="C863" s="20" t="n">
        <v>43354</v>
      </c>
      <c r="D863" s="38" t="s">
        <v>22</v>
      </c>
      <c r="E863" s="22" t="s">
        <v>235</v>
      </c>
      <c r="F863" s="34" t="s">
        <v>236</v>
      </c>
      <c r="G863" s="19" t="s">
        <v>384</v>
      </c>
      <c r="H863" s="19" t="n">
        <v>23</v>
      </c>
      <c r="I863" s="19" t="n">
        <v>4</v>
      </c>
      <c r="J863" s="19" t="n">
        <v>64</v>
      </c>
      <c r="K863" s="39" t="n">
        <v>540000</v>
      </c>
      <c r="L863" s="39" t="n">
        <f aca="false">ROUND(K863/J863,2)</f>
        <v>8437.5</v>
      </c>
      <c r="M863" s="34"/>
      <c r="N863" s="40"/>
      <c r="O863" s="30" t="n">
        <f aca="false">K863+N863</f>
        <v>540000</v>
      </c>
      <c r="P863" s="39" t="n">
        <f aca="false">ROUND(O863/J863,2)</f>
        <v>8437.5</v>
      </c>
      <c r="Q863" s="19" t="s">
        <v>1186</v>
      </c>
      <c r="R863" s="22" t="n">
        <v>3</v>
      </c>
      <c r="S863" s="19" t="s">
        <v>29</v>
      </c>
      <c r="T863" s="19" t="s">
        <v>30</v>
      </c>
      <c r="U863" s="31" t="s">
        <v>31</v>
      </c>
      <c r="V863" s="41" t="n">
        <v>43432</v>
      </c>
      <c r="W863" s="34"/>
      <c r="X863" s="34"/>
    </row>
    <row r="864" customFormat="false" ht="13.8" hidden="false" customHeight="false" outlineLevel="0" collapsed="false">
      <c r="A864" s="18"/>
      <c r="B864" s="19" t="n">
        <v>1122</v>
      </c>
      <c r="C864" s="20" t="n">
        <v>43354</v>
      </c>
      <c r="D864" s="38" t="s">
        <v>22</v>
      </c>
      <c r="E864" s="22" t="s">
        <v>42</v>
      </c>
      <c r="F864" s="34" t="s">
        <v>1187</v>
      </c>
      <c r="G864" s="19" t="n">
        <v>15</v>
      </c>
      <c r="H864" s="19" t="n">
        <v>47</v>
      </c>
      <c r="I864" s="19" t="n">
        <v>6</v>
      </c>
      <c r="J864" s="19" t="n">
        <v>35.9</v>
      </c>
      <c r="K864" s="39" t="n">
        <v>320000</v>
      </c>
      <c r="L864" s="39" t="n">
        <f aca="false">ROUND(K864/J864,2)</f>
        <v>8913.65</v>
      </c>
      <c r="M864" s="34" t="s">
        <v>1158</v>
      </c>
      <c r="N864" s="40"/>
      <c r="O864" s="30" t="n">
        <f aca="false">K864+N864</f>
        <v>320000</v>
      </c>
      <c r="P864" s="39" t="n">
        <f aca="false">ROUND(O864/J864,2)</f>
        <v>8913.65</v>
      </c>
      <c r="Q864" s="19" t="s">
        <v>701</v>
      </c>
      <c r="R864" s="22" t="n">
        <v>3</v>
      </c>
      <c r="S864" s="19" t="s">
        <v>29</v>
      </c>
      <c r="T864" s="19" t="s">
        <v>30</v>
      </c>
      <c r="U864" s="31" t="s">
        <v>31</v>
      </c>
      <c r="V864" s="41" t="n">
        <v>43432</v>
      </c>
      <c r="W864" s="18"/>
      <c r="X864" s="18"/>
    </row>
    <row r="865" customFormat="false" ht="13.8" hidden="false" customHeight="false" outlineLevel="0" collapsed="false">
      <c r="A865" s="18"/>
      <c r="B865" s="19" t="n">
        <v>8098</v>
      </c>
      <c r="C865" s="20" t="n">
        <v>43354</v>
      </c>
      <c r="D865" s="38" t="s">
        <v>22</v>
      </c>
      <c r="E865" s="22" t="s">
        <v>327</v>
      </c>
      <c r="F865" s="34" t="s">
        <v>1188</v>
      </c>
      <c r="G865" s="19" t="n">
        <v>3</v>
      </c>
      <c r="H865" s="19" t="n">
        <v>9</v>
      </c>
      <c r="I865" s="19" t="n">
        <v>4</v>
      </c>
      <c r="J865" s="19" t="n">
        <v>156.7</v>
      </c>
      <c r="K865" s="39" t="n">
        <v>2250000</v>
      </c>
      <c r="L865" s="39" t="n">
        <f aca="false">ROUND(K865/J865,2)</f>
        <v>14358.65</v>
      </c>
      <c r="M865" s="34" t="s">
        <v>1021</v>
      </c>
      <c r="N865" s="40"/>
      <c r="O865" s="30" t="n">
        <f aca="false">K865+N865</f>
        <v>2250000</v>
      </c>
      <c r="P865" s="39" t="n">
        <f aca="false">ROUND(O865/J865,2)</f>
        <v>14358.65</v>
      </c>
      <c r="Q865" s="19" t="s">
        <v>1189</v>
      </c>
      <c r="R865" s="22" t="s">
        <v>25</v>
      </c>
      <c r="S865" s="19" t="s">
        <v>29</v>
      </c>
      <c r="T865" s="19" t="s">
        <v>30</v>
      </c>
      <c r="U865" s="31" t="s">
        <v>31</v>
      </c>
      <c r="V865" s="41" t="n">
        <v>43432</v>
      </c>
      <c r="W865" s="18"/>
      <c r="X865" s="18"/>
    </row>
    <row r="866" customFormat="false" ht="13.8" hidden="false" customHeight="false" outlineLevel="0" collapsed="false">
      <c r="A866" s="18"/>
      <c r="B866" s="19" t="n">
        <v>26250</v>
      </c>
      <c r="C866" s="20" t="n">
        <v>43354</v>
      </c>
      <c r="D866" s="38" t="s">
        <v>22</v>
      </c>
      <c r="E866" s="22" t="s">
        <v>343</v>
      </c>
      <c r="F866" s="34" t="s">
        <v>1190</v>
      </c>
      <c r="G866" s="19" t="n">
        <v>29</v>
      </c>
      <c r="H866" s="19" t="n">
        <v>16</v>
      </c>
      <c r="I866" s="19" t="n">
        <v>2</v>
      </c>
      <c r="J866" s="19" t="n">
        <v>47.3</v>
      </c>
      <c r="K866" s="39" t="n">
        <v>354000</v>
      </c>
      <c r="L866" s="39" t="n">
        <f aca="false">ROUND(K866/J866,2)</f>
        <v>7484.14</v>
      </c>
      <c r="M866" s="34" t="s">
        <v>1191</v>
      </c>
      <c r="N866" s="40" t="n">
        <v>4000</v>
      </c>
      <c r="O866" s="30" t="n">
        <f aca="false">K866+N866</f>
        <v>358000</v>
      </c>
      <c r="P866" s="39" t="n">
        <f aca="false">ROUND(O866/J866,2)</f>
        <v>7568.71</v>
      </c>
      <c r="Q866" s="19" t="s">
        <v>701</v>
      </c>
      <c r="R866" s="22" t="n">
        <v>3</v>
      </c>
      <c r="S866" s="19" t="s">
        <v>29</v>
      </c>
      <c r="T866" s="19" t="s">
        <v>30</v>
      </c>
      <c r="U866" s="31" t="s">
        <v>31</v>
      </c>
      <c r="V866" s="41" t="n">
        <v>43432</v>
      </c>
      <c r="W866" s="18"/>
      <c r="X866" s="18"/>
    </row>
    <row r="867" customFormat="false" ht="13.8" hidden="false" customHeight="false" outlineLevel="0" collapsed="false">
      <c r="A867" s="18"/>
      <c r="B867" s="19" t="n">
        <v>7019</v>
      </c>
      <c r="C867" s="20" t="n">
        <v>43354</v>
      </c>
      <c r="D867" s="38" t="s">
        <v>22</v>
      </c>
      <c r="E867" s="22" t="s">
        <v>882</v>
      </c>
      <c r="F867" s="34" t="s">
        <v>1192</v>
      </c>
      <c r="G867" s="19" t="s">
        <v>752</v>
      </c>
      <c r="H867" s="19" t="n">
        <v>11</v>
      </c>
      <c r="I867" s="19" t="n">
        <v>3</v>
      </c>
      <c r="J867" s="19" t="n">
        <v>58.41</v>
      </c>
      <c r="K867" s="39" t="n">
        <v>660000</v>
      </c>
      <c r="L867" s="39" t="n">
        <f aca="false">ROUND(K867/J867,2)</f>
        <v>11299.44</v>
      </c>
      <c r="M867" s="34" t="s">
        <v>987</v>
      </c>
      <c r="N867" s="40"/>
      <c r="O867" s="30" t="n">
        <f aca="false">K867+N867</f>
        <v>660000</v>
      </c>
      <c r="P867" s="39" t="n">
        <f aca="false">ROUND(O867/J867,2)</f>
        <v>11299.44</v>
      </c>
      <c r="Q867" s="19" t="s">
        <v>1193</v>
      </c>
      <c r="R867" s="22" t="n">
        <v>3</v>
      </c>
      <c r="S867" s="19" t="s">
        <v>29</v>
      </c>
      <c r="T867" s="19" t="s">
        <v>30</v>
      </c>
      <c r="U867" s="31" t="s">
        <v>31</v>
      </c>
      <c r="V867" s="41" t="n">
        <v>43432</v>
      </c>
      <c r="W867" s="34"/>
      <c r="X867" s="34"/>
      <c r="Y867" s="35"/>
      <c r="Z867" s="43"/>
    </row>
    <row r="868" customFormat="false" ht="13.8" hidden="false" customHeight="false" outlineLevel="0" collapsed="false">
      <c r="A868" s="18"/>
      <c r="B868" s="19" t="s">
        <v>887</v>
      </c>
      <c r="C868" s="20" t="n">
        <v>43355</v>
      </c>
      <c r="D868" s="38" t="s">
        <v>22</v>
      </c>
      <c r="E868" s="22" t="s">
        <v>281</v>
      </c>
      <c r="F868" s="45" t="s">
        <v>1194</v>
      </c>
      <c r="G868" s="19" t="s">
        <v>1195</v>
      </c>
      <c r="H868" s="19"/>
      <c r="I868" s="19" t="n">
        <v>2</v>
      </c>
      <c r="J868" s="25" t="n">
        <v>57</v>
      </c>
      <c r="K868" s="39" t="n">
        <v>600000</v>
      </c>
      <c r="L868" s="39" t="n">
        <f aca="false">K868/J868</f>
        <v>10526.3157894737</v>
      </c>
      <c r="M868" s="34" t="s">
        <v>1173</v>
      </c>
      <c r="N868" s="40"/>
      <c r="O868" s="30" t="n">
        <f aca="false">K868+N868</f>
        <v>600000</v>
      </c>
      <c r="P868" s="39" t="n">
        <f aca="false">O868/J868</f>
        <v>10526.3157894737</v>
      </c>
      <c r="Q868" s="19" t="s">
        <v>889</v>
      </c>
      <c r="R868" s="19" t="n">
        <v>4</v>
      </c>
      <c r="S868" s="19" t="s">
        <v>1141</v>
      </c>
      <c r="T868" s="19"/>
      <c r="U868" s="19" t="s">
        <v>31</v>
      </c>
      <c r="V868" s="41" t="n">
        <v>43727</v>
      </c>
      <c r="W868" s="18"/>
      <c r="X868" s="18"/>
    </row>
    <row r="869" customFormat="false" ht="13.8" hidden="false" customHeight="false" outlineLevel="0" collapsed="false">
      <c r="A869" s="18"/>
      <c r="B869" s="19" t="n">
        <v>9983</v>
      </c>
      <c r="C869" s="20" t="n">
        <v>43355</v>
      </c>
      <c r="D869" s="38" t="s">
        <v>22</v>
      </c>
      <c r="E869" s="22" t="s">
        <v>75</v>
      </c>
      <c r="F869" s="34" t="s">
        <v>76</v>
      </c>
      <c r="G869" s="19" t="n">
        <v>87</v>
      </c>
      <c r="H869" s="19" t="n">
        <v>1</v>
      </c>
      <c r="I869" s="19" t="n">
        <v>1</v>
      </c>
      <c r="J869" s="19" t="n">
        <v>99.2</v>
      </c>
      <c r="K869" s="39" t="n">
        <v>1098000</v>
      </c>
      <c r="L869" s="39" t="n">
        <f aca="false">ROUND(K869/J869,2)</f>
        <v>11068.55</v>
      </c>
      <c r="M869" s="34" t="s">
        <v>1196</v>
      </c>
      <c r="N869" s="40" t="n">
        <f aca="false">2*31000</f>
        <v>62000</v>
      </c>
      <c r="O869" s="30" t="n">
        <f aca="false">K869+N869</f>
        <v>1160000</v>
      </c>
      <c r="P869" s="39" t="n">
        <f aca="false">ROUND(O869/J869,2)</f>
        <v>11693.55</v>
      </c>
      <c r="Q869" s="19" t="s">
        <v>1197</v>
      </c>
      <c r="R869" s="22" t="n">
        <v>3</v>
      </c>
      <c r="S869" s="19" t="s">
        <v>29</v>
      </c>
      <c r="T869" s="19" t="s">
        <v>30</v>
      </c>
      <c r="U869" s="31" t="s">
        <v>31</v>
      </c>
      <c r="V869" s="41" t="n">
        <v>43432</v>
      </c>
      <c r="W869" s="18"/>
      <c r="X869" s="18"/>
    </row>
    <row r="870" customFormat="false" ht="13.8" hidden="false" customHeight="false" outlineLevel="0" collapsed="false">
      <c r="A870" s="18"/>
      <c r="B870" s="19" t="n">
        <v>4325</v>
      </c>
      <c r="C870" s="20" t="n">
        <v>43355</v>
      </c>
      <c r="D870" s="38" t="s">
        <v>22</v>
      </c>
      <c r="E870" s="22" t="s">
        <v>378</v>
      </c>
      <c r="F870" s="34" t="s">
        <v>402</v>
      </c>
      <c r="G870" s="19" t="n">
        <v>10</v>
      </c>
      <c r="H870" s="19" t="n">
        <v>5</v>
      </c>
      <c r="I870" s="19" t="n">
        <v>2</v>
      </c>
      <c r="J870" s="19" t="n">
        <v>31</v>
      </c>
      <c r="K870" s="39" t="n">
        <v>300000</v>
      </c>
      <c r="L870" s="39" t="n">
        <f aca="false">ROUND(K870/J870,2)</f>
        <v>9677.42</v>
      </c>
      <c r="M870" s="34" t="s">
        <v>1158</v>
      </c>
      <c r="N870" s="40"/>
      <c r="O870" s="30" t="n">
        <f aca="false">K870+N870</f>
        <v>300000</v>
      </c>
      <c r="P870" s="39" t="n">
        <f aca="false">ROUND(O870/J870,2)</f>
        <v>9677.42</v>
      </c>
      <c r="Q870" s="19" t="s">
        <v>1166</v>
      </c>
      <c r="R870" s="22" t="n">
        <v>2</v>
      </c>
      <c r="S870" s="19" t="s">
        <v>29</v>
      </c>
      <c r="T870" s="19" t="s">
        <v>30</v>
      </c>
      <c r="U870" s="31" t="s">
        <v>31</v>
      </c>
      <c r="V870" s="41" t="n">
        <v>43432</v>
      </c>
      <c r="W870" s="18"/>
      <c r="X870" s="18"/>
      <c r="AMJ870" s="32"/>
    </row>
    <row r="871" s="32" customFormat="true" ht="13.8" hidden="false" customHeight="false" outlineLevel="0" collapsed="false">
      <c r="A871" s="18"/>
      <c r="B871" s="19" t="n">
        <v>10782</v>
      </c>
      <c r="C871" s="20" t="n">
        <v>43355</v>
      </c>
      <c r="D871" s="38" t="s">
        <v>22</v>
      </c>
      <c r="E871" s="22" t="s">
        <v>118</v>
      </c>
      <c r="F871" s="34" t="s">
        <v>462</v>
      </c>
      <c r="G871" s="19" t="n">
        <v>5</v>
      </c>
      <c r="H871" s="19" t="n">
        <v>40</v>
      </c>
      <c r="I871" s="19" t="n">
        <v>4</v>
      </c>
      <c r="J871" s="19" t="n">
        <v>46.6</v>
      </c>
      <c r="K871" s="39" t="n">
        <v>300000</v>
      </c>
      <c r="L871" s="39" t="n">
        <f aca="false">ROUND(K871/J871,2)</f>
        <v>6437.77</v>
      </c>
      <c r="M871" s="34"/>
      <c r="N871" s="40"/>
      <c r="O871" s="30" t="n">
        <f aca="false">K871+N871</f>
        <v>300000</v>
      </c>
      <c r="P871" s="39" t="n">
        <f aca="false">ROUND(O871/J871,2)</f>
        <v>6437.77</v>
      </c>
      <c r="Q871" s="19" t="s">
        <v>1144</v>
      </c>
      <c r="R871" s="22" t="n">
        <v>4</v>
      </c>
      <c r="S871" s="19" t="s">
        <v>29</v>
      </c>
      <c r="T871" s="19" t="s">
        <v>30</v>
      </c>
      <c r="U871" s="31" t="s">
        <v>31</v>
      </c>
      <c r="V871" s="41" t="n">
        <v>43432</v>
      </c>
      <c r="W871" s="18"/>
      <c r="X871" s="18"/>
    </row>
    <row r="872" s="32" customFormat="true" ht="13.8" hidden="false" customHeight="false" outlineLevel="0" collapsed="false">
      <c r="A872" s="18"/>
      <c r="B872" s="19" t="n">
        <v>2449</v>
      </c>
      <c r="C872" s="20" t="n">
        <v>43355</v>
      </c>
      <c r="D872" s="38" t="s">
        <v>22</v>
      </c>
      <c r="E872" s="22" t="s">
        <v>175</v>
      </c>
      <c r="F872" s="34" t="s">
        <v>450</v>
      </c>
      <c r="G872" s="19" t="n">
        <v>59</v>
      </c>
      <c r="H872" s="19" t="n">
        <v>14</v>
      </c>
      <c r="I872" s="19" t="n">
        <v>2</v>
      </c>
      <c r="J872" s="19" t="n">
        <v>82.83</v>
      </c>
      <c r="K872" s="39" t="n">
        <v>825000</v>
      </c>
      <c r="L872" s="39" t="n">
        <f aca="false">K872/J872</f>
        <v>9960.1593625498</v>
      </c>
      <c r="M872" s="34"/>
      <c r="N872" s="40"/>
      <c r="O872" s="30" t="n">
        <f aca="false">K872+N872</f>
        <v>825000</v>
      </c>
      <c r="P872" s="39" t="n">
        <f aca="false">O872/J872</f>
        <v>9960.1593625498</v>
      </c>
      <c r="Q872" s="19" t="s">
        <v>1198</v>
      </c>
      <c r="R872" s="22" t="s">
        <v>26</v>
      </c>
      <c r="S872" s="19" t="s">
        <v>29</v>
      </c>
      <c r="T872" s="19" t="s">
        <v>30</v>
      </c>
      <c r="U872" s="19" t="s">
        <v>31</v>
      </c>
      <c r="V872" s="41" t="n">
        <v>43514</v>
      </c>
      <c r="W872" s="34" t="s">
        <v>1199</v>
      </c>
      <c r="X872" s="34"/>
    </row>
    <row r="873" s="32" customFormat="true" ht="13.8" hidden="false" customHeight="false" outlineLevel="0" collapsed="false">
      <c r="A873" s="18"/>
      <c r="B873" s="19" t="n">
        <v>7035</v>
      </c>
      <c r="C873" s="20" t="n">
        <v>43355</v>
      </c>
      <c r="D873" s="38" t="s">
        <v>22</v>
      </c>
      <c r="E873" s="22" t="s">
        <v>125</v>
      </c>
      <c r="F873" s="34" t="s">
        <v>272</v>
      </c>
      <c r="G873" s="19" t="n">
        <v>18</v>
      </c>
      <c r="H873" s="19" t="n">
        <v>16</v>
      </c>
      <c r="I873" s="19" t="n">
        <v>2</v>
      </c>
      <c r="J873" s="19" t="n">
        <v>47.28</v>
      </c>
      <c r="K873" s="39" t="n">
        <v>600000</v>
      </c>
      <c r="L873" s="39" t="n">
        <f aca="false">ROUND(K873/J873,2)</f>
        <v>12690.36</v>
      </c>
      <c r="M873" s="34"/>
      <c r="N873" s="40"/>
      <c r="O873" s="30" t="n">
        <f aca="false">K873+N873</f>
        <v>600000</v>
      </c>
      <c r="P873" s="39" t="n">
        <f aca="false">ROUND(O873/J873,2)</f>
        <v>12690.36</v>
      </c>
      <c r="Q873" s="19" t="s">
        <v>701</v>
      </c>
      <c r="R873" s="22" t="n">
        <v>3</v>
      </c>
      <c r="S873" s="19" t="s">
        <v>29</v>
      </c>
      <c r="T873" s="19" t="s">
        <v>30</v>
      </c>
      <c r="U873" s="31" t="s">
        <v>31</v>
      </c>
      <c r="V873" s="41" t="n">
        <v>43432</v>
      </c>
      <c r="W873" s="34"/>
      <c r="X873" s="34"/>
    </row>
    <row r="874" s="32" customFormat="true" ht="13.8" hidden="false" customHeight="false" outlineLevel="0" collapsed="false">
      <c r="A874" s="18"/>
      <c r="B874" s="19" t="n">
        <v>6163</v>
      </c>
      <c r="C874" s="20" t="n">
        <v>43355</v>
      </c>
      <c r="D874" s="38" t="s">
        <v>22</v>
      </c>
      <c r="E874" s="22" t="s">
        <v>1200</v>
      </c>
      <c r="F874" s="34" t="s">
        <v>1201</v>
      </c>
      <c r="G874" s="19" t="n">
        <v>25</v>
      </c>
      <c r="H874" s="19" t="n">
        <v>3</v>
      </c>
      <c r="I874" s="19" t="n">
        <v>3</v>
      </c>
      <c r="J874" s="19" t="n">
        <v>113.8</v>
      </c>
      <c r="K874" s="39" t="n">
        <v>643500</v>
      </c>
      <c r="L874" s="39" t="n">
        <f aca="false">ROUND(K874/J874,2)</f>
        <v>5654.66</v>
      </c>
      <c r="M874" s="34" t="s">
        <v>1202</v>
      </c>
      <c r="N874" s="40" t="n">
        <v>71500</v>
      </c>
      <c r="O874" s="30" t="n">
        <f aca="false">K874+N874</f>
        <v>715000</v>
      </c>
      <c r="P874" s="39" t="n">
        <f aca="false">ROUND(O874/J874,2)</f>
        <v>6282.95</v>
      </c>
      <c r="Q874" s="19" t="s">
        <v>1203</v>
      </c>
      <c r="R874" s="22" t="n">
        <v>4</v>
      </c>
      <c r="S874" s="19" t="s">
        <v>29</v>
      </c>
      <c r="T874" s="19" t="s">
        <v>30</v>
      </c>
      <c r="U874" s="31" t="s">
        <v>31</v>
      </c>
      <c r="V874" s="41" t="n">
        <v>43432</v>
      </c>
      <c r="W874" s="18"/>
      <c r="X874" s="18"/>
    </row>
    <row r="875" s="32" customFormat="true" ht="13.8" hidden="false" customHeight="false" outlineLevel="0" collapsed="false">
      <c r="A875" s="18"/>
      <c r="B875" s="19" t="n">
        <v>8744</v>
      </c>
      <c r="C875" s="20" t="n">
        <v>43356</v>
      </c>
      <c r="D875" s="38" t="s">
        <v>22</v>
      </c>
      <c r="E875" s="22" t="s">
        <v>203</v>
      </c>
      <c r="F875" s="34" t="s">
        <v>138</v>
      </c>
      <c r="G875" s="19" t="n">
        <v>10</v>
      </c>
      <c r="H875" s="19" t="n">
        <v>22</v>
      </c>
      <c r="I875" s="19" t="n">
        <v>5</v>
      </c>
      <c r="J875" s="19" t="n">
        <v>84.45</v>
      </c>
      <c r="K875" s="39" t="n">
        <v>740000</v>
      </c>
      <c r="L875" s="39" t="n">
        <f aca="false">ROUND(K875/J875,2)</f>
        <v>8762.58</v>
      </c>
      <c r="M875" s="34" t="s">
        <v>1204</v>
      </c>
      <c r="N875" s="40" t="n">
        <v>30000</v>
      </c>
      <c r="O875" s="30" t="n">
        <f aca="false">K875+N875</f>
        <v>770000</v>
      </c>
      <c r="P875" s="39" t="n">
        <f aca="false">ROUND(O875/J875,2)</f>
        <v>9117.82</v>
      </c>
      <c r="Q875" s="19" t="s">
        <v>1128</v>
      </c>
      <c r="R875" s="22" t="n">
        <v>3</v>
      </c>
      <c r="S875" s="19" t="s">
        <v>29</v>
      </c>
      <c r="T875" s="19" t="s">
        <v>30</v>
      </c>
      <c r="U875" s="31" t="s">
        <v>31</v>
      </c>
      <c r="V875" s="41" t="n">
        <v>43432</v>
      </c>
      <c r="W875" s="18"/>
      <c r="X875" s="18"/>
    </row>
    <row r="876" s="32" customFormat="true" ht="13.8" hidden="false" customHeight="false" outlineLevel="0" collapsed="false">
      <c r="A876" s="18"/>
      <c r="B876" s="19" t="n">
        <v>1303</v>
      </c>
      <c r="C876" s="20" t="n">
        <v>43356</v>
      </c>
      <c r="D876" s="38" t="s">
        <v>22</v>
      </c>
      <c r="E876" s="22" t="s">
        <v>140</v>
      </c>
      <c r="F876" s="34" t="s">
        <v>138</v>
      </c>
      <c r="G876" s="19" t="n">
        <v>22</v>
      </c>
      <c r="H876" s="19" t="n">
        <v>15</v>
      </c>
      <c r="I876" s="19" t="n">
        <v>7</v>
      </c>
      <c r="J876" s="19" t="n">
        <v>81.94</v>
      </c>
      <c r="K876" s="39" t="n">
        <v>890000</v>
      </c>
      <c r="L876" s="39" t="n">
        <f aca="false">ROUND(K876/J876,2)</f>
        <v>10861.61</v>
      </c>
      <c r="M876" s="34" t="s">
        <v>987</v>
      </c>
      <c r="N876" s="40" t="n">
        <v>20000</v>
      </c>
      <c r="O876" s="30" t="n">
        <f aca="false">K876+N876</f>
        <v>910000</v>
      </c>
      <c r="P876" s="39" t="n">
        <f aca="false">ROUND(O876/J876,2)</f>
        <v>11105.69</v>
      </c>
      <c r="Q876" s="19" t="s">
        <v>1205</v>
      </c>
      <c r="R876" s="22" t="n">
        <v>4</v>
      </c>
      <c r="S876" s="19" t="s">
        <v>29</v>
      </c>
      <c r="T876" s="19" t="s">
        <v>30</v>
      </c>
      <c r="U876" s="31" t="s">
        <v>31</v>
      </c>
      <c r="V876" s="41" t="n">
        <v>43432</v>
      </c>
      <c r="W876" s="18"/>
      <c r="X876" s="18"/>
    </row>
    <row r="877" customFormat="false" ht="13.8" hidden="false" customHeight="false" outlineLevel="0" collapsed="false">
      <c r="A877" s="18"/>
      <c r="B877" s="19" t="n">
        <v>3035</v>
      </c>
      <c r="C877" s="20" t="n">
        <v>43356</v>
      </c>
      <c r="D877" s="38" t="s">
        <v>22</v>
      </c>
      <c r="E877" s="22" t="s">
        <v>93</v>
      </c>
      <c r="F877" s="34" t="s">
        <v>514</v>
      </c>
      <c r="G877" s="19" t="n">
        <v>22</v>
      </c>
      <c r="H877" s="19" t="n">
        <v>34</v>
      </c>
      <c r="I877" s="19" t="n">
        <v>8</v>
      </c>
      <c r="J877" s="19" t="n">
        <v>33.6</v>
      </c>
      <c r="K877" s="39" t="n">
        <v>370000</v>
      </c>
      <c r="L877" s="39" t="n">
        <f aca="false">ROUND(K877/J877,2)</f>
        <v>11011.9</v>
      </c>
      <c r="M877" s="34"/>
      <c r="N877" s="40"/>
      <c r="O877" s="30" t="n">
        <f aca="false">K877+N877</f>
        <v>370000</v>
      </c>
      <c r="P877" s="39" t="n">
        <f aca="false">ROUND(O877/J877,2)</f>
        <v>11011.9</v>
      </c>
      <c r="Q877" s="19" t="s">
        <v>1166</v>
      </c>
      <c r="R877" s="22" t="n">
        <v>2</v>
      </c>
      <c r="S877" s="19" t="s">
        <v>29</v>
      </c>
      <c r="T877" s="19" t="s">
        <v>30</v>
      </c>
      <c r="U877" s="31" t="s">
        <v>31</v>
      </c>
      <c r="V877" s="41" t="n">
        <v>43432</v>
      </c>
      <c r="W877" s="18"/>
      <c r="X877" s="18"/>
    </row>
    <row r="878" customFormat="false" ht="13.8" hidden="false" customHeight="false" outlineLevel="0" collapsed="false">
      <c r="A878" s="18"/>
      <c r="B878" s="19" t="s">
        <v>887</v>
      </c>
      <c r="C878" s="20" t="n">
        <v>43356</v>
      </c>
      <c r="D878" s="38" t="s">
        <v>22</v>
      </c>
      <c r="E878" s="22" t="s">
        <v>93</v>
      </c>
      <c r="F878" s="45" t="s">
        <v>514</v>
      </c>
      <c r="G878" s="19" t="n">
        <v>22</v>
      </c>
      <c r="H878" s="19"/>
      <c r="I878" s="19" t="n">
        <v>6</v>
      </c>
      <c r="J878" s="25" t="n">
        <v>33.6</v>
      </c>
      <c r="K878" s="39" t="n">
        <v>370000</v>
      </c>
      <c r="L878" s="39" t="n">
        <f aca="false">K878/J878</f>
        <v>11011.9047619048</v>
      </c>
      <c r="M878" s="34"/>
      <c r="N878" s="40"/>
      <c r="O878" s="30" t="n">
        <f aca="false">K878+N878</f>
        <v>370000</v>
      </c>
      <c r="P878" s="39" t="n">
        <f aca="false">O878/J878</f>
        <v>11011.9047619048</v>
      </c>
      <c r="Q878" s="19" t="s">
        <v>889</v>
      </c>
      <c r="R878" s="19" t="n">
        <v>2</v>
      </c>
      <c r="S878" s="19" t="s">
        <v>890</v>
      </c>
      <c r="T878" s="19"/>
      <c r="U878" s="19" t="s">
        <v>31</v>
      </c>
      <c r="V878" s="41" t="n">
        <v>43727</v>
      </c>
      <c r="W878" s="18"/>
      <c r="X878" s="18"/>
    </row>
    <row r="879" customFormat="false" ht="13.8" hidden="false" customHeight="false" outlineLevel="0" collapsed="false">
      <c r="A879" s="18"/>
      <c r="B879" s="19" t="n">
        <v>2125</v>
      </c>
      <c r="C879" s="20" t="n">
        <v>43356</v>
      </c>
      <c r="D879" s="38" t="s">
        <v>22</v>
      </c>
      <c r="E879" s="22" t="s">
        <v>144</v>
      </c>
      <c r="F879" s="34" t="s">
        <v>145</v>
      </c>
      <c r="G879" s="19" t="n">
        <v>9</v>
      </c>
      <c r="H879" s="19" t="n">
        <v>8</v>
      </c>
      <c r="I879" s="19" t="n">
        <v>4.5</v>
      </c>
      <c r="J879" s="19" t="n">
        <v>136</v>
      </c>
      <c r="K879" s="39" t="n">
        <v>980000</v>
      </c>
      <c r="L879" s="39" t="n">
        <f aca="false">ROUND(K879/J879,2)</f>
        <v>7205.88</v>
      </c>
      <c r="M879" s="34" t="s">
        <v>1158</v>
      </c>
      <c r="N879" s="40"/>
      <c r="O879" s="30" t="n">
        <f aca="false">K879+N879</f>
        <v>980000</v>
      </c>
      <c r="P879" s="39" t="n">
        <f aca="false">ROUND(O879/J879,2)</f>
        <v>7205.88</v>
      </c>
      <c r="Q879" s="19" t="s">
        <v>1206</v>
      </c>
      <c r="R879" s="22" t="n">
        <v>6</v>
      </c>
      <c r="S879" s="19" t="s">
        <v>29</v>
      </c>
      <c r="T879" s="19" t="s">
        <v>30</v>
      </c>
      <c r="U879" s="31" t="s">
        <v>31</v>
      </c>
      <c r="V879" s="41" t="n">
        <v>43432</v>
      </c>
      <c r="W879" s="18"/>
      <c r="X879" s="18"/>
    </row>
    <row r="880" customFormat="false" ht="13.8" hidden="false" customHeight="false" outlineLevel="0" collapsed="false">
      <c r="A880" s="18"/>
      <c r="B880" s="19" t="n">
        <v>4657</v>
      </c>
      <c r="C880" s="20" t="n">
        <v>43356</v>
      </c>
      <c r="D880" s="38" t="s">
        <v>22</v>
      </c>
      <c r="E880" s="22" t="s">
        <v>433</v>
      </c>
      <c r="F880" s="34" t="s">
        <v>434</v>
      </c>
      <c r="G880" s="19" t="n">
        <v>7</v>
      </c>
      <c r="H880" s="19" t="n">
        <v>144</v>
      </c>
      <c r="I880" s="19" t="n">
        <v>1</v>
      </c>
      <c r="J880" s="19" t="n">
        <v>42.42</v>
      </c>
      <c r="K880" s="39" t="n">
        <v>400700</v>
      </c>
      <c r="L880" s="39" t="n">
        <f aca="false">ROUND(K880/J880,2)</f>
        <v>9446.02</v>
      </c>
      <c r="M880" s="34" t="s">
        <v>1126</v>
      </c>
      <c r="N880" s="40" t="n">
        <v>34300</v>
      </c>
      <c r="O880" s="30" t="n">
        <f aca="false">K880+N880</f>
        <v>435000</v>
      </c>
      <c r="P880" s="39" t="n">
        <f aca="false">ROUND(O880/J880,2)</f>
        <v>10254.6</v>
      </c>
      <c r="Q880" s="19" t="s">
        <v>1133</v>
      </c>
      <c r="R880" s="22" t="n">
        <v>2</v>
      </c>
      <c r="S880" s="19" t="s">
        <v>29</v>
      </c>
      <c r="T880" s="19" t="s">
        <v>30</v>
      </c>
      <c r="U880" s="31" t="s">
        <v>31</v>
      </c>
      <c r="V880" s="41" t="n">
        <v>43432</v>
      </c>
      <c r="W880" s="18"/>
      <c r="X880" s="18"/>
    </row>
    <row r="881" customFormat="false" ht="13.8" hidden="false" customHeight="false" outlineLevel="0" collapsed="false">
      <c r="A881" s="18"/>
      <c r="B881" s="19" t="n">
        <v>5245</v>
      </c>
      <c r="C881" s="20" t="n">
        <v>43356</v>
      </c>
      <c r="D881" s="38" t="s">
        <v>22</v>
      </c>
      <c r="E881" s="22" t="s">
        <v>375</v>
      </c>
      <c r="F881" s="34" t="s">
        <v>560</v>
      </c>
      <c r="G881" s="19" t="s">
        <v>384</v>
      </c>
      <c r="H881" s="19" t="n">
        <v>5</v>
      </c>
      <c r="I881" s="19" t="n">
        <v>2</v>
      </c>
      <c r="J881" s="19" t="n">
        <v>66.46</v>
      </c>
      <c r="K881" s="39" t="n">
        <v>800000</v>
      </c>
      <c r="L881" s="39" t="n">
        <f aca="false">K881/J881</f>
        <v>12037.3156786037</v>
      </c>
      <c r="M881" s="34"/>
      <c r="N881" s="40"/>
      <c r="O881" s="30" t="n">
        <f aca="false">K881+N881</f>
        <v>800000</v>
      </c>
      <c r="P881" s="39" t="n">
        <f aca="false">O881/J881</f>
        <v>12037.3156786037</v>
      </c>
      <c r="Q881" s="19" t="s">
        <v>903</v>
      </c>
      <c r="R881" s="22" t="s">
        <v>36</v>
      </c>
      <c r="S881" s="19" t="s">
        <v>29</v>
      </c>
      <c r="T881" s="19" t="s">
        <v>30</v>
      </c>
      <c r="U881" s="19" t="s">
        <v>31</v>
      </c>
      <c r="V881" s="41" t="n">
        <v>43514</v>
      </c>
      <c r="W881" s="34" t="s">
        <v>1207</v>
      </c>
      <c r="X881" s="34"/>
    </row>
    <row r="882" customFormat="false" ht="13.8" hidden="false" customHeight="false" outlineLevel="0" collapsed="false">
      <c r="A882" s="18"/>
      <c r="B882" s="19" t="n">
        <v>5267</v>
      </c>
      <c r="C882" s="20" t="n">
        <v>43356</v>
      </c>
      <c r="D882" s="38" t="s">
        <v>22</v>
      </c>
      <c r="E882" s="22" t="s">
        <v>45</v>
      </c>
      <c r="F882" s="34" t="s">
        <v>46</v>
      </c>
      <c r="G882" s="19" t="n">
        <v>26</v>
      </c>
      <c r="H882" s="19" t="n">
        <v>30</v>
      </c>
      <c r="I882" s="19" t="n">
        <v>6</v>
      </c>
      <c r="J882" s="19" t="n">
        <v>32.59</v>
      </c>
      <c r="K882" s="39" t="n">
        <v>295000</v>
      </c>
      <c r="L882" s="39" t="n">
        <f aca="false">ROUND(K882/J882,2)</f>
        <v>9051.86</v>
      </c>
      <c r="M882" s="34"/>
      <c r="N882" s="40"/>
      <c r="O882" s="30" t="n">
        <f aca="false">K882+N882</f>
        <v>295000</v>
      </c>
      <c r="P882" s="39" t="n">
        <f aca="false">ROUND(O882/J882,2)</f>
        <v>9051.86</v>
      </c>
      <c r="Q882" s="19" t="s">
        <v>1208</v>
      </c>
      <c r="R882" s="22" t="n">
        <v>1</v>
      </c>
      <c r="S882" s="19" t="s">
        <v>29</v>
      </c>
      <c r="T882" s="19" t="s">
        <v>30</v>
      </c>
      <c r="U882" s="31" t="s">
        <v>31</v>
      </c>
      <c r="V882" s="41" t="n">
        <v>43432</v>
      </c>
      <c r="W882" s="34"/>
      <c r="X882" s="34"/>
    </row>
    <row r="883" customFormat="false" ht="13.8" hidden="false" customHeight="false" outlineLevel="0" collapsed="false">
      <c r="A883" s="18"/>
      <c r="B883" s="19" t="n">
        <v>9081</v>
      </c>
      <c r="C883" s="20" t="n">
        <v>43356</v>
      </c>
      <c r="D883" s="38" t="s">
        <v>22</v>
      </c>
      <c r="E883" s="22" t="s">
        <v>251</v>
      </c>
      <c r="F883" s="34" t="s">
        <v>1209</v>
      </c>
      <c r="G883" s="19" t="s">
        <v>1210</v>
      </c>
      <c r="H883" s="19" t="n">
        <v>92</v>
      </c>
      <c r="I883" s="19" t="n">
        <v>3</v>
      </c>
      <c r="J883" s="19" t="n">
        <v>69.28</v>
      </c>
      <c r="K883" s="39" t="n">
        <v>720000</v>
      </c>
      <c r="L883" s="39" t="n">
        <f aca="false">ROUND(K883/J883,2)</f>
        <v>10392.61</v>
      </c>
      <c r="M883" s="34" t="s">
        <v>940</v>
      </c>
      <c r="N883" s="40" t="n">
        <v>20000</v>
      </c>
      <c r="O883" s="30" t="n">
        <f aca="false">K883+N883</f>
        <v>740000</v>
      </c>
      <c r="P883" s="39" t="n">
        <f aca="false">ROUND(O883/J883,2)</f>
        <v>10681.29</v>
      </c>
      <c r="Q883" s="19" t="s">
        <v>1144</v>
      </c>
      <c r="R883" s="22" t="n">
        <v>4</v>
      </c>
      <c r="S883" s="19" t="s">
        <v>29</v>
      </c>
      <c r="T883" s="19" t="s">
        <v>30</v>
      </c>
      <c r="U883" s="31" t="s">
        <v>31</v>
      </c>
      <c r="V883" s="41" t="n">
        <v>43432</v>
      </c>
      <c r="W883" s="34"/>
      <c r="X883" s="34"/>
    </row>
    <row r="884" customFormat="false" ht="13.8" hidden="false" customHeight="false" outlineLevel="0" collapsed="false">
      <c r="A884" s="18"/>
      <c r="B884" s="19" t="n">
        <v>10792</v>
      </c>
      <c r="C884" s="20" t="n">
        <v>43356</v>
      </c>
      <c r="D884" s="38" t="s">
        <v>22</v>
      </c>
      <c r="E884" s="22" t="s">
        <v>372</v>
      </c>
      <c r="F884" s="34" t="s">
        <v>272</v>
      </c>
      <c r="G884" s="19" t="n">
        <v>31</v>
      </c>
      <c r="H884" s="19" t="n">
        <v>22</v>
      </c>
      <c r="I884" s="19" t="s">
        <v>1211</v>
      </c>
      <c r="J884" s="19" t="n">
        <v>92.58</v>
      </c>
      <c r="K884" s="39" t="n">
        <v>920000</v>
      </c>
      <c r="L884" s="39" t="n">
        <f aca="false">ROUND(K884/J884,2)</f>
        <v>9937.35</v>
      </c>
      <c r="M884" s="34" t="s">
        <v>1212</v>
      </c>
      <c r="N884" s="40" t="n">
        <v>80000</v>
      </c>
      <c r="O884" s="30" t="n">
        <f aca="false">K884+N884</f>
        <v>1000000</v>
      </c>
      <c r="P884" s="39" t="n">
        <f aca="false">ROUND(O884/J884,2)</f>
        <v>10801.47</v>
      </c>
      <c r="Q884" s="19" t="s">
        <v>1213</v>
      </c>
      <c r="R884" s="22" t="n">
        <v>3</v>
      </c>
      <c r="S884" s="19" t="s">
        <v>29</v>
      </c>
      <c r="T884" s="19" t="s">
        <v>30</v>
      </c>
      <c r="U884" s="31" t="s">
        <v>31</v>
      </c>
      <c r="V884" s="41" t="n">
        <v>43432</v>
      </c>
      <c r="W884" s="18"/>
      <c r="X884" s="18"/>
    </row>
    <row r="885" customFormat="false" ht="13.8" hidden="false" customHeight="false" outlineLevel="0" collapsed="false">
      <c r="A885" s="18"/>
      <c r="B885" s="19" t="s">
        <v>887</v>
      </c>
      <c r="C885" s="20" t="n">
        <v>43357</v>
      </c>
      <c r="D885" s="38" t="s">
        <v>22</v>
      </c>
      <c r="E885" s="22" t="s">
        <v>934</v>
      </c>
      <c r="F885" s="45" t="s">
        <v>1178</v>
      </c>
      <c r="G885" s="19" t="n">
        <v>16</v>
      </c>
      <c r="H885" s="19"/>
      <c r="I885" s="19" t="n">
        <v>5</v>
      </c>
      <c r="J885" s="25" t="n">
        <v>45.4</v>
      </c>
      <c r="K885" s="39" t="n">
        <v>375000</v>
      </c>
      <c r="L885" s="39" t="n">
        <f aca="false">K885/J885</f>
        <v>8259.91189427313</v>
      </c>
      <c r="M885" s="18"/>
      <c r="N885" s="40"/>
      <c r="O885" s="30" t="n">
        <f aca="false">K885+N885</f>
        <v>375000</v>
      </c>
      <c r="P885" s="39" t="n">
        <f aca="false">O885/J885</f>
        <v>8259.91189427313</v>
      </c>
      <c r="Q885" s="19" t="s">
        <v>889</v>
      </c>
      <c r="R885" s="19" t="n">
        <v>5</v>
      </c>
      <c r="S885" s="19" t="s">
        <v>1141</v>
      </c>
      <c r="T885" s="19"/>
      <c r="U885" s="19" t="s">
        <v>31</v>
      </c>
      <c r="V885" s="41" t="n">
        <v>43727</v>
      </c>
      <c r="W885" s="18"/>
      <c r="X885" s="18"/>
    </row>
    <row r="886" customFormat="false" ht="13.8" hidden="false" customHeight="false" outlineLevel="0" collapsed="false">
      <c r="A886" s="18"/>
      <c r="B886" s="19" t="n">
        <v>14645</v>
      </c>
      <c r="C886" s="20" t="n">
        <v>43357</v>
      </c>
      <c r="D886" s="38" t="s">
        <v>22</v>
      </c>
      <c r="E886" s="22" t="s">
        <v>278</v>
      </c>
      <c r="F886" s="34" t="s">
        <v>288</v>
      </c>
      <c r="G886" s="19" t="s">
        <v>445</v>
      </c>
      <c r="H886" s="19" t="n">
        <v>16</v>
      </c>
      <c r="I886" s="19" t="n">
        <v>3</v>
      </c>
      <c r="J886" s="19" t="n">
        <v>68.25</v>
      </c>
      <c r="K886" s="39" t="n">
        <v>650000</v>
      </c>
      <c r="L886" s="39" t="n">
        <f aca="false">ROUND(K886/J886,2)</f>
        <v>9523.81</v>
      </c>
      <c r="M886" s="18"/>
      <c r="N886" s="40"/>
      <c r="O886" s="30" t="n">
        <f aca="false">K886+N886</f>
        <v>650000</v>
      </c>
      <c r="P886" s="39" t="n">
        <f aca="false">ROUND(O886/J886,2)</f>
        <v>9523.81</v>
      </c>
      <c r="Q886" s="19" t="s">
        <v>1214</v>
      </c>
      <c r="R886" s="22" t="n">
        <v>3</v>
      </c>
      <c r="S886" s="19" t="s">
        <v>29</v>
      </c>
      <c r="T886" s="19" t="s">
        <v>30</v>
      </c>
      <c r="U886" s="31" t="s">
        <v>31</v>
      </c>
      <c r="V886" s="41" t="n">
        <v>43432</v>
      </c>
      <c r="W886" s="18"/>
      <c r="X886" s="18"/>
      <c r="AMJ886" s="32"/>
    </row>
    <row r="887" s="32" customFormat="true" ht="13.8" hidden="false" customHeight="false" outlineLevel="0" collapsed="false">
      <c r="A887" s="18"/>
      <c r="B887" s="19" t="n">
        <v>14645</v>
      </c>
      <c r="C887" s="20" t="n">
        <v>43357</v>
      </c>
      <c r="D887" s="38" t="s">
        <v>22</v>
      </c>
      <c r="E887" s="22" t="s">
        <v>278</v>
      </c>
      <c r="F887" s="34" t="s">
        <v>288</v>
      </c>
      <c r="G887" s="19" t="s">
        <v>445</v>
      </c>
      <c r="H887" s="19" t="n">
        <v>16</v>
      </c>
      <c r="I887" s="19" t="n">
        <v>3</v>
      </c>
      <c r="J887" s="19" t="n">
        <v>68.25</v>
      </c>
      <c r="K887" s="39" t="n">
        <v>650000</v>
      </c>
      <c r="L887" s="39" t="n">
        <f aca="false">ROUND(K887/J887,2)</f>
        <v>9523.81</v>
      </c>
      <c r="M887" s="18"/>
      <c r="N887" s="40"/>
      <c r="O887" s="30" t="n">
        <f aca="false">K887+N887</f>
        <v>650000</v>
      </c>
      <c r="P887" s="39" t="n">
        <f aca="false">ROUND(O887/J887,2)</f>
        <v>9523.81</v>
      </c>
      <c r="Q887" s="19" t="s">
        <v>1214</v>
      </c>
      <c r="R887" s="22" t="n">
        <v>3</v>
      </c>
      <c r="S887" s="19" t="s">
        <v>29</v>
      </c>
      <c r="T887" s="19" t="s">
        <v>30</v>
      </c>
      <c r="U887" s="19" t="s">
        <v>31</v>
      </c>
      <c r="V887" s="41" t="n">
        <v>43514</v>
      </c>
      <c r="W887" s="18"/>
      <c r="X887" s="18"/>
    </row>
    <row r="888" customFormat="false" ht="13.8" hidden="false" customHeight="false" outlineLevel="0" collapsed="false">
      <c r="A888" s="18"/>
      <c r="B888" s="19" t="n">
        <v>10899</v>
      </c>
      <c r="C888" s="20" t="n">
        <v>43357</v>
      </c>
      <c r="D888" s="38" t="s">
        <v>22</v>
      </c>
      <c r="E888" s="22" t="s">
        <v>65</v>
      </c>
      <c r="F888" s="34" t="s">
        <v>764</v>
      </c>
      <c r="G888" s="19" t="n">
        <v>4</v>
      </c>
      <c r="H888" s="19" t="n">
        <v>17</v>
      </c>
      <c r="I888" s="19" t="n">
        <v>4</v>
      </c>
      <c r="J888" s="19" t="n">
        <v>52.9</v>
      </c>
      <c r="K888" s="39" t="n">
        <v>435000</v>
      </c>
      <c r="L888" s="39" t="n">
        <f aca="false">ROUND(K888/J888,2)</f>
        <v>8223.06</v>
      </c>
      <c r="M888" s="34" t="s">
        <v>1215</v>
      </c>
      <c r="N888" s="40"/>
      <c r="O888" s="30" t="n">
        <f aca="false">K888+N888</f>
        <v>435000</v>
      </c>
      <c r="P888" s="39" t="n">
        <f aca="false">ROUND(O888/J888,2)</f>
        <v>8223.06</v>
      </c>
      <c r="Q888" s="19" t="s">
        <v>1151</v>
      </c>
      <c r="R888" s="22" t="n">
        <v>4</v>
      </c>
      <c r="S888" s="19" t="s">
        <v>29</v>
      </c>
      <c r="T888" s="19" t="s">
        <v>30</v>
      </c>
      <c r="U888" s="31" t="s">
        <v>31</v>
      </c>
      <c r="V888" s="41" t="n">
        <v>43432</v>
      </c>
      <c r="W888" s="34"/>
      <c r="X888" s="34"/>
      <c r="AMJ888" s="32"/>
    </row>
    <row r="889" s="32" customFormat="true" ht="13.8" hidden="false" customHeight="false" outlineLevel="0" collapsed="false">
      <c r="A889" s="18"/>
      <c r="B889" s="19" t="n">
        <v>3152</v>
      </c>
      <c r="C889" s="20" t="n">
        <v>43357</v>
      </c>
      <c r="D889" s="38" t="s">
        <v>22</v>
      </c>
      <c r="E889" s="22" t="s">
        <v>65</v>
      </c>
      <c r="F889" s="34" t="s">
        <v>1216</v>
      </c>
      <c r="G889" s="19" t="n">
        <v>5</v>
      </c>
      <c r="H889" s="19" t="n">
        <v>10</v>
      </c>
      <c r="I889" s="19" t="n">
        <v>3</v>
      </c>
      <c r="J889" s="19" t="n">
        <v>56.1</v>
      </c>
      <c r="K889" s="39" t="n">
        <v>375000</v>
      </c>
      <c r="L889" s="39" t="n">
        <f aca="false">ROUND(K889/J889,2)</f>
        <v>6684.49</v>
      </c>
      <c r="M889" s="34"/>
      <c r="N889" s="40"/>
      <c r="O889" s="30" t="n">
        <f aca="false">K889+N889</f>
        <v>375000</v>
      </c>
      <c r="P889" s="39" t="n">
        <f aca="false">ROUND(O889/J889,2)</f>
        <v>6684.49</v>
      </c>
      <c r="Q889" s="19" t="s">
        <v>1144</v>
      </c>
      <c r="R889" s="22" t="n">
        <v>4</v>
      </c>
      <c r="S889" s="19" t="s">
        <v>29</v>
      </c>
      <c r="T889" s="19" t="s">
        <v>30</v>
      </c>
      <c r="U889" s="31" t="s">
        <v>31</v>
      </c>
      <c r="V889" s="41" t="n">
        <v>43432</v>
      </c>
      <c r="W889" s="18"/>
      <c r="X889" s="18"/>
    </row>
    <row r="890" customFormat="false" ht="13.8" hidden="false" customHeight="false" outlineLevel="0" collapsed="false">
      <c r="A890" s="18"/>
      <c r="B890" s="19" t="n">
        <v>10074</v>
      </c>
      <c r="C890" s="20" t="n">
        <v>43357</v>
      </c>
      <c r="D890" s="38" t="s">
        <v>22</v>
      </c>
      <c r="E890" s="22" t="s">
        <v>480</v>
      </c>
      <c r="F890" s="34" t="s">
        <v>46</v>
      </c>
      <c r="G890" s="19" t="n">
        <v>130</v>
      </c>
      <c r="H890" s="19" t="n">
        <v>12</v>
      </c>
      <c r="I890" s="19" t="n">
        <v>3</v>
      </c>
      <c r="J890" s="19" t="n">
        <v>84.9</v>
      </c>
      <c r="K890" s="39" t="n">
        <v>645000</v>
      </c>
      <c r="L890" s="39" t="n">
        <f aca="false">ROUND(K890/J890,2)</f>
        <v>7597.17</v>
      </c>
      <c r="M890" s="34"/>
      <c r="N890" s="40"/>
      <c r="O890" s="30" t="n">
        <f aca="false">K890+N890</f>
        <v>645000</v>
      </c>
      <c r="P890" s="39" t="n">
        <f aca="false">ROUND(O890/J890,2)</f>
        <v>7597.17</v>
      </c>
      <c r="Q890" s="19" t="s">
        <v>1144</v>
      </c>
      <c r="R890" s="22" t="n">
        <v>4</v>
      </c>
      <c r="S890" s="19" t="s">
        <v>29</v>
      </c>
      <c r="T890" s="19" t="s">
        <v>30</v>
      </c>
      <c r="U890" s="31" t="s">
        <v>31</v>
      </c>
      <c r="V890" s="41" t="n">
        <v>43432</v>
      </c>
      <c r="W890" s="18"/>
      <c r="X890" s="18"/>
    </row>
    <row r="891" customFormat="false" ht="13.8" hidden="false" customHeight="false" outlineLevel="0" collapsed="false">
      <c r="A891" s="18"/>
      <c r="B891" s="19" t="n">
        <v>466</v>
      </c>
      <c r="C891" s="20" t="n">
        <v>43357</v>
      </c>
      <c r="D891" s="38" t="s">
        <v>22</v>
      </c>
      <c r="E891" s="22" t="s">
        <v>1217</v>
      </c>
      <c r="F891" s="34" t="s">
        <v>565</v>
      </c>
      <c r="G891" s="19" t="n">
        <v>3</v>
      </c>
      <c r="H891" s="19" t="n">
        <v>19</v>
      </c>
      <c r="I891" s="19" t="n">
        <v>3</v>
      </c>
      <c r="J891" s="19" t="n">
        <v>46.53</v>
      </c>
      <c r="K891" s="39" t="n">
        <v>447500</v>
      </c>
      <c r="L891" s="39" t="n">
        <f aca="false">ROUND(K891/J891,2)</f>
        <v>9617.45</v>
      </c>
      <c r="M891" s="34" t="s">
        <v>1218</v>
      </c>
      <c r="N891" s="40"/>
      <c r="O891" s="30" t="n">
        <f aca="false">K891+N891</f>
        <v>447500</v>
      </c>
      <c r="P891" s="39" t="n">
        <f aca="false">ROUND(O891/J891,2)</f>
        <v>9617.45</v>
      </c>
      <c r="Q891" s="19" t="s">
        <v>1219</v>
      </c>
      <c r="R891" s="22" t="n">
        <v>3</v>
      </c>
      <c r="S891" s="19" t="s">
        <v>29</v>
      </c>
      <c r="T891" s="19" t="s">
        <v>30</v>
      </c>
      <c r="U891" s="31" t="s">
        <v>31</v>
      </c>
      <c r="V891" s="41" t="n">
        <v>43432</v>
      </c>
      <c r="W891" s="18"/>
      <c r="X891" s="18"/>
    </row>
    <row r="892" customFormat="false" ht="13.8" hidden="false" customHeight="false" outlineLevel="0" collapsed="false">
      <c r="A892" s="18"/>
      <c r="B892" s="19" t="n">
        <v>6727</v>
      </c>
      <c r="C892" s="20" t="n">
        <v>43357</v>
      </c>
      <c r="D892" s="38" t="s">
        <v>22</v>
      </c>
      <c r="E892" s="22" t="s">
        <v>299</v>
      </c>
      <c r="F892" s="34" t="s">
        <v>1220</v>
      </c>
      <c r="G892" s="19" t="n">
        <v>3</v>
      </c>
      <c r="H892" s="19" t="n">
        <v>10</v>
      </c>
      <c r="I892" s="19" t="n">
        <v>3</v>
      </c>
      <c r="J892" s="19" t="n">
        <v>50.33</v>
      </c>
      <c r="K892" s="39" t="n">
        <v>585000</v>
      </c>
      <c r="L892" s="39" t="n">
        <f aca="false">ROUND(K892/J892,2)</f>
        <v>11623.29</v>
      </c>
      <c r="M892" s="34" t="s">
        <v>1158</v>
      </c>
      <c r="N892" s="40"/>
      <c r="O892" s="30" t="n">
        <f aca="false">K892+N892</f>
        <v>585000</v>
      </c>
      <c r="P892" s="39" t="n">
        <f aca="false">ROUND(O892/J892,2)</f>
        <v>11623.29</v>
      </c>
      <c r="Q892" s="19" t="s">
        <v>701</v>
      </c>
      <c r="R892" s="22" t="n">
        <v>3</v>
      </c>
      <c r="S892" s="19" t="s">
        <v>29</v>
      </c>
      <c r="T892" s="19" t="s">
        <v>30</v>
      </c>
      <c r="U892" s="31" t="s">
        <v>31</v>
      </c>
      <c r="V892" s="41" t="n">
        <v>43432</v>
      </c>
      <c r="W892" s="18"/>
      <c r="X892" s="18"/>
    </row>
    <row r="893" customFormat="false" ht="13.8" hidden="false" customHeight="false" outlineLevel="0" collapsed="false">
      <c r="A893" s="18"/>
      <c r="B893" s="19" t="n">
        <v>2844</v>
      </c>
      <c r="C893" s="20" t="n">
        <v>43360</v>
      </c>
      <c r="D893" s="38" t="s">
        <v>22</v>
      </c>
      <c r="E893" s="22" t="s">
        <v>72</v>
      </c>
      <c r="F893" s="34" t="s">
        <v>1221</v>
      </c>
      <c r="G893" s="19" t="n">
        <v>74</v>
      </c>
      <c r="H893" s="19" t="n">
        <v>10</v>
      </c>
      <c r="I893" s="19" t="n">
        <v>4</v>
      </c>
      <c r="J893" s="19" t="n">
        <v>43.1</v>
      </c>
      <c r="K893" s="39" t="n">
        <v>400000</v>
      </c>
      <c r="L893" s="39" t="n">
        <f aca="false">K893/J893</f>
        <v>9280.74245939675</v>
      </c>
      <c r="M893" s="34"/>
      <c r="N893" s="40"/>
      <c r="O893" s="30" t="n">
        <f aca="false">K893+N893</f>
        <v>400000</v>
      </c>
      <c r="P893" s="39" t="n">
        <f aca="false">O893/J893</f>
        <v>9280.74245939675</v>
      </c>
      <c r="Q893" s="19" t="s">
        <v>903</v>
      </c>
      <c r="R893" s="22" t="s">
        <v>36</v>
      </c>
      <c r="S893" s="19" t="s">
        <v>29</v>
      </c>
      <c r="T893" s="19" t="s">
        <v>30</v>
      </c>
      <c r="U893" s="19" t="s">
        <v>31</v>
      </c>
      <c r="V893" s="41" t="n">
        <v>43514</v>
      </c>
      <c r="W893" s="34" t="s">
        <v>1222</v>
      </c>
      <c r="X893" s="18"/>
    </row>
    <row r="894" customFormat="false" ht="13.8" hidden="false" customHeight="false" outlineLevel="0" collapsed="false">
      <c r="A894" s="18"/>
      <c r="B894" s="19" t="n">
        <v>2844</v>
      </c>
      <c r="C894" s="20" t="n">
        <v>43360</v>
      </c>
      <c r="D894" s="38" t="s">
        <v>22</v>
      </c>
      <c r="E894" s="22" t="s">
        <v>72</v>
      </c>
      <c r="F894" s="34" t="s">
        <v>1221</v>
      </c>
      <c r="G894" s="19" t="n">
        <v>74</v>
      </c>
      <c r="H894" s="19" t="n">
        <v>10</v>
      </c>
      <c r="I894" s="19" t="n">
        <v>4</v>
      </c>
      <c r="J894" s="19" t="n">
        <v>43.1</v>
      </c>
      <c r="K894" s="39" t="n">
        <v>400000</v>
      </c>
      <c r="L894" s="39" t="n">
        <f aca="false">K894/J894</f>
        <v>9280.74245939675</v>
      </c>
      <c r="M894" s="34"/>
      <c r="N894" s="40"/>
      <c r="O894" s="30" t="n">
        <f aca="false">K894+N894</f>
        <v>400000</v>
      </c>
      <c r="P894" s="39" t="n">
        <f aca="false">O894/J894</f>
        <v>9280.74245939675</v>
      </c>
      <c r="Q894" s="19" t="s">
        <v>903</v>
      </c>
      <c r="R894" s="22" t="s">
        <v>36</v>
      </c>
      <c r="S894" s="19" t="s">
        <v>29</v>
      </c>
      <c r="T894" s="19" t="s">
        <v>30</v>
      </c>
      <c r="U894" s="19" t="s">
        <v>31</v>
      </c>
      <c r="V894" s="41" t="n">
        <v>43514</v>
      </c>
      <c r="W894" s="34" t="s">
        <v>1222</v>
      </c>
      <c r="X894" s="18"/>
      <c r="Z894" s="33"/>
      <c r="AB894" s="37"/>
    </row>
    <row r="895" customFormat="false" ht="13.8" hidden="false" customHeight="false" outlineLevel="0" collapsed="false">
      <c r="A895" s="18"/>
      <c r="B895" s="19" t="n">
        <v>5056</v>
      </c>
      <c r="C895" s="20" t="n">
        <v>43360</v>
      </c>
      <c r="D895" s="38" t="s">
        <v>22</v>
      </c>
      <c r="E895" s="22" t="s">
        <v>187</v>
      </c>
      <c r="F895" s="34" t="s">
        <v>1041</v>
      </c>
      <c r="G895" s="19" t="n">
        <v>81</v>
      </c>
      <c r="H895" s="19" t="n">
        <v>10</v>
      </c>
      <c r="I895" s="19" t="n">
        <v>10</v>
      </c>
      <c r="J895" s="19" t="n">
        <v>35</v>
      </c>
      <c r="K895" s="39" t="n">
        <v>320000</v>
      </c>
      <c r="L895" s="39" t="n">
        <f aca="false">ROUND(K895/J895,2)</f>
        <v>9142.86</v>
      </c>
      <c r="M895" s="34"/>
      <c r="N895" s="40"/>
      <c r="O895" s="30" t="n">
        <f aca="false">K895+N895</f>
        <v>320000</v>
      </c>
      <c r="P895" s="39" t="n">
        <f aca="false">ROUND(O895/J895,2)</f>
        <v>9142.86</v>
      </c>
      <c r="Q895" s="19" t="s">
        <v>1166</v>
      </c>
      <c r="R895" s="22" t="n">
        <v>2</v>
      </c>
      <c r="S895" s="19" t="s">
        <v>29</v>
      </c>
      <c r="T895" s="19" t="s">
        <v>30</v>
      </c>
      <c r="U895" s="31" t="s">
        <v>31</v>
      </c>
      <c r="V895" s="41" t="n">
        <v>43432</v>
      </c>
      <c r="W895" s="18"/>
      <c r="X895" s="18"/>
    </row>
    <row r="896" customFormat="false" ht="13.8" hidden="false" customHeight="false" outlineLevel="0" collapsed="false">
      <c r="A896" s="18"/>
      <c r="B896" s="19" t="n">
        <v>14663</v>
      </c>
      <c r="C896" s="20" t="n">
        <v>43360</v>
      </c>
      <c r="D896" s="38" t="s">
        <v>22</v>
      </c>
      <c r="E896" s="22" t="s">
        <v>278</v>
      </c>
      <c r="F896" s="34" t="s">
        <v>288</v>
      </c>
      <c r="G896" s="19" t="s">
        <v>430</v>
      </c>
      <c r="H896" s="19" t="n">
        <v>18</v>
      </c>
      <c r="I896" s="19" t="n">
        <v>2</v>
      </c>
      <c r="J896" s="19" t="n">
        <v>62.35</v>
      </c>
      <c r="K896" s="39" t="n">
        <v>400000</v>
      </c>
      <c r="L896" s="39" t="n">
        <f aca="false">ROUND(K896/J896,2)</f>
        <v>6415.4</v>
      </c>
      <c r="M896" s="34"/>
      <c r="N896" s="40"/>
      <c r="O896" s="30" t="n">
        <f aca="false">K896+N896</f>
        <v>400000</v>
      </c>
      <c r="P896" s="39" t="n">
        <f aca="false">ROUND(O896/J896,2)</f>
        <v>6415.4</v>
      </c>
      <c r="Q896" s="19" t="s">
        <v>1144</v>
      </c>
      <c r="R896" s="22" t="n">
        <v>4</v>
      </c>
      <c r="S896" s="19" t="s">
        <v>29</v>
      </c>
      <c r="T896" s="19" t="s">
        <v>30</v>
      </c>
      <c r="U896" s="31" t="s">
        <v>31</v>
      </c>
      <c r="V896" s="41" t="n">
        <v>43432</v>
      </c>
      <c r="W896" s="18"/>
      <c r="X896" s="18"/>
    </row>
    <row r="897" customFormat="false" ht="13.8" hidden="false" customHeight="false" outlineLevel="0" collapsed="false">
      <c r="A897" s="18"/>
      <c r="B897" s="19" t="n">
        <v>2262</v>
      </c>
      <c r="C897" s="20" t="n">
        <v>43360</v>
      </c>
      <c r="D897" s="38" t="s">
        <v>22</v>
      </c>
      <c r="E897" s="22" t="s">
        <v>517</v>
      </c>
      <c r="F897" s="34" t="s">
        <v>1223</v>
      </c>
      <c r="G897" s="19" t="n">
        <v>72</v>
      </c>
      <c r="H897" s="19" t="n">
        <v>67</v>
      </c>
      <c r="I897" s="19" t="n">
        <v>4</v>
      </c>
      <c r="J897" s="19" t="n">
        <v>46.6</v>
      </c>
      <c r="K897" s="39" t="n">
        <v>380000</v>
      </c>
      <c r="L897" s="39" t="n">
        <f aca="false">K897/J897</f>
        <v>8154.50643776824</v>
      </c>
      <c r="M897" s="34"/>
      <c r="N897" s="40"/>
      <c r="O897" s="30" t="n">
        <f aca="false">K897+N897</f>
        <v>380000</v>
      </c>
      <c r="P897" s="39" t="n">
        <f aca="false">O897/J897</f>
        <v>8154.50643776824</v>
      </c>
      <c r="Q897" s="19" t="s">
        <v>1224</v>
      </c>
      <c r="R897" s="22" t="s">
        <v>27</v>
      </c>
      <c r="S897" s="19" t="s">
        <v>29</v>
      </c>
      <c r="T897" s="19" t="s">
        <v>30</v>
      </c>
      <c r="U897" s="19" t="s">
        <v>31</v>
      </c>
      <c r="V897" s="41" t="n">
        <v>43514</v>
      </c>
      <c r="W897" s="34" t="s">
        <v>1225</v>
      </c>
      <c r="X897" s="18"/>
    </row>
    <row r="898" customFormat="false" ht="13.8" hidden="false" customHeight="false" outlineLevel="0" collapsed="false">
      <c r="A898" s="18"/>
      <c r="B898" s="19" t="n">
        <v>2460</v>
      </c>
      <c r="C898" s="20" t="n">
        <v>43360</v>
      </c>
      <c r="D898" s="38" t="s">
        <v>1226</v>
      </c>
      <c r="E898" s="22" t="s">
        <v>1227</v>
      </c>
      <c r="F898" s="34" t="s">
        <v>1228</v>
      </c>
      <c r="G898" s="19" t="n">
        <v>145</v>
      </c>
      <c r="H898" s="19" t="n">
        <v>19</v>
      </c>
      <c r="I898" s="19" t="n">
        <v>3</v>
      </c>
      <c r="J898" s="19" t="n">
        <v>53.6</v>
      </c>
      <c r="K898" s="39" t="n">
        <v>330000</v>
      </c>
      <c r="L898" s="39" t="n">
        <f aca="false">ROUND(K898/J898,2)</f>
        <v>6156.72</v>
      </c>
      <c r="M898" s="34"/>
      <c r="N898" s="40"/>
      <c r="O898" s="30" t="n">
        <f aca="false">K898+N898</f>
        <v>330000</v>
      </c>
      <c r="P898" s="39" t="n">
        <f aca="false">ROUND(O898/J898,2)</f>
        <v>6156.72</v>
      </c>
      <c r="Q898" s="19" t="s">
        <v>1144</v>
      </c>
      <c r="R898" s="22" t="n">
        <v>4</v>
      </c>
      <c r="S898" s="19" t="s">
        <v>29</v>
      </c>
      <c r="T898" s="19" t="s">
        <v>30</v>
      </c>
      <c r="U898" s="31" t="s">
        <v>31</v>
      </c>
      <c r="V898" s="41" t="n">
        <v>43432</v>
      </c>
      <c r="W898" s="18"/>
      <c r="X898" s="18"/>
    </row>
    <row r="899" customFormat="false" ht="13.8" hidden="false" customHeight="false" outlineLevel="0" collapsed="false">
      <c r="A899" s="18"/>
      <c r="B899" s="19" t="n">
        <v>3613</v>
      </c>
      <c r="C899" s="20" t="n">
        <v>43360</v>
      </c>
      <c r="D899" s="38" t="s">
        <v>22</v>
      </c>
      <c r="E899" s="22" t="s">
        <v>299</v>
      </c>
      <c r="F899" s="34" t="s">
        <v>271</v>
      </c>
      <c r="G899" s="19" t="n">
        <v>29</v>
      </c>
      <c r="H899" s="19" t="s">
        <v>1229</v>
      </c>
      <c r="I899" s="19" t="n">
        <v>5</v>
      </c>
      <c r="J899" s="19" t="n">
        <v>24.16</v>
      </c>
      <c r="K899" s="39" t="n">
        <v>220000</v>
      </c>
      <c r="L899" s="39" t="n">
        <f aca="false">ROUND(K899/J899,2)</f>
        <v>9105.96</v>
      </c>
      <c r="M899" s="34"/>
      <c r="N899" s="40"/>
      <c r="O899" s="30" t="n">
        <f aca="false">K899+N899</f>
        <v>220000</v>
      </c>
      <c r="P899" s="39" t="n">
        <f aca="false">ROUND(O899/J899,2)</f>
        <v>9105.96</v>
      </c>
      <c r="Q899" s="19" t="s">
        <v>1230</v>
      </c>
      <c r="R899" s="22" t="n">
        <v>1</v>
      </c>
      <c r="S899" s="19" t="s">
        <v>29</v>
      </c>
      <c r="T899" s="19" t="s">
        <v>30</v>
      </c>
      <c r="U899" s="31" t="s">
        <v>31</v>
      </c>
      <c r="V899" s="41" t="n">
        <v>43432</v>
      </c>
      <c r="W899" s="18"/>
      <c r="X899" s="18"/>
    </row>
    <row r="900" customFormat="false" ht="13.8" hidden="false" customHeight="false" outlineLevel="0" collapsed="false">
      <c r="A900" s="18"/>
      <c r="B900" s="19" t="n">
        <v>14302</v>
      </c>
      <c r="C900" s="20" t="n">
        <v>43361</v>
      </c>
      <c r="D900" s="38" t="s">
        <v>22</v>
      </c>
      <c r="E900" s="22" t="s">
        <v>289</v>
      </c>
      <c r="F900" s="34" t="s">
        <v>750</v>
      </c>
      <c r="G900" s="19" t="n">
        <v>13</v>
      </c>
      <c r="H900" s="19" t="n">
        <v>8</v>
      </c>
      <c r="I900" s="19" t="n">
        <v>4</v>
      </c>
      <c r="J900" s="19" t="n">
        <v>43.29</v>
      </c>
      <c r="K900" s="39" t="n">
        <v>450000</v>
      </c>
      <c r="L900" s="39" t="n">
        <f aca="false">ROUND(K900/J900,2)</f>
        <v>10395.01</v>
      </c>
      <c r="M900" s="34" t="s">
        <v>1231</v>
      </c>
      <c r="N900" s="40"/>
      <c r="O900" s="30" t="n">
        <f aca="false">K900+N900</f>
        <v>450000</v>
      </c>
      <c r="P900" s="39" t="n">
        <f aca="false">ROUND(O900/J900,2)</f>
        <v>10395.01</v>
      </c>
      <c r="Q900" s="19" t="s">
        <v>1166</v>
      </c>
      <c r="R900" s="22" t="n">
        <v>2</v>
      </c>
      <c r="S900" s="19" t="s">
        <v>29</v>
      </c>
      <c r="T900" s="19" t="s">
        <v>30</v>
      </c>
      <c r="U900" s="31" t="s">
        <v>31</v>
      </c>
      <c r="V900" s="41" t="n">
        <v>43432</v>
      </c>
      <c r="W900" s="18"/>
      <c r="X900" s="18"/>
    </row>
    <row r="901" customFormat="false" ht="13.8" hidden="false" customHeight="false" outlineLevel="0" collapsed="false">
      <c r="A901" s="18"/>
      <c r="B901" s="19" t="n">
        <v>10962</v>
      </c>
      <c r="C901" s="20" t="n">
        <v>43361</v>
      </c>
      <c r="D901" s="38" t="s">
        <v>22</v>
      </c>
      <c r="E901" s="22" t="s">
        <v>203</v>
      </c>
      <c r="F901" s="34" t="s">
        <v>138</v>
      </c>
      <c r="G901" s="19" t="n">
        <v>12</v>
      </c>
      <c r="H901" s="19" t="n">
        <v>502</v>
      </c>
      <c r="I901" s="19" t="n">
        <v>6</v>
      </c>
      <c r="J901" s="19" t="n">
        <v>65.72</v>
      </c>
      <c r="K901" s="39" t="n">
        <v>650000</v>
      </c>
      <c r="L901" s="39" t="n">
        <f aca="false">ROUND(K901/J901,2)</f>
        <v>9890.44</v>
      </c>
      <c r="M901" s="34"/>
      <c r="N901" s="40"/>
      <c r="O901" s="30" t="n">
        <f aca="false">K901+N901</f>
        <v>650000</v>
      </c>
      <c r="P901" s="39" t="n">
        <f aca="false">ROUND(O901/J901,2)</f>
        <v>9890.44</v>
      </c>
      <c r="Q901" s="19" t="s">
        <v>1128</v>
      </c>
      <c r="R901" s="22" t="n">
        <v>3</v>
      </c>
      <c r="S901" s="19" t="s">
        <v>29</v>
      </c>
      <c r="T901" s="19" t="s">
        <v>30</v>
      </c>
      <c r="U901" s="31" t="s">
        <v>31</v>
      </c>
      <c r="V901" s="41" t="n">
        <v>43432</v>
      </c>
      <c r="W901" s="18"/>
      <c r="X901" s="18"/>
    </row>
    <row r="902" customFormat="false" ht="13.8" hidden="false" customHeight="false" outlineLevel="0" collapsed="false">
      <c r="A902" s="18"/>
      <c r="B902" s="19" t="n">
        <v>1172</v>
      </c>
      <c r="C902" s="20" t="n">
        <v>43361</v>
      </c>
      <c r="D902" s="38" t="s">
        <v>22</v>
      </c>
      <c r="E902" s="22" t="s">
        <v>144</v>
      </c>
      <c r="F902" s="34" t="s">
        <v>145</v>
      </c>
      <c r="G902" s="19" t="n">
        <v>1</v>
      </c>
      <c r="H902" s="19" t="n">
        <v>18</v>
      </c>
      <c r="I902" s="19" t="n">
        <v>1</v>
      </c>
      <c r="J902" s="19" t="n">
        <v>27.66</v>
      </c>
      <c r="K902" s="39" t="n">
        <v>350000</v>
      </c>
      <c r="L902" s="39" t="n">
        <f aca="false">ROUND(K902/J902,2)</f>
        <v>12653.65</v>
      </c>
      <c r="M902" s="34"/>
      <c r="N902" s="40"/>
      <c r="O902" s="30" t="n">
        <f aca="false">K902+N902</f>
        <v>350000</v>
      </c>
      <c r="P902" s="39" t="n">
        <f aca="false">ROUND(O902/J902,2)</f>
        <v>12653.65</v>
      </c>
      <c r="Q902" s="19" t="s">
        <v>1166</v>
      </c>
      <c r="R902" s="22" t="n">
        <v>2</v>
      </c>
      <c r="S902" s="19" t="s">
        <v>29</v>
      </c>
      <c r="T902" s="19" t="s">
        <v>30</v>
      </c>
      <c r="U902" s="31" t="s">
        <v>31</v>
      </c>
      <c r="V902" s="41" t="n">
        <v>43432</v>
      </c>
      <c r="W902" s="18"/>
      <c r="X902" s="18"/>
    </row>
    <row r="903" customFormat="false" ht="13.8" hidden="false" customHeight="false" outlineLevel="0" collapsed="false">
      <c r="A903" s="18"/>
      <c r="B903" s="19" t="n">
        <v>3702</v>
      </c>
      <c r="C903" s="20" t="n">
        <v>43361</v>
      </c>
      <c r="D903" s="38" t="s">
        <v>22</v>
      </c>
      <c r="E903" s="22" t="s">
        <v>23</v>
      </c>
      <c r="F903" s="34" t="s">
        <v>261</v>
      </c>
      <c r="G903" s="19" t="s">
        <v>262</v>
      </c>
      <c r="H903" s="19" t="n">
        <v>7</v>
      </c>
      <c r="I903" s="19" t="n">
        <v>2</v>
      </c>
      <c r="J903" s="19" t="n">
        <v>47.77</v>
      </c>
      <c r="K903" s="39" t="n">
        <v>410000</v>
      </c>
      <c r="L903" s="39" t="n">
        <f aca="false">ROUND(K903/J903,2)</f>
        <v>8582.79</v>
      </c>
      <c r="M903" s="34"/>
      <c r="N903" s="40"/>
      <c r="O903" s="30" t="n">
        <f aca="false">K903+N903</f>
        <v>410000</v>
      </c>
      <c r="P903" s="39" t="n">
        <f aca="false">ROUND(O903/J903,2)</f>
        <v>8582.79</v>
      </c>
      <c r="Q903" s="19" t="s">
        <v>1144</v>
      </c>
      <c r="R903" s="22" t="n">
        <v>4</v>
      </c>
      <c r="S903" s="19" t="s">
        <v>29</v>
      </c>
      <c r="T903" s="19" t="s">
        <v>30</v>
      </c>
      <c r="U903" s="31" t="s">
        <v>31</v>
      </c>
      <c r="V903" s="41" t="n">
        <v>43432</v>
      </c>
      <c r="W903" s="18"/>
      <c r="X903" s="18"/>
    </row>
    <row r="904" customFormat="false" ht="13.8" hidden="false" customHeight="false" outlineLevel="0" collapsed="false">
      <c r="A904" s="18"/>
      <c r="B904" s="19" t="n">
        <v>4813</v>
      </c>
      <c r="C904" s="20" t="n">
        <v>43361</v>
      </c>
      <c r="D904" s="38" t="s">
        <v>22</v>
      </c>
      <c r="E904" s="22" t="s">
        <v>667</v>
      </c>
      <c r="F904" s="34" t="s">
        <v>1232</v>
      </c>
      <c r="G904" s="19" t="n">
        <v>3</v>
      </c>
      <c r="H904" s="19" t="n">
        <v>3</v>
      </c>
      <c r="I904" s="19" t="n">
        <v>2</v>
      </c>
      <c r="J904" s="19" t="n">
        <v>98.03</v>
      </c>
      <c r="K904" s="39" t="n">
        <v>820000</v>
      </c>
      <c r="L904" s="39" t="n">
        <f aca="false">ROUND(K904/J904,2)</f>
        <v>8364.79</v>
      </c>
      <c r="M904" s="34" t="s">
        <v>987</v>
      </c>
      <c r="N904" s="40"/>
      <c r="O904" s="30" t="n">
        <f aca="false">K904+N904</f>
        <v>820000</v>
      </c>
      <c r="P904" s="39" t="n">
        <f aca="false">ROUND(O904/J904,2)</f>
        <v>8364.79</v>
      </c>
      <c r="Q904" s="19" t="s">
        <v>1233</v>
      </c>
      <c r="R904" s="22" t="n">
        <v>3</v>
      </c>
      <c r="S904" s="19" t="s">
        <v>29</v>
      </c>
      <c r="T904" s="19" t="s">
        <v>30</v>
      </c>
      <c r="U904" s="31" t="s">
        <v>31</v>
      </c>
      <c r="V904" s="41" t="n">
        <v>43432</v>
      </c>
      <c r="W904" s="18"/>
      <c r="X904" s="18"/>
    </row>
    <row r="905" customFormat="false" ht="13.8" hidden="false" customHeight="false" outlineLevel="0" collapsed="false">
      <c r="A905" s="18"/>
      <c r="B905" s="19" t="n">
        <v>5198</v>
      </c>
      <c r="C905" s="20" t="n">
        <v>43361</v>
      </c>
      <c r="D905" s="38" t="s">
        <v>22</v>
      </c>
      <c r="E905" s="22" t="s">
        <v>934</v>
      </c>
      <c r="F905" s="34" t="s">
        <v>46</v>
      </c>
      <c r="G905" s="19" t="s">
        <v>1234</v>
      </c>
      <c r="H905" s="19" t="n">
        <v>2</v>
      </c>
      <c r="I905" s="19" t="n">
        <v>2</v>
      </c>
      <c r="J905" s="19" t="n">
        <v>35.02</v>
      </c>
      <c r="K905" s="39" t="n">
        <v>320000</v>
      </c>
      <c r="L905" s="39" t="n">
        <f aca="false">ROUND(K905/J905,2)</f>
        <v>9137.64</v>
      </c>
      <c r="M905" s="34"/>
      <c r="N905" s="40"/>
      <c r="O905" s="30" t="n">
        <f aca="false">K905+N905</f>
        <v>320000</v>
      </c>
      <c r="P905" s="39" t="n">
        <f aca="false">ROUND(O905/J905,2)</f>
        <v>9137.64</v>
      </c>
      <c r="Q905" s="19" t="s">
        <v>701</v>
      </c>
      <c r="R905" s="22" t="n">
        <v>3</v>
      </c>
      <c r="S905" s="19" t="s">
        <v>29</v>
      </c>
      <c r="T905" s="19" t="s">
        <v>30</v>
      </c>
      <c r="U905" s="31" t="s">
        <v>31</v>
      </c>
      <c r="V905" s="41" t="n">
        <v>43432</v>
      </c>
      <c r="W905" s="18"/>
      <c r="X905" s="18"/>
      <c r="Y905" s="35"/>
      <c r="Z905" s="43"/>
    </row>
    <row r="906" customFormat="false" ht="13.8" hidden="false" customHeight="false" outlineLevel="0" collapsed="false">
      <c r="A906" s="18"/>
      <c r="B906" s="19" t="n">
        <v>12624</v>
      </c>
      <c r="C906" s="20" t="n">
        <v>43361</v>
      </c>
      <c r="D906" s="38" t="s">
        <v>22</v>
      </c>
      <c r="E906" s="22" t="s">
        <v>235</v>
      </c>
      <c r="F906" s="34" t="s">
        <v>561</v>
      </c>
      <c r="G906" s="19" t="n">
        <v>3</v>
      </c>
      <c r="H906" s="19" t="n">
        <v>8</v>
      </c>
      <c r="I906" s="19" t="n">
        <v>3</v>
      </c>
      <c r="J906" s="19" t="n">
        <v>50.5</v>
      </c>
      <c r="K906" s="39" t="n">
        <v>489500</v>
      </c>
      <c r="L906" s="39" t="n">
        <f aca="false">ROUND(K906/J906,2)</f>
        <v>9693.07</v>
      </c>
      <c r="M906" s="34" t="s">
        <v>1158</v>
      </c>
      <c r="N906" s="40"/>
      <c r="O906" s="30" t="n">
        <f aca="false">K906+N906</f>
        <v>489500</v>
      </c>
      <c r="P906" s="39" t="n">
        <f aca="false">ROUND(O906/J906,2)</f>
        <v>9693.07</v>
      </c>
      <c r="Q906" s="19" t="s">
        <v>1144</v>
      </c>
      <c r="R906" s="22" t="n">
        <v>4</v>
      </c>
      <c r="S906" s="19" t="s">
        <v>29</v>
      </c>
      <c r="T906" s="19" t="s">
        <v>30</v>
      </c>
      <c r="U906" s="31" t="s">
        <v>31</v>
      </c>
      <c r="V906" s="41" t="n">
        <v>43432</v>
      </c>
      <c r="W906" s="34"/>
      <c r="X906" s="34"/>
    </row>
    <row r="907" customFormat="false" ht="13.8" hidden="false" customHeight="false" outlineLevel="0" collapsed="false">
      <c r="A907" s="18"/>
      <c r="B907" s="19" t="n">
        <v>4751</v>
      </c>
      <c r="C907" s="20" t="n">
        <v>43362</v>
      </c>
      <c r="D907" s="38" t="s">
        <v>22</v>
      </c>
      <c r="E907" s="22" t="s">
        <v>343</v>
      </c>
      <c r="F907" s="34" t="s">
        <v>344</v>
      </c>
      <c r="G907" s="19" t="n">
        <v>69</v>
      </c>
      <c r="H907" s="19" t="n">
        <v>1</v>
      </c>
      <c r="I907" s="19" t="n">
        <v>1</v>
      </c>
      <c r="J907" s="19" t="n">
        <v>35.7</v>
      </c>
      <c r="K907" s="39" t="n">
        <v>370000</v>
      </c>
      <c r="L907" s="39" t="n">
        <f aca="false">ROUND(K907/J907,2)</f>
        <v>10364.15</v>
      </c>
      <c r="M907" s="34" t="s">
        <v>1235</v>
      </c>
      <c r="N907" s="40"/>
      <c r="O907" s="30" t="n">
        <f aca="false">K907+N907</f>
        <v>370000</v>
      </c>
      <c r="P907" s="39" t="n">
        <f aca="false">ROUND(O907/J907,2)</f>
        <v>10364.15</v>
      </c>
      <c r="Q907" s="19" t="s">
        <v>1236</v>
      </c>
      <c r="R907" s="22" t="n">
        <v>2</v>
      </c>
      <c r="S907" s="19" t="s">
        <v>29</v>
      </c>
      <c r="T907" s="19" t="s">
        <v>30</v>
      </c>
      <c r="U907" s="31" t="s">
        <v>31</v>
      </c>
      <c r="V907" s="41" t="n">
        <v>43432</v>
      </c>
      <c r="W907" s="34"/>
      <c r="X907" s="34"/>
    </row>
    <row r="908" customFormat="false" ht="13.8" hidden="false" customHeight="false" outlineLevel="0" collapsed="false">
      <c r="A908" s="18"/>
      <c r="B908" s="19" t="n">
        <v>2390</v>
      </c>
      <c r="C908" s="20" t="n">
        <v>43362</v>
      </c>
      <c r="D908" s="38" t="s">
        <v>22</v>
      </c>
      <c r="E908" s="22" t="s">
        <v>156</v>
      </c>
      <c r="F908" s="34" t="s">
        <v>157</v>
      </c>
      <c r="G908" s="19" t="s">
        <v>158</v>
      </c>
      <c r="H908" s="19" t="n">
        <v>134</v>
      </c>
      <c r="I908" s="19" t="n">
        <v>1</v>
      </c>
      <c r="J908" s="19" t="n">
        <v>56.64</v>
      </c>
      <c r="K908" s="39" t="n">
        <v>500000</v>
      </c>
      <c r="L908" s="39" t="n">
        <f aca="false">ROUND(K908/J908,2)</f>
        <v>8827.68</v>
      </c>
      <c r="M908" s="34" t="s">
        <v>1237</v>
      </c>
      <c r="N908" s="40" t="n">
        <v>35000</v>
      </c>
      <c r="O908" s="30" t="n">
        <f aca="false">K908+N908</f>
        <v>535000</v>
      </c>
      <c r="P908" s="39" t="n">
        <f aca="false">ROUND(O908/J908,2)</f>
        <v>9445.62</v>
      </c>
      <c r="Q908" s="19" t="s">
        <v>1238</v>
      </c>
      <c r="R908" s="22" t="n">
        <v>2</v>
      </c>
      <c r="S908" s="19" t="s">
        <v>29</v>
      </c>
      <c r="T908" s="19" t="s">
        <v>30</v>
      </c>
      <c r="U908" s="31" t="s">
        <v>31</v>
      </c>
      <c r="V908" s="41" t="n">
        <v>43432</v>
      </c>
      <c r="W908" s="34"/>
      <c r="X908" s="34"/>
      <c r="AMJ908" s="32"/>
    </row>
    <row r="909" s="32" customFormat="true" ht="13.8" hidden="false" customHeight="false" outlineLevel="0" collapsed="false">
      <c r="A909" s="18"/>
      <c r="B909" s="19" t="n">
        <v>45099</v>
      </c>
      <c r="C909" s="20" t="n">
        <v>43362</v>
      </c>
      <c r="D909" s="38" t="s">
        <v>22</v>
      </c>
      <c r="E909" s="22" t="s">
        <v>517</v>
      </c>
      <c r="F909" s="34" t="s">
        <v>592</v>
      </c>
      <c r="G909" s="19" t="n">
        <v>2</v>
      </c>
      <c r="H909" s="19" t="n">
        <v>15</v>
      </c>
      <c r="I909" s="19" t="n">
        <v>3</v>
      </c>
      <c r="J909" s="19" t="n">
        <v>69.1</v>
      </c>
      <c r="K909" s="39" t="n">
        <v>515000</v>
      </c>
      <c r="L909" s="39" t="n">
        <f aca="false">ROUND(K909/J909,2)</f>
        <v>7452.97</v>
      </c>
      <c r="M909" s="18"/>
      <c r="N909" s="40"/>
      <c r="O909" s="30" t="n">
        <f aca="false">K909+N909</f>
        <v>515000</v>
      </c>
      <c r="P909" s="39" t="n">
        <f aca="false">ROUND(O909/J909,2)</f>
        <v>7452.97</v>
      </c>
      <c r="Q909" s="19" t="s">
        <v>1144</v>
      </c>
      <c r="R909" s="22" t="n">
        <v>4</v>
      </c>
      <c r="S909" s="19" t="s">
        <v>29</v>
      </c>
      <c r="T909" s="19" t="s">
        <v>30</v>
      </c>
      <c r="U909" s="31" t="s">
        <v>31</v>
      </c>
      <c r="V909" s="41" t="n">
        <v>43432</v>
      </c>
      <c r="W909" s="34"/>
      <c r="X909" s="34"/>
    </row>
    <row r="910" s="32" customFormat="true" ht="13.8" hidden="false" customHeight="false" outlineLevel="0" collapsed="false">
      <c r="A910" s="18"/>
      <c r="B910" s="19" t="n">
        <v>6641</v>
      </c>
      <c r="C910" s="20" t="n">
        <v>43362</v>
      </c>
      <c r="D910" s="38" t="s">
        <v>22</v>
      </c>
      <c r="E910" s="22" t="s">
        <v>148</v>
      </c>
      <c r="F910" s="34" t="s">
        <v>957</v>
      </c>
      <c r="G910" s="19" t="n">
        <v>23</v>
      </c>
      <c r="H910" s="19" t="n">
        <v>467</v>
      </c>
      <c r="I910" s="19" t="n">
        <v>2</v>
      </c>
      <c r="J910" s="19" t="n">
        <v>42.86</v>
      </c>
      <c r="K910" s="39" t="n">
        <v>360000</v>
      </c>
      <c r="L910" s="39" t="n">
        <f aca="false">ROUND(K910/J910,2)</f>
        <v>8399.44</v>
      </c>
      <c r="M910" s="18"/>
      <c r="N910" s="40"/>
      <c r="O910" s="30" t="n">
        <f aca="false">K910+N910</f>
        <v>360000</v>
      </c>
      <c r="P910" s="39" t="n">
        <f aca="false">ROUND(O910/J910,2)</f>
        <v>8399.44</v>
      </c>
      <c r="Q910" s="19" t="s">
        <v>701</v>
      </c>
      <c r="R910" s="22" t="n">
        <v>3</v>
      </c>
      <c r="S910" s="19" t="s">
        <v>29</v>
      </c>
      <c r="T910" s="19" t="s">
        <v>30</v>
      </c>
      <c r="U910" s="31" t="s">
        <v>31</v>
      </c>
      <c r="V910" s="41" t="n">
        <v>43432</v>
      </c>
      <c r="W910" s="34"/>
      <c r="X910" s="34"/>
    </row>
    <row r="911" s="32" customFormat="true" ht="13.8" hidden="false" customHeight="false" outlineLevel="0" collapsed="false">
      <c r="A911" s="18"/>
      <c r="B911" s="19" t="n">
        <v>3470</v>
      </c>
      <c r="C911" s="20" t="n">
        <v>43362</v>
      </c>
      <c r="D911" s="38" t="s">
        <v>22</v>
      </c>
      <c r="E911" s="22" t="s">
        <v>175</v>
      </c>
      <c r="F911" s="34" t="s">
        <v>176</v>
      </c>
      <c r="G911" s="19" t="n">
        <v>76</v>
      </c>
      <c r="H911" s="19" t="n">
        <v>21</v>
      </c>
      <c r="I911" s="19" t="n">
        <v>4</v>
      </c>
      <c r="J911" s="19" t="n">
        <v>33.34</v>
      </c>
      <c r="K911" s="39" t="n">
        <v>369000</v>
      </c>
      <c r="L911" s="39" t="n">
        <f aca="false">ROUND(K911/J911,2)</f>
        <v>11067.79</v>
      </c>
      <c r="M911" s="18"/>
      <c r="N911" s="40"/>
      <c r="O911" s="30" t="n">
        <f aca="false">K911+N911</f>
        <v>369000</v>
      </c>
      <c r="P911" s="39" t="n">
        <f aca="false">ROUND(O911/J911,2)</f>
        <v>11067.79</v>
      </c>
      <c r="Q911" s="19" t="s">
        <v>1166</v>
      </c>
      <c r="R911" s="22" t="n">
        <v>2</v>
      </c>
      <c r="S911" s="19" t="s">
        <v>29</v>
      </c>
      <c r="T911" s="19" t="s">
        <v>30</v>
      </c>
      <c r="U911" s="31" t="s">
        <v>31</v>
      </c>
      <c r="V911" s="41" t="n">
        <v>43432</v>
      </c>
      <c r="W911" s="34"/>
      <c r="X911" s="34"/>
    </row>
    <row r="912" s="32" customFormat="true" ht="13.8" hidden="false" customHeight="false" outlineLevel="0" collapsed="false">
      <c r="A912" s="18"/>
      <c r="B912" s="19" t="n">
        <v>1918</v>
      </c>
      <c r="C912" s="20" t="n">
        <v>43362</v>
      </c>
      <c r="D912" s="38" t="s">
        <v>22</v>
      </c>
      <c r="E912" s="22" t="s">
        <v>369</v>
      </c>
      <c r="F912" s="34" t="s">
        <v>370</v>
      </c>
      <c r="G912" s="19" t="n">
        <v>9</v>
      </c>
      <c r="H912" s="19" t="n">
        <v>4</v>
      </c>
      <c r="I912" s="19" t="n">
        <v>2</v>
      </c>
      <c r="J912" s="19" t="n">
        <v>39.81</v>
      </c>
      <c r="K912" s="39" t="n">
        <v>395000</v>
      </c>
      <c r="L912" s="39" t="n">
        <f aca="false">ROUND(K912/J912,2)</f>
        <v>9922.13</v>
      </c>
      <c r="M912" s="34" t="s">
        <v>1158</v>
      </c>
      <c r="N912" s="40"/>
      <c r="O912" s="30" t="n">
        <f aca="false">K912+N912</f>
        <v>395000</v>
      </c>
      <c r="P912" s="39" t="n">
        <f aca="false">ROUND(O912/J912,2)</f>
        <v>9922.13</v>
      </c>
      <c r="Q912" s="19" t="s">
        <v>1166</v>
      </c>
      <c r="R912" s="22" t="n">
        <v>2</v>
      </c>
      <c r="S912" s="19" t="s">
        <v>29</v>
      </c>
      <c r="T912" s="19" t="s">
        <v>30</v>
      </c>
      <c r="U912" s="31" t="s">
        <v>31</v>
      </c>
      <c r="V912" s="41" t="n">
        <v>43432</v>
      </c>
      <c r="W912" s="18"/>
      <c r="X912" s="18"/>
    </row>
    <row r="913" s="32" customFormat="true" ht="13.8" hidden="false" customHeight="false" outlineLevel="0" collapsed="false">
      <c r="A913" s="18"/>
      <c r="B913" s="19" t="n">
        <v>10974</v>
      </c>
      <c r="C913" s="20" t="n">
        <v>43362</v>
      </c>
      <c r="D913" s="38" t="s">
        <v>22</v>
      </c>
      <c r="E913" s="22" t="s">
        <v>118</v>
      </c>
      <c r="F913" s="34" t="s">
        <v>119</v>
      </c>
      <c r="G913" s="19" t="s">
        <v>384</v>
      </c>
      <c r="H913" s="19" t="n">
        <v>52</v>
      </c>
      <c r="I913" s="19" t="n">
        <v>4</v>
      </c>
      <c r="J913" s="19" t="n">
        <v>43.5</v>
      </c>
      <c r="K913" s="39" t="n">
        <v>367500</v>
      </c>
      <c r="L913" s="39" t="n">
        <f aca="false">ROUND(K913/J913,2)</f>
        <v>8448.28</v>
      </c>
      <c r="M913" s="34" t="s">
        <v>1239</v>
      </c>
      <c r="N913" s="40"/>
      <c r="O913" s="30" t="n">
        <f aca="false">K913+N913</f>
        <v>367500</v>
      </c>
      <c r="P913" s="39" t="n">
        <f aca="false">ROUND(O913/J913,2)</f>
        <v>8448.28</v>
      </c>
      <c r="Q913" s="19" t="s">
        <v>1238</v>
      </c>
      <c r="R913" s="22" t="n">
        <v>3</v>
      </c>
      <c r="S913" s="19" t="s">
        <v>29</v>
      </c>
      <c r="T913" s="19" t="s">
        <v>30</v>
      </c>
      <c r="U913" s="31" t="s">
        <v>31</v>
      </c>
      <c r="V913" s="41" t="n">
        <v>43432</v>
      </c>
      <c r="W913" s="18"/>
      <c r="X913" s="18"/>
    </row>
    <row r="914" customFormat="false" ht="13.8" hidden="false" customHeight="false" outlineLevel="0" collapsed="false">
      <c r="A914" s="18"/>
      <c r="B914" s="19" t="n">
        <v>2009</v>
      </c>
      <c r="C914" s="20" t="n">
        <v>43362</v>
      </c>
      <c r="D914" s="38" t="s">
        <v>22</v>
      </c>
      <c r="E914" s="22" t="s">
        <v>399</v>
      </c>
      <c r="F914" s="34" t="s">
        <v>549</v>
      </c>
      <c r="G914" s="19" t="n">
        <v>1</v>
      </c>
      <c r="H914" s="19" t="n">
        <v>17</v>
      </c>
      <c r="I914" s="19" t="n">
        <v>7</v>
      </c>
      <c r="J914" s="19" t="n">
        <v>74.9</v>
      </c>
      <c r="K914" s="39" t="n">
        <v>850000</v>
      </c>
      <c r="L914" s="39" t="n">
        <f aca="false">ROUND(K914/J914,2)</f>
        <v>11348.46</v>
      </c>
      <c r="M914" s="34" t="s">
        <v>943</v>
      </c>
      <c r="N914" s="40"/>
      <c r="O914" s="30" t="n">
        <f aca="false">K914+N914</f>
        <v>850000</v>
      </c>
      <c r="P914" s="39" t="n">
        <f aca="false">ROUND(O914/J914,2)</f>
        <v>11348.46</v>
      </c>
      <c r="Q914" s="19" t="s">
        <v>1144</v>
      </c>
      <c r="R914" s="22" t="n">
        <v>4</v>
      </c>
      <c r="S914" s="19" t="s">
        <v>29</v>
      </c>
      <c r="T914" s="19" t="s">
        <v>30</v>
      </c>
      <c r="U914" s="31" t="s">
        <v>31</v>
      </c>
      <c r="V914" s="41" t="n">
        <v>43432</v>
      </c>
      <c r="W914" s="18"/>
      <c r="X914" s="18"/>
    </row>
    <row r="915" customFormat="false" ht="13.8" hidden="false" customHeight="false" outlineLevel="0" collapsed="false">
      <c r="A915" s="18"/>
      <c r="B915" s="19" t="s">
        <v>887</v>
      </c>
      <c r="C915" s="20" t="n">
        <v>43363</v>
      </c>
      <c r="D915" s="38" t="s">
        <v>22</v>
      </c>
      <c r="E915" s="22" t="s">
        <v>576</v>
      </c>
      <c r="F915" s="45" t="s">
        <v>1240</v>
      </c>
      <c r="G915" s="19" t="n">
        <v>1</v>
      </c>
      <c r="H915" s="19"/>
      <c r="I915" s="19" t="n">
        <v>12</v>
      </c>
      <c r="J915" s="25" t="n">
        <v>36.3</v>
      </c>
      <c r="K915" s="39" t="n">
        <v>290000</v>
      </c>
      <c r="L915" s="39" t="n">
        <f aca="false">K915/J915</f>
        <v>7988.98071625345</v>
      </c>
      <c r="M915" s="18"/>
      <c r="N915" s="40"/>
      <c r="O915" s="30" t="n">
        <f aca="false">K915+N915</f>
        <v>290000</v>
      </c>
      <c r="P915" s="39" t="n">
        <f aca="false">O915/J915</f>
        <v>7988.98071625345</v>
      </c>
      <c r="Q915" s="19" t="s">
        <v>889</v>
      </c>
      <c r="R915" s="19" t="n">
        <v>3</v>
      </c>
      <c r="S915" s="19" t="s">
        <v>1141</v>
      </c>
      <c r="T915" s="19"/>
      <c r="U915" s="19" t="s">
        <v>31</v>
      </c>
      <c r="V915" s="41" t="n">
        <v>43727</v>
      </c>
      <c r="W915" s="18"/>
      <c r="X915" s="18"/>
      <c r="Z915" s="33"/>
      <c r="AMJ915" s="32"/>
    </row>
    <row r="916" s="32" customFormat="true" ht="13.8" hidden="false" customHeight="false" outlineLevel="0" collapsed="false">
      <c r="A916" s="18"/>
      <c r="B916" s="19" t="n">
        <v>2423</v>
      </c>
      <c r="C916" s="20" t="n">
        <v>43363</v>
      </c>
      <c r="D916" s="38" t="s">
        <v>22</v>
      </c>
      <c r="E916" s="22" t="s">
        <v>206</v>
      </c>
      <c r="F916" s="34" t="s">
        <v>191</v>
      </c>
      <c r="G916" s="19" t="n">
        <v>9</v>
      </c>
      <c r="H916" s="19" t="n">
        <v>203</v>
      </c>
      <c r="I916" s="19" t="n">
        <v>4</v>
      </c>
      <c r="J916" s="19" t="n">
        <v>72.64</v>
      </c>
      <c r="K916" s="39" t="n">
        <v>735000</v>
      </c>
      <c r="L916" s="39" t="n">
        <f aca="false">ROUND(K916/J916,2)</f>
        <v>10118.39</v>
      </c>
      <c r="M916" s="34" t="s">
        <v>987</v>
      </c>
      <c r="N916" s="40" t="n">
        <v>35000</v>
      </c>
      <c r="O916" s="30" t="n">
        <f aca="false">K916+N916</f>
        <v>770000</v>
      </c>
      <c r="P916" s="39" t="n">
        <f aca="false">ROUND(O916/J916,2)</f>
        <v>10600.22</v>
      </c>
      <c r="Q916" s="19" t="s">
        <v>1128</v>
      </c>
      <c r="R916" s="22" t="n">
        <v>3</v>
      </c>
      <c r="S916" s="19" t="s">
        <v>29</v>
      </c>
      <c r="T916" s="19" t="s">
        <v>30</v>
      </c>
      <c r="U916" s="31" t="s">
        <v>31</v>
      </c>
      <c r="V916" s="41" t="n">
        <v>43432</v>
      </c>
      <c r="W916" s="18"/>
      <c r="X916" s="18"/>
      <c r="Y916" s="35"/>
      <c r="Z916" s="43"/>
    </row>
    <row r="917" customFormat="false" ht="13.8" hidden="false" customHeight="false" outlineLevel="0" collapsed="false">
      <c r="A917" s="18"/>
      <c r="B917" s="19" t="n">
        <v>2263</v>
      </c>
      <c r="C917" s="20" t="n">
        <v>43363</v>
      </c>
      <c r="D917" s="38" t="s">
        <v>22</v>
      </c>
      <c r="E917" s="22" t="s">
        <v>276</v>
      </c>
      <c r="F917" s="34" t="s">
        <v>38</v>
      </c>
      <c r="G917" s="19" t="n">
        <v>34</v>
      </c>
      <c r="H917" s="19" t="n">
        <v>43</v>
      </c>
      <c r="I917" s="19" t="n">
        <v>4</v>
      </c>
      <c r="J917" s="19" t="n">
        <v>37.4</v>
      </c>
      <c r="K917" s="39" t="n">
        <v>325000</v>
      </c>
      <c r="L917" s="39" t="n">
        <f aca="false">ROUND(K917/J917,2)</f>
        <v>8689.84</v>
      </c>
      <c r="M917" s="18"/>
      <c r="N917" s="40"/>
      <c r="O917" s="30" t="n">
        <f aca="false">K917+N917</f>
        <v>325000</v>
      </c>
      <c r="P917" s="39" t="n">
        <f aca="false">ROUND(O917/J917,2)</f>
        <v>8689.84</v>
      </c>
      <c r="Q917" s="19" t="s">
        <v>701</v>
      </c>
      <c r="R917" s="22" t="n">
        <v>3</v>
      </c>
      <c r="S917" s="19" t="s">
        <v>29</v>
      </c>
      <c r="T917" s="19" t="s">
        <v>30</v>
      </c>
      <c r="U917" s="31" t="s">
        <v>31</v>
      </c>
      <c r="V917" s="41" t="n">
        <v>43432</v>
      </c>
      <c r="W917" s="18"/>
      <c r="X917" s="18"/>
      <c r="AMJ917" s="32"/>
    </row>
    <row r="918" s="32" customFormat="true" ht="13.8" hidden="false" customHeight="false" outlineLevel="0" collapsed="false">
      <c r="A918" s="18"/>
      <c r="B918" s="19" t="n">
        <v>8565</v>
      </c>
      <c r="C918" s="20" t="n">
        <v>43363</v>
      </c>
      <c r="D918" s="38" t="s">
        <v>22</v>
      </c>
      <c r="E918" s="22" t="s">
        <v>42</v>
      </c>
      <c r="F918" s="34" t="s">
        <v>1028</v>
      </c>
      <c r="G918" s="19" t="s">
        <v>146</v>
      </c>
      <c r="H918" s="19" t="n">
        <v>46</v>
      </c>
      <c r="I918" s="19" t="n">
        <v>6</v>
      </c>
      <c r="J918" s="19" t="n">
        <v>47.99</v>
      </c>
      <c r="K918" s="39" t="n">
        <v>365000</v>
      </c>
      <c r="L918" s="39" t="n">
        <f aca="false">ROUND(K918/J918,2)</f>
        <v>7605.75</v>
      </c>
      <c r="M918" s="18"/>
      <c r="N918" s="40"/>
      <c r="O918" s="30" t="n">
        <f aca="false">K918+N918</f>
        <v>365000</v>
      </c>
      <c r="P918" s="39" t="n">
        <f aca="false">ROUND(O918/J918,2)</f>
        <v>7605.75</v>
      </c>
      <c r="Q918" s="19" t="s">
        <v>1144</v>
      </c>
      <c r="R918" s="22" t="n">
        <v>4</v>
      </c>
      <c r="S918" s="19" t="s">
        <v>29</v>
      </c>
      <c r="T918" s="19" t="s">
        <v>30</v>
      </c>
      <c r="U918" s="31" t="s">
        <v>31</v>
      </c>
      <c r="V918" s="41" t="n">
        <v>43432</v>
      </c>
      <c r="W918" s="18"/>
      <c r="X918" s="18"/>
    </row>
    <row r="919" customFormat="false" ht="13.8" hidden="false" customHeight="false" outlineLevel="0" collapsed="false">
      <c r="A919" s="18"/>
      <c r="B919" s="19" t="n">
        <v>14581</v>
      </c>
      <c r="C919" s="20" t="n">
        <v>43363</v>
      </c>
      <c r="D919" s="38" t="s">
        <v>22</v>
      </c>
      <c r="E919" s="22" t="s">
        <v>72</v>
      </c>
      <c r="F919" s="34" t="s">
        <v>387</v>
      </c>
      <c r="G919" s="19" t="s">
        <v>274</v>
      </c>
      <c r="H919" s="19" t="n">
        <v>21</v>
      </c>
      <c r="I919" s="19" t="n">
        <v>4</v>
      </c>
      <c r="J919" s="19" t="n">
        <v>55</v>
      </c>
      <c r="K919" s="39" t="n">
        <v>445000</v>
      </c>
      <c r="L919" s="39" t="n">
        <f aca="false">ROUND(K919/J919,2)</f>
        <v>8090.91</v>
      </c>
      <c r="M919" s="18"/>
      <c r="N919" s="40"/>
      <c r="O919" s="30" t="n">
        <f aca="false">K919+N919</f>
        <v>445000</v>
      </c>
      <c r="P919" s="39" t="n">
        <f aca="false">ROUND(O919/J919,2)</f>
        <v>8090.91</v>
      </c>
      <c r="Q919" s="19" t="s">
        <v>701</v>
      </c>
      <c r="R919" s="22" t="n">
        <v>3</v>
      </c>
      <c r="S919" s="19" t="s">
        <v>29</v>
      </c>
      <c r="T919" s="19" t="s">
        <v>30</v>
      </c>
      <c r="U919" s="31" t="s">
        <v>31</v>
      </c>
      <c r="V919" s="41" t="n">
        <v>43432</v>
      </c>
      <c r="W919" s="18"/>
      <c r="X919" s="18"/>
    </row>
    <row r="920" customFormat="false" ht="13.8" hidden="false" customHeight="false" outlineLevel="0" collapsed="false">
      <c r="A920" s="18"/>
      <c r="B920" s="19" t="n">
        <v>3047</v>
      </c>
      <c r="C920" s="20" t="n">
        <v>43363</v>
      </c>
      <c r="D920" s="38" t="s">
        <v>22</v>
      </c>
      <c r="E920" s="22" t="s">
        <v>251</v>
      </c>
      <c r="F920" s="34" t="s">
        <v>1017</v>
      </c>
      <c r="G920" s="19" t="n">
        <v>3</v>
      </c>
      <c r="H920" s="19" t="n">
        <v>247</v>
      </c>
      <c r="I920" s="19" t="n">
        <v>9</v>
      </c>
      <c r="J920" s="19" t="n">
        <v>55.61</v>
      </c>
      <c r="K920" s="39" t="n">
        <v>439000</v>
      </c>
      <c r="L920" s="39" t="n">
        <f aca="false">ROUND(K920/J920,2)</f>
        <v>7894.26</v>
      </c>
      <c r="M920" s="34" t="s">
        <v>1241</v>
      </c>
      <c r="N920" s="40"/>
      <c r="O920" s="30" t="n">
        <f aca="false">K920+N920</f>
        <v>439000</v>
      </c>
      <c r="P920" s="39" t="n">
        <f aca="false">ROUND(O920/J920,2)</f>
        <v>7894.26</v>
      </c>
      <c r="Q920" s="19" t="s">
        <v>1242</v>
      </c>
      <c r="R920" s="22" t="n">
        <v>4</v>
      </c>
      <c r="S920" s="19" t="s">
        <v>29</v>
      </c>
      <c r="T920" s="19" t="s">
        <v>30</v>
      </c>
      <c r="U920" s="31" t="s">
        <v>31</v>
      </c>
      <c r="V920" s="41" t="n">
        <v>43432</v>
      </c>
      <c r="W920" s="18"/>
      <c r="X920" s="18"/>
    </row>
    <row r="921" customFormat="false" ht="13.8" hidden="false" customHeight="false" outlineLevel="0" collapsed="false">
      <c r="A921" s="18"/>
      <c r="B921" s="19" t="n">
        <v>14477</v>
      </c>
      <c r="C921" s="20" t="n">
        <v>43364</v>
      </c>
      <c r="D921" s="38" t="s">
        <v>22</v>
      </c>
      <c r="E921" s="22" t="s">
        <v>80</v>
      </c>
      <c r="F921" s="34" t="s">
        <v>162</v>
      </c>
      <c r="G921" s="19" t="n">
        <v>3</v>
      </c>
      <c r="H921" s="19" t="n">
        <v>18</v>
      </c>
      <c r="I921" s="19" t="n">
        <v>2</v>
      </c>
      <c r="J921" s="19" t="n">
        <v>57.85</v>
      </c>
      <c r="K921" s="39" t="n">
        <v>900000</v>
      </c>
      <c r="L921" s="39" t="n">
        <f aca="false">ROUND(K921/J921,2)</f>
        <v>15557.48</v>
      </c>
      <c r="M921" s="34" t="s">
        <v>1243</v>
      </c>
      <c r="N921" s="40" t="n">
        <v>50000</v>
      </c>
      <c r="O921" s="30" t="n">
        <f aca="false">K921+N921</f>
        <v>950000</v>
      </c>
      <c r="P921" s="39" t="n">
        <f aca="false">ROUND(O921/J921,2)</f>
        <v>16421.78</v>
      </c>
      <c r="Q921" s="19" t="s">
        <v>1166</v>
      </c>
      <c r="R921" s="22" t="n">
        <v>2</v>
      </c>
      <c r="S921" s="19" t="s">
        <v>29</v>
      </c>
      <c r="T921" s="19" t="s">
        <v>30</v>
      </c>
      <c r="U921" s="31" t="s">
        <v>31</v>
      </c>
      <c r="V921" s="41" t="n">
        <v>43432</v>
      </c>
      <c r="W921" s="18"/>
      <c r="X921" s="18"/>
    </row>
    <row r="922" customFormat="false" ht="13.8" hidden="false" customHeight="false" outlineLevel="0" collapsed="false">
      <c r="A922" s="18"/>
      <c r="B922" s="19" t="n">
        <v>4316</v>
      </c>
      <c r="C922" s="20" t="n">
        <v>43364</v>
      </c>
      <c r="D922" s="38" t="s">
        <v>22</v>
      </c>
      <c r="E922" s="22" t="s">
        <v>206</v>
      </c>
      <c r="F922" s="34" t="s">
        <v>191</v>
      </c>
      <c r="G922" s="19" t="n">
        <v>9</v>
      </c>
      <c r="H922" s="19" t="n">
        <v>187</v>
      </c>
      <c r="I922" s="19" t="n">
        <v>1</v>
      </c>
      <c r="J922" s="19" t="n">
        <v>48.17</v>
      </c>
      <c r="K922" s="39" t="n">
        <v>450000</v>
      </c>
      <c r="L922" s="39" t="n">
        <f aca="false">K922/J922</f>
        <v>9341.9140543907</v>
      </c>
      <c r="M922" s="34" t="s">
        <v>940</v>
      </c>
      <c r="N922" s="40" t="n">
        <v>30000</v>
      </c>
      <c r="O922" s="30" t="n">
        <f aca="false">K922+N922</f>
        <v>480000</v>
      </c>
      <c r="P922" s="39" t="n">
        <f aca="false">O922/J922</f>
        <v>9964.70832468341</v>
      </c>
      <c r="Q922" s="19" t="s">
        <v>903</v>
      </c>
      <c r="R922" s="22" t="s">
        <v>36</v>
      </c>
      <c r="S922" s="19" t="s">
        <v>29</v>
      </c>
      <c r="T922" s="19" t="s">
        <v>30</v>
      </c>
      <c r="U922" s="19" t="s">
        <v>31</v>
      </c>
      <c r="V922" s="41" t="n">
        <v>43514</v>
      </c>
      <c r="W922" s="34" t="s">
        <v>1244</v>
      </c>
      <c r="X922" s="34"/>
    </row>
    <row r="923" customFormat="false" ht="13.8" hidden="false" customHeight="false" outlineLevel="0" collapsed="false">
      <c r="A923" s="18"/>
      <c r="B923" s="19" t="n">
        <v>4316</v>
      </c>
      <c r="C923" s="20" t="n">
        <v>43364</v>
      </c>
      <c r="D923" s="38" t="s">
        <v>22</v>
      </c>
      <c r="E923" s="22" t="s">
        <v>206</v>
      </c>
      <c r="F923" s="34" t="s">
        <v>191</v>
      </c>
      <c r="G923" s="19" t="n">
        <v>9</v>
      </c>
      <c r="H923" s="19" t="n">
        <v>187</v>
      </c>
      <c r="I923" s="19" t="n">
        <v>1</v>
      </c>
      <c r="J923" s="19" t="n">
        <v>48.17</v>
      </c>
      <c r="K923" s="39" t="n">
        <v>450000</v>
      </c>
      <c r="L923" s="39" t="n">
        <f aca="false">K923/J923</f>
        <v>9341.9140543907</v>
      </c>
      <c r="M923" s="34" t="s">
        <v>940</v>
      </c>
      <c r="N923" s="40" t="n">
        <v>30000</v>
      </c>
      <c r="O923" s="30" t="n">
        <f aca="false">K923+N923</f>
        <v>480000</v>
      </c>
      <c r="P923" s="39" t="n">
        <f aca="false">O923/J923</f>
        <v>9964.70832468341</v>
      </c>
      <c r="Q923" s="19" t="s">
        <v>903</v>
      </c>
      <c r="R923" s="22" t="s">
        <v>36</v>
      </c>
      <c r="S923" s="19" t="s">
        <v>29</v>
      </c>
      <c r="T923" s="19" t="s">
        <v>30</v>
      </c>
      <c r="U923" s="19" t="s">
        <v>31</v>
      </c>
      <c r="V923" s="41" t="n">
        <v>43514</v>
      </c>
      <c r="W923" s="34" t="s">
        <v>1244</v>
      </c>
      <c r="X923" s="18"/>
    </row>
    <row r="924" customFormat="false" ht="13.8" hidden="false" customHeight="false" outlineLevel="0" collapsed="false">
      <c r="A924" s="18"/>
      <c r="B924" s="19" t="n">
        <v>6621</v>
      </c>
      <c r="C924" s="20" t="n">
        <v>43364</v>
      </c>
      <c r="D924" s="38" t="s">
        <v>22</v>
      </c>
      <c r="E924" s="22" t="s">
        <v>322</v>
      </c>
      <c r="F924" s="34" t="s">
        <v>323</v>
      </c>
      <c r="G924" s="19" t="s">
        <v>1245</v>
      </c>
      <c r="H924" s="19" t="n">
        <v>72</v>
      </c>
      <c r="I924" s="19" t="n">
        <v>3</v>
      </c>
      <c r="J924" s="19" t="n">
        <v>43.37</v>
      </c>
      <c r="K924" s="39" t="n">
        <v>472000</v>
      </c>
      <c r="L924" s="39" t="n">
        <f aca="false">ROUND(K924/J924,2)</f>
        <v>10883.1</v>
      </c>
      <c r="M924" s="34" t="s">
        <v>1246</v>
      </c>
      <c r="N924" s="40"/>
      <c r="O924" s="30" t="n">
        <f aca="false">K924+N924</f>
        <v>472000</v>
      </c>
      <c r="P924" s="39" t="n">
        <f aca="false">ROUND(O924/J924,2)</f>
        <v>10883.1</v>
      </c>
      <c r="Q924" s="19" t="s">
        <v>1247</v>
      </c>
      <c r="R924" s="22" t="n">
        <v>2</v>
      </c>
      <c r="S924" s="19" t="s">
        <v>29</v>
      </c>
      <c r="T924" s="19" t="s">
        <v>30</v>
      </c>
      <c r="U924" s="31" t="s">
        <v>31</v>
      </c>
      <c r="V924" s="41" t="n">
        <v>43432</v>
      </c>
      <c r="W924" s="34"/>
      <c r="X924" s="34"/>
    </row>
    <row r="925" customFormat="false" ht="13.8" hidden="false" customHeight="false" outlineLevel="0" collapsed="false">
      <c r="A925" s="18"/>
      <c r="B925" s="19" t="n">
        <v>7189</v>
      </c>
      <c r="C925" s="20" t="n">
        <v>43364</v>
      </c>
      <c r="D925" s="38" t="s">
        <v>22</v>
      </c>
      <c r="E925" s="22" t="s">
        <v>322</v>
      </c>
      <c r="F925" s="34" t="s">
        <v>323</v>
      </c>
      <c r="G925" s="19" t="n">
        <v>4</v>
      </c>
      <c r="H925" s="19" t="n">
        <v>35</v>
      </c>
      <c r="I925" s="19" t="n">
        <v>8</v>
      </c>
      <c r="J925" s="19" t="n">
        <v>69.01</v>
      </c>
      <c r="K925" s="39" t="n">
        <v>780000</v>
      </c>
      <c r="L925" s="39" t="n">
        <f aca="false">ROUND(K925/J925,2)</f>
        <v>11302.71</v>
      </c>
      <c r="M925" s="34" t="s">
        <v>943</v>
      </c>
      <c r="N925" s="40"/>
      <c r="O925" s="30" t="n">
        <f aca="false">K925+N925</f>
        <v>780000</v>
      </c>
      <c r="P925" s="39" t="n">
        <f aca="false">ROUND(O925/J925,2)</f>
        <v>11302.71</v>
      </c>
      <c r="Q925" s="19" t="s">
        <v>1248</v>
      </c>
      <c r="R925" s="22" t="n">
        <v>4</v>
      </c>
      <c r="S925" s="19" t="s">
        <v>29</v>
      </c>
      <c r="T925" s="19" t="s">
        <v>30</v>
      </c>
      <c r="U925" s="31" t="s">
        <v>31</v>
      </c>
      <c r="V925" s="41" t="n">
        <v>43432</v>
      </c>
      <c r="W925" s="18"/>
      <c r="X925" s="18"/>
    </row>
    <row r="926" customFormat="false" ht="13.8" hidden="false" customHeight="false" outlineLevel="0" collapsed="false">
      <c r="A926" s="18"/>
      <c r="B926" s="19" t="n">
        <v>2710</v>
      </c>
      <c r="C926" s="20" t="n">
        <v>43364</v>
      </c>
      <c r="D926" s="38" t="s">
        <v>22</v>
      </c>
      <c r="E926" s="22" t="s">
        <v>190</v>
      </c>
      <c r="F926" s="34" t="s">
        <v>591</v>
      </c>
      <c r="G926" s="19" t="n">
        <v>18</v>
      </c>
      <c r="H926" s="19" t="n">
        <v>238</v>
      </c>
      <c r="I926" s="19" t="n">
        <v>3</v>
      </c>
      <c r="J926" s="19" t="n">
        <v>55.01</v>
      </c>
      <c r="K926" s="39" t="n">
        <v>520000</v>
      </c>
      <c r="L926" s="39" t="n">
        <f aca="false">K926/J926</f>
        <v>9452.82675877113</v>
      </c>
      <c r="M926" s="18"/>
      <c r="N926" s="40"/>
      <c r="O926" s="30" t="n">
        <f aca="false">K926+N926</f>
        <v>520000</v>
      </c>
      <c r="P926" s="39" t="n">
        <f aca="false">O926/J926</f>
        <v>9452.82675877113</v>
      </c>
      <c r="Q926" s="19" t="s">
        <v>1249</v>
      </c>
      <c r="R926" s="22" t="s">
        <v>26</v>
      </c>
      <c r="S926" s="19" t="s">
        <v>29</v>
      </c>
      <c r="T926" s="19" t="s">
        <v>30</v>
      </c>
      <c r="U926" s="19" t="s">
        <v>31</v>
      </c>
      <c r="V926" s="41" t="n">
        <v>43514</v>
      </c>
      <c r="W926" s="34" t="s">
        <v>1250</v>
      </c>
      <c r="X926" s="18"/>
    </row>
    <row r="927" customFormat="false" ht="13.8" hidden="false" customHeight="false" outlineLevel="0" collapsed="false">
      <c r="A927" s="18"/>
      <c r="B927" s="19" t="n">
        <v>2710</v>
      </c>
      <c r="C927" s="20" t="n">
        <v>43364</v>
      </c>
      <c r="D927" s="38" t="s">
        <v>22</v>
      </c>
      <c r="E927" s="22" t="s">
        <v>190</v>
      </c>
      <c r="F927" s="34" t="s">
        <v>591</v>
      </c>
      <c r="G927" s="19" t="n">
        <v>18</v>
      </c>
      <c r="H927" s="19" t="n">
        <v>238</v>
      </c>
      <c r="I927" s="19" t="n">
        <v>3</v>
      </c>
      <c r="J927" s="19" t="n">
        <v>55.01</v>
      </c>
      <c r="K927" s="39" t="n">
        <v>520000</v>
      </c>
      <c r="L927" s="39" t="n">
        <f aca="false">K927/J927</f>
        <v>9452.82675877113</v>
      </c>
      <c r="M927" s="18"/>
      <c r="N927" s="40"/>
      <c r="O927" s="30" t="n">
        <f aca="false">K927+N927</f>
        <v>520000</v>
      </c>
      <c r="P927" s="39" t="n">
        <f aca="false">O927/J927</f>
        <v>9452.82675877113</v>
      </c>
      <c r="Q927" s="19" t="s">
        <v>1249</v>
      </c>
      <c r="R927" s="22" t="s">
        <v>26</v>
      </c>
      <c r="S927" s="19" t="s">
        <v>29</v>
      </c>
      <c r="T927" s="19" t="s">
        <v>30</v>
      </c>
      <c r="U927" s="19" t="s">
        <v>31</v>
      </c>
      <c r="V927" s="41" t="n">
        <v>43514</v>
      </c>
      <c r="W927" s="34" t="s">
        <v>1250</v>
      </c>
      <c r="X927" s="18"/>
    </row>
    <row r="928" customFormat="false" ht="13.8" hidden="false" customHeight="false" outlineLevel="0" collapsed="false">
      <c r="A928" s="18"/>
      <c r="B928" s="19" t="n">
        <v>3782</v>
      </c>
      <c r="C928" s="20" t="n">
        <v>43364</v>
      </c>
      <c r="D928" s="38" t="s">
        <v>22</v>
      </c>
      <c r="E928" s="22" t="s">
        <v>278</v>
      </c>
      <c r="F928" s="34" t="s">
        <v>288</v>
      </c>
      <c r="G928" s="19" t="n">
        <v>11</v>
      </c>
      <c r="H928" s="19" t="n">
        <v>129</v>
      </c>
      <c r="I928" s="19" t="n">
        <v>4</v>
      </c>
      <c r="J928" s="19" t="n">
        <v>70.9</v>
      </c>
      <c r="K928" s="39" t="n">
        <v>750000</v>
      </c>
      <c r="L928" s="39" t="n">
        <f aca="false">ROUND(K928/J928,2)</f>
        <v>10578.28</v>
      </c>
      <c r="M928" s="34" t="s">
        <v>1251</v>
      </c>
      <c r="N928" s="40"/>
      <c r="O928" s="30" t="n">
        <f aca="false">K928+N928</f>
        <v>750000</v>
      </c>
      <c r="P928" s="39" t="n">
        <f aca="false">ROUND(O928/J928,2)</f>
        <v>10578.28</v>
      </c>
      <c r="Q928" s="19" t="s">
        <v>1144</v>
      </c>
      <c r="R928" s="22" t="n">
        <v>4</v>
      </c>
      <c r="S928" s="19" t="s">
        <v>29</v>
      </c>
      <c r="T928" s="19" t="s">
        <v>30</v>
      </c>
      <c r="U928" s="31" t="s">
        <v>31</v>
      </c>
      <c r="V928" s="41" t="n">
        <v>43432</v>
      </c>
      <c r="W928" s="18"/>
      <c r="X928" s="18"/>
      <c r="AMJ928" s="32"/>
    </row>
    <row r="929" s="32" customFormat="true" ht="13.8" hidden="false" customHeight="false" outlineLevel="0" collapsed="false">
      <c r="A929" s="18"/>
      <c r="B929" s="19" t="n">
        <v>13742</v>
      </c>
      <c r="C929" s="20" t="n">
        <v>43364</v>
      </c>
      <c r="D929" s="38" t="s">
        <v>22</v>
      </c>
      <c r="E929" s="22" t="s">
        <v>144</v>
      </c>
      <c r="F929" s="34" t="s">
        <v>145</v>
      </c>
      <c r="G929" s="19" t="n">
        <v>13</v>
      </c>
      <c r="H929" s="19" t="n">
        <v>5</v>
      </c>
      <c r="I929" s="19" t="n">
        <v>2</v>
      </c>
      <c r="J929" s="19" t="n">
        <v>54.87</v>
      </c>
      <c r="K929" s="39" t="n">
        <v>460000</v>
      </c>
      <c r="L929" s="39" t="n">
        <f aca="false">ROUND(K929/J929,2)</f>
        <v>8383.45</v>
      </c>
      <c r="M929" s="34" t="s">
        <v>1158</v>
      </c>
      <c r="N929" s="40"/>
      <c r="O929" s="30" t="n">
        <f aca="false">K929+N929</f>
        <v>460000</v>
      </c>
      <c r="P929" s="39" t="n">
        <f aca="false">ROUND(O929/J929,2)</f>
        <v>8383.45</v>
      </c>
      <c r="Q929" s="19" t="s">
        <v>701</v>
      </c>
      <c r="R929" s="22" t="n">
        <v>3</v>
      </c>
      <c r="S929" s="19" t="s">
        <v>29</v>
      </c>
      <c r="T929" s="19" t="s">
        <v>30</v>
      </c>
      <c r="U929" s="31" t="s">
        <v>31</v>
      </c>
      <c r="V929" s="41" t="n">
        <v>43432</v>
      </c>
      <c r="W929" s="18"/>
      <c r="X929" s="18"/>
    </row>
    <row r="930" customFormat="false" ht="13.8" hidden="false" customHeight="false" outlineLevel="0" collapsed="false">
      <c r="A930" s="18"/>
      <c r="B930" s="19" t="n">
        <v>2996</v>
      </c>
      <c r="C930" s="20" t="n">
        <v>43364</v>
      </c>
      <c r="D930" s="38" t="s">
        <v>22</v>
      </c>
      <c r="E930" s="22" t="s">
        <v>268</v>
      </c>
      <c r="F930" s="34" t="s">
        <v>471</v>
      </c>
      <c r="G930" s="19" t="n">
        <v>8</v>
      </c>
      <c r="H930" s="19" t="n">
        <v>12</v>
      </c>
      <c r="I930" s="19" t="n">
        <v>3</v>
      </c>
      <c r="J930" s="19" t="n">
        <v>47.69</v>
      </c>
      <c r="K930" s="39" t="n">
        <v>375000</v>
      </c>
      <c r="L930" s="39" t="n">
        <f aca="false">ROUND(K930/J930,2)</f>
        <v>7863.28</v>
      </c>
      <c r="M930" s="34" t="s">
        <v>1158</v>
      </c>
      <c r="N930" s="40"/>
      <c r="O930" s="30" t="n">
        <f aca="false">K930+N930</f>
        <v>375000</v>
      </c>
      <c r="P930" s="39" t="n">
        <f aca="false">ROUND(O930/J930,2)</f>
        <v>7863.28</v>
      </c>
      <c r="Q930" s="19" t="s">
        <v>1144</v>
      </c>
      <c r="R930" s="22" t="n">
        <v>4</v>
      </c>
      <c r="S930" s="19" t="s">
        <v>29</v>
      </c>
      <c r="T930" s="19" t="s">
        <v>30</v>
      </c>
      <c r="U930" s="31" t="s">
        <v>31</v>
      </c>
      <c r="V930" s="41" t="n">
        <v>43432</v>
      </c>
      <c r="W930" s="18"/>
      <c r="X930" s="18"/>
    </row>
    <row r="931" customFormat="false" ht="13.8" hidden="false" customHeight="false" outlineLevel="0" collapsed="false">
      <c r="A931" s="18"/>
      <c r="B931" s="19" t="n">
        <v>3094</v>
      </c>
      <c r="C931" s="20" t="n">
        <v>43364</v>
      </c>
      <c r="D931" s="38" t="s">
        <v>22</v>
      </c>
      <c r="E931" s="22" t="s">
        <v>178</v>
      </c>
      <c r="F931" s="34" t="s">
        <v>387</v>
      </c>
      <c r="G931" s="19" t="n">
        <v>73</v>
      </c>
      <c r="H931" s="19" t="n">
        <v>33</v>
      </c>
      <c r="I931" s="19" t="n">
        <v>4</v>
      </c>
      <c r="J931" s="19" t="n">
        <v>48.12</v>
      </c>
      <c r="K931" s="39" t="n">
        <v>518000</v>
      </c>
      <c r="L931" s="39" t="n">
        <f aca="false">K931/J931</f>
        <v>10764.7547797174</v>
      </c>
      <c r="M931" s="18"/>
      <c r="N931" s="40"/>
      <c r="O931" s="30" t="n">
        <f aca="false">K931+N931</f>
        <v>518000</v>
      </c>
      <c r="P931" s="39" t="n">
        <f aca="false">O931/J931</f>
        <v>10764.7547797174</v>
      </c>
      <c r="Q931" s="19" t="s">
        <v>903</v>
      </c>
      <c r="R931" s="22" t="s">
        <v>36</v>
      </c>
      <c r="S931" s="19" t="s">
        <v>29</v>
      </c>
      <c r="T931" s="19" t="s">
        <v>30</v>
      </c>
      <c r="U931" s="19" t="s">
        <v>31</v>
      </c>
      <c r="V931" s="41" t="n">
        <v>43514</v>
      </c>
      <c r="W931" s="34" t="s">
        <v>1252</v>
      </c>
      <c r="X931" s="18"/>
    </row>
    <row r="932" customFormat="false" ht="13.8" hidden="false" customHeight="false" outlineLevel="0" collapsed="false">
      <c r="A932" s="18"/>
      <c r="B932" s="19" t="n">
        <v>6077</v>
      </c>
      <c r="C932" s="20" t="n">
        <v>43364</v>
      </c>
      <c r="D932" s="38" t="s">
        <v>22</v>
      </c>
      <c r="E932" s="22" t="s">
        <v>118</v>
      </c>
      <c r="F932" s="34" t="s">
        <v>119</v>
      </c>
      <c r="G932" s="19" t="n">
        <v>12</v>
      </c>
      <c r="H932" s="19" t="n">
        <v>36</v>
      </c>
      <c r="I932" s="19" t="n">
        <v>4</v>
      </c>
      <c r="J932" s="19" t="n">
        <v>46.7</v>
      </c>
      <c r="K932" s="39" t="n">
        <v>350000</v>
      </c>
      <c r="L932" s="39" t="n">
        <f aca="false">ROUND(K932/J932,2)</f>
        <v>7494.65</v>
      </c>
      <c r="M932" s="18"/>
      <c r="N932" s="40"/>
      <c r="O932" s="30" t="n">
        <f aca="false">K932+N932</f>
        <v>350000</v>
      </c>
      <c r="P932" s="39" t="n">
        <f aca="false">ROUND(O932/J932,2)</f>
        <v>7494.65</v>
      </c>
      <c r="Q932" s="19" t="s">
        <v>701</v>
      </c>
      <c r="R932" s="22" t="n">
        <v>3</v>
      </c>
      <c r="S932" s="19" t="s">
        <v>29</v>
      </c>
      <c r="T932" s="19" t="s">
        <v>30</v>
      </c>
      <c r="U932" s="31" t="s">
        <v>31</v>
      </c>
      <c r="V932" s="41" t="n">
        <v>43432</v>
      </c>
      <c r="W932" s="18"/>
      <c r="X932" s="18"/>
    </row>
    <row r="933" customFormat="false" ht="13.8" hidden="false" customHeight="false" outlineLevel="0" collapsed="false">
      <c r="A933" s="18"/>
      <c r="B933" s="19" t="n">
        <v>15007</v>
      </c>
      <c r="C933" s="20" t="n">
        <v>43364</v>
      </c>
      <c r="D933" s="38" t="s">
        <v>22</v>
      </c>
      <c r="E933" s="22" t="s">
        <v>278</v>
      </c>
      <c r="F933" s="34" t="s">
        <v>338</v>
      </c>
      <c r="G933" s="19" t="n">
        <v>59</v>
      </c>
      <c r="H933" s="19" t="n">
        <v>7</v>
      </c>
      <c r="I933" s="19" t="n">
        <v>2</v>
      </c>
      <c r="J933" s="19" t="n">
        <v>44.5</v>
      </c>
      <c r="K933" s="39" t="n">
        <v>458000</v>
      </c>
      <c r="L933" s="39" t="n">
        <f aca="false">ROUND(K933/J933,2)</f>
        <v>10292.13</v>
      </c>
      <c r="M933" s="34" t="s">
        <v>1253</v>
      </c>
      <c r="N933" s="40"/>
      <c r="O933" s="30" t="n">
        <f aca="false">K933+N933</f>
        <v>458000</v>
      </c>
      <c r="P933" s="39" t="n">
        <f aca="false">ROUND(O933/J933,2)</f>
        <v>10292.13</v>
      </c>
      <c r="Q933" s="19" t="s">
        <v>701</v>
      </c>
      <c r="R933" s="22" t="n">
        <v>3</v>
      </c>
      <c r="S933" s="19" t="s">
        <v>29</v>
      </c>
      <c r="T933" s="19" t="s">
        <v>30</v>
      </c>
      <c r="U933" s="31" t="s">
        <v>31</v>
      </c>
      <c r="V933" s="41" t="n">
        <v>43432</v>
      </c>
      <c r="W933" s="18"/>
      <c r="X933" s="18"/>
    </row>
    <row r="934" customFormat="false" ht="13.8" hidden="false" customHeight="false" outlineLevel="0" collapsed="false">
      <c r="A934" s="18"/>
      <c r="B934" s="19" t="n">
        <v>8356</v>
      </c>
      <c r="C934" s="20" t="n">
        <v>43364</v>
      </c>
      <c r="D934" s="38" t="s">
        <v>22</v>
      </c>
      <c r="E934" s="22" t="s">
        <v>109</v>
      </c>
      <c r="F934" s="34" t="s">
        <v>744</v>
      </c>
      <c r="G934" s="19" t="n">
        <v>36</v>
      </c>
      <c r="H934" s="19" t="n">
        <v>789</v>
      </c>
      <c r="I934" s="19" t="n">
        <v>5</v>
      </c>
      <c r="J934" s="19" t="n">
        <v>129.22</v>
      </c>
      <c r="K934" s="39" t="n">
        <v>1972413</v>
      </c>
      <c r="L934" s="39" t="n">
        <f aca="false">K934/J934</f>
        <v>15263.9916421607</v>
      </c>
      <c r="M934" s="34" t="s">
        <v>1254</v>
      </c>
      <c r="N934" s="40" t="n">
        <v>127587</v>
      </c>
      <c r="O934" s="30" t="n">
        <f aca="false">K934+N934</f>
        <v>2100000</v>
      </c>
      <c r="P934" s="39" t="n">
        <f aca="false">O934/J934</f>
        <v>16251.3542795233</v>
      </c>
      <c r="Q934" s="19" t="s">
        <v>1255</v>
      </c>
      <c r="R934" s="22" t="s">
        <v>36</v>
      </c>
      <c r="S934" s="19" t="s">
        <v>29</v>
      </c>
      <c r="T934" s="19" t="s">
        <v>30</v>
      </c>
      <c r="U934" s="19" t="s">
        <v>31</v>
      </c>
      <c r="V934" s="41" t="n">
        <v>43514</v>
      </c>
      <c r="W934" s="34" t="s">
        <v>1256</v>
      </c>
      <c r="X934" s="18"/>
      <c r="AMJ934" s="32"/>
    </row>
    <row r="935" s="32" customFormat="true" ht="13.8" hidden="false" customHeight="false" outlineLevel="0" collapsed="false">
      <c r="A935" s="18"/>
      <c r="B935" s="19" t="n">
        <v>2654</v>
      </c>
      <c r="C935" s="20" t="n">
        <v>43364</v>
      </c>
      <c r="D935" s="38" t="s">
        <v>22</v>
      </c>
      <c r="E935" s="22" t="s">
        <v>459</v>
      </c>
      <c r="F935" s="34" t="s">
        <v>240</v>
      </c>
      <c r="G935" s="19" t="n">
        <v>111</v>
      </c>
      <c r="H935" s="19" t="n">
        <v>8</v>
      </c>
      <c r="I935" s="19" t="n">
        <v>3</v>
      </c>
      <c r="J935" s="19" t="n">
        <v>45.7</v>
      </c>
      <c r="K935" s="39" t="n">
        <v>355000</v>
      </c>
      <c r="L935" s="39" t="n">
        <f aca="false">ROUND(K935/J935,2)</f>
        <v>7768.05</v>
      </c>
      <c r="M935" s="18"/>
      <c r="N935" s="40"/>
      <c r="O935" s="30" t="n">
        <f aca="false">K935+N935</f>
        <v>355000</v>
      </c>
      <c r="P935" s="39" t="n">
        <f aca="false">ROUND(O935/J935,2)</f>
        <v>7768.05</v>
      </c>
      <c r="Q935" s="19" t="s">
        <v>1144</v>
      </c>
      <c r="R935" s="22" t="n">
        <v>4</v>
      </c>
      <c r="S935" s="19" t="s">
        <v>29</v>
      </c>
      <c r="T935" s="19" t="s">
        <v>30</v>
      </c>
      <c r="U935" s="31" t="s">
        <v>31</v>
      </c>
      <c r="V935" s="41" t="n">
        <v>43432</v>
      </c>
      <c r="W935" s="18"/>
      <c r="X935" s="18"/>
    </row>
    <row r="936" customFormat="false" ht="13.8" hidden="false" customHeight="false" outlineLevel="0" collapsed="false">
      <c r="A936" s="18"/>
      <c r="B936" s="19" t="n">
        <v>6043</v>
      </c>
      <c r="C936" s="20" t="n">
        <v>43365</v>
      </c>
      <c r="D936" s="38" t="s">
        <v>22</v>
      </c>
      <c r="E936" s="22" t="s">
        <v>343</v>
      </c>
      <c r="F936" s="34" t="s">
        <v>1143</v>
      </c>
      <c r="G936" s="19" t="n">
        <v>4</v>
      </c>
      <c r="H936" s="19" t="n">
        <v>59</v>
      </c>
      <c r="I936" s="19" t="n">
        <v>5</v>
      </c>
      <c r="J936" s="19" t="n">
        <v>70.1</v>
      </c>
      <c r="K936" s="39" t="n">
        <v>550000</v>
      </c>
      <c r="L936" s="39" t="n">
        <f aca="false">ROUND(K936/J936,2)</f>
        <v>7845.93</v>
      </c>
      <c r="M936" s="34" t="s">
        <v>1257</v>
      </c>
      <c r="N936" s="40"/>
      <c r="O936" s="30" t="n">
        <f aca="false">K936+N936</f>
        <v>550000</v>
      </c>
      <c r="P936" s="39" t="n">
        <f aca="false">ROUND(O936/J936,2)</f>
        <v>7845.93</v>
      </c>
      <c r="Q936" s="19" t="s">
        <v>1144</v>
      </c>
      <c r="R936" s="22" t="n">
        <v>4</v>
      </c>
      <c r="S936" s="19" t="s">
        <v>29</v>
      </c>
      <c r="T936" s="19" t="s">
        <v>30</v>
      </c>
      <c r="U936" s="31" t="s">
        <v>31</v>
      </c>
      <c r="V936" s="41" t="n">
        <v>43432</v>
      </c>
      <c r="W936" s="18"/>
      <c r="X936" s="18"/>
    </row>
    <row r="937" customFormat="false" ht="13.8" hidden="false" customHeight="false" outlineLevel="0" collapsed="false">
      <c r="A937" s="18"/>
      <c r="B937" s="19" t="n">
        <v>3410</v>
      </c>
      <c r="C937" s="20" t="n">
        <v>43367</v>
      </c>
      <c r="D937" s="38" t="s">
        <v>22</v>
      </c>
      <c r="E937" s="22" t="s">
        <v>129</v>
      </c>
      <c r="F937" s="34" t="s">
        <v>1258</v>
      </c>
      <c r="G937" s="19" t="s">
        <v>223</v>
      </c>
      <c r="H937" s="19" t="n">
        <v>42</v>
      </c>
      <c r="I937" s="19" t="n">
        <v>10</v>
      </c>
      <c r="J937" s="19" t="n">
        <v>75</v>
      </c>
      <c r="K937" s="39" t="n">
        <v>1000000</v>
      </c>
      <c r="L937" s="39" t="n">
        <f aca="false">K937/J937</f>
        <v>13333.3333333333</v>
      </c>
      <c r="M937" s="18"/>
      <c r="N937" s="40"/>
      <c r="O937" s="30" t="n">
        <f aca="false">K937+N937</f>
        <v>1000000</v>
      </c>
      <c r="P937" s="39" t="n">
        <f aca="false">O937/J937</f>
        <v>13333.3333333333</v>
      </c>
      <c r="Q937" s="19" t="s">
        <v>1136</v>
      </c>
      <c r="R937" s="22" t="s">
        <v>26</v>
      </c>
      <c r="S937" s="19" t="s">
        <v>29</v>
      </c>
      <c r="T937" s="19" t="s">
        <v>30</v>
      </c>
      <c r="U937" s="19" t="s">
        <v>31</v>
      </c>
      <c r="V937" s="41" t="n">
        <v>43514</v>
      </c>
      <c r="W937" s="34" t="s">
        <v>1259</v>
      </c>
      <c r="X937" s="18"/>
    </row>
    <row r="938" customFormat="false" ht="13.8" hidden="false" customHeight="false" outlineLevel="0" collapsed="false">
      <c r="A938" s="18"/>
      <c r="B938" s="19" t="s">
        <v>887</v>
      </c>
      <c r="C938" s="20" t="n">
        <v>43367</v>
      </c>
      <c r="D938" s="38" t="s">
        <v>22</v>
      </c>
      <c r="E938" s="22" t="s">
        <v>281</v>
      </c>
      <c r="F938" s="45" t="s">
        <v>1041</v>
      </c>
      <c r="G938" s="19" t="s">
        <v>1260</v>
      </c>
      <c r="H938" s="19"/>
      <c r="I938" s="19" t="n">
        <v>1</v>
      </c>
      <c r="J938" s="25" t="n">
        <v>25</v>
      </c>
      <c r="K938" s="39" t="n">
        <v>295000</v>
      </c>
      <c r="L938" s="39" t="n">
        <f aca="false">K938/J938</f>
        <v>11800</v>
      </c>
      <c r="M938" s="34" t="s">
        <v>1173</v>
      </c>
      <c r="N938" s="40"/>
      <c r="O938" s="30" t="n">
        <f aca="false">K938+N938</f>
        <v>295000</v>
      </c>
      <c r="P938" s="39" t="n">
        <f aca="false">O938/J938</f>
        <v>11800</v>
      </c>
      <c r="Q938" s="19" t="s">
        <v>889</v>
      </c>
      <c r="R938" s="19" t="n">
        <v>2</v>
      </c>
      <c r="S938" s="19" t="s">
        <v>1141</v>
      </c>
      <c r="T938" s="19"/>
      <c r="U938" s="19" t="s">
        <v>31</v>
      </c>
      <c r="V938" s="41" t="n">
        <v>43727</v>
      </c>
      <c r="W938" s="18"/>
      <c r="X938" s="18"/>
    </row>
    <row r="939" customFormat="false" ht="13.8" hidden="false" customHeight="false" outlineLevel="0" collapsed="false">
      <c r="A939" s="18"/>
      <c r="B939" s="19" t="n">
        <v>4119</v>
      </c>
      <c r="C939" s="20" t="n">
        <v>43367</v>
      </c>
      <c r="D939" s="38" t="s">
        <v>22</v>
      </c>
      <c r="E939" s="22" t="s">
        <v>175</v>
      </c>
      <c r="F939" s="34" t="s">
        <v>176</v>
      </c>
      <c r="G939" s="19" t="s">
        <v>636</v>
      </c>
      <c r="H939" s="19" t="n">
        <v>64</v>
      </c>
      <c r="I939" s="19" t="n">
        <v>2</v>
      </c>
      <c r="J939" s="19" t="n">
        <v>38.59</v>
      </c>
      <c r="K939" s="39" t="n">
        <v>380000</v>
      </c>
      <c r="L939" s="39" t="n">
        <f aca="false">ROUND(K939/J939,2)</f>
        <v>9847.11</v>
      </c>
      <c r="M939" s="18"/>
      <c r="N939" s="40"/>
      <c r="O939" s="30" t="n">
        <f aca="false">K939+N939</f>
        <v>380000</v>
      </c>
      <c r="P939" s="39" t="n">
        <f aca="false">ROUND(O939/J939,2)</f>
        <v>9847.11</v>
      </c>
      <c r="Q939" s="19" t="s">
        <v>1166</v>
      </c>
      <c r="R939" s="22" t="n">
        <v>2</v>
      </c>
      <c r="S939" s="19" t="s">
        <v>29</v>
      </c>
      <c r="T939" s="19" t="s">
        <v>30</v>
      </c>
      <c r="U939" s="31" t="s">
        <v>31</v>
      </c>
      <c r="V939" s="41" t="n">
        <v>43432</v>
      </c>
      <c r="W939" s="18"/>
      <c r="X939" s="18"/>
    </row>
    <row r="940" customFormat="false" ht="13.8" hidden="false" customHeight="false" outlineLevel="0" collapsed="false">
      <c r="A940" s="18"/>
      <c r="B940" s="19" t="n">
        <v>8929</v>
      </c>
      <c r="C940" s="20" t="n">
        <v>43367</v>
      </c>
      <c r="D940" s="38" t="s">
        <v>22</v>
      </c>
      <c r="E940" s="22" t="s">
        <v>86</v>
      </c>
      <c r="F940" s="34" t="s">
        <v>471</v>
      </c>
      <c r="G940" s="19" t="s">
        <v>1261</v>
      </c>
      <c r="H940" s="19" t="n">
        <v>19</v>
      </c>
      <c r="I940" s="19" t="n">
        <v>5</v>
      </c>
      <c r="J940" s="19" t="n">
        <v>82.95</v>
      </c>
      <c r="K940" s="39" t="n">
        <v>770000</v>
      </c>
      <c r="L940" s="39" t="n">
        <f aca="false">ROUND(K940/J940,2)</f>
        <v>9282.7</v>
      </c>
      <c r="M940" s="34" t="s">
        <v>1262</v>
      </c>
      <c r="N940" s="40" t="n">
        <v>30000</v>
      </c>
      <c r="O940" s="30" t="n">
        <f aca="false">K940+N940</f>
        <v>800000</v>
      </c>
      <c r="P940" s="39" t="n">
        <f aca="false">ROUND(O940/J940,2)</f>
        <v>9644.36</v>
      </c>
      <c r="Q940" s="19" t="s">
        <v>1263</v>
      </c>
      <c r="R940" s="22" t="n">
        <v>4</v>
      </c>
      <c r="S940" s="19" t="s">
        <v>29</v>
      </c>
      <c r="T940" s="19" t="s">
        <v>30</v>
      </c>
      <c r="U940" s="31" t="s">
        <v>31</v>
      </c>
      <c r="V940" s="41" t="n">
        <v>43432</v>
      </c>
      <c r="W940" s="18"/>
      <c r="X940" s="18"/>
    </row>
    <row r="941" customFormat="false" ht="13.8" hidden="false" customHeight="false" outlineLevel="0" collapsed="false">
      <c r="A941" s="18"/>
      <c r="B941" s="19" t="n">
        <v>3270</v>
      </c>
      <c r="C941" s="20" t="n">
        <v>43367</v>
      </c>
      <c r="D941" s="38" t="s">
        <v>22</v>
      </c>
      <c r="E941" s="22" t="s">
        <v>215</v>
      </c>
      <c r="F941" s="34" t="s">
        <v>216</v>
      </c>
      <c r="G941" s="19" t="n">
        <v>2</v>
      </c>
      <c r="H941" s="19" t="n">
        <v>200</v>
      </c>
      <c r="I941" s="19" t="n">
        <v>5</v>
      </c>
      <c r="J941" s="19" t="n">
        <v>67.9</v>
      </c>
      <c r="K941" s="39" t="n">
        <v>680000</v>
      </c>
      <c r="L941" s="39" t="n">
        <f aca="false">ROUND(K941/J941,2)</f>
        <v>10014.73</v>
      </c>
      <c r="M941" s="34" t="s">
        <v>1264</v>
      </c>
      <c r="N941" s="40"/>
      <c r="O941" s="30" t="n">
        <f aca="false">K941+N941</f>
        <v>680000</v>
      </c>
      <c r="P941" s="39" t="n">
        <f aca="false">ROUND(O941/J941,2)</f>
        <v>10014.73</v>
      </c>
      <c r="Q941" s="19" t="s">
        <v>1265</v>
      </c>
      <c r="R941" s="22" t="n">
        <v>4</v>
      </c>
      <c r="S941" s="19" t="s">
        <v>29</v>
      </c>
      <c r="T941" s="19" t="s">
        <v>30</v>
      </c>
      <c r="U941" s="31" t="s">
        <v>31</v>
      </c>
      <c r="V941" s="41" t="n">
        <v>43432</v>
      </c>
      <c r="W941" s="18"/>
      <c r="X941" s="18"/>
    </row>
    <row r="942" customFormat="false" ht="13.8" hidden="false" customHeight="false" outlineLevel="0" collapsed="false">
      <c r="A942" s="18"/>
      <c r="B942" s="19" t="n">
        <v>4933</v>
      </c>
      <c r="C942" s="20" t="n">
        <v>43368</v>
      </c>
      <c r="D942" s="38" t="s">
        <v>22</v>
      </c>
      <c r="E942" s="22" t="s">
        <v>299</v>
      </c>
      <c r="F942" s="34" t="s">
        <v>1266</v>
      </c>
      <c r="G942" s="19" t="n">
        <v>82</v>
      </c>
      <c r="H942" s="19" t="n">
        <v>10</v>
      </c>
      <c r="I942" s="19" t="n">
        <v>3</v>
      </c>
      <c r="J942" s="19" t="n">
        <v>50.89</v>
      </c>
      <c r="K942" s="39" t="n">
        <v>500000</v>
      </c>
      <c r="L942" s="39" t="n">
        <f aca="false">K942/J942</f>
        <v>9825.11298879937</v>
      </c>
      <c r="M942" s="34"/>
      <c r="N942" s="40"/>
      <c r="O942" s="30" t="n">
        <f aca="false">K942+N942</f>
        <v>500000</v>
      </c>
      <c r="P942" s="39" t="n">
        <f aca="false">O942/J942</f>
        <v>9825.11298879937</v>
      </c>
      <c r="Q942" s="19" t="s">
        <v>903</v>
      </c>
      <c r="R942" s="22" t="s">
        <v>36</v>
      </c>
      <c r="S942" s="19" t="s">
        <v>29</v>
      </c>
      <c r="T942" s="19" t="s">
        <v>30</v>
      </c>
      <c r="U942" s="19" t="s">
        <v>31</v>
      </c>
      <c r="V942" s="41" t="n">
        <v>43514</v>
      </c>
      <c r="W942" s="34" t="s">
        <v>1267</v>
      </c>
      <c r="X942" s="34"/>
    </row>
    <row r="943" customFormat="false" ht="13.8" hidden="false" customHeight="false" outlineLevel="0" collapsed="false">
      <c r="A943" s="18"/>
      <c r="B943" s="19" t="n">
        <v>4933</v>
      </c>
      <c r="C943" s="20" t="n">
        <v>43368</v>
      </c>
      <c r="D943" s="38" t="s">
        <v>22</v>
      </c>
      <c r="E943" s="22" t="s">
        <v>299</v>
      </c>
      <c r="F943" s="34" t="s">
        <v>1266</v>
      </c>
      <c r="G943" s="19" t="n">
        <v>82</v>
      </c>
      <c r="H943" s="19" t="n">
        <v>10</v>
      </c>
      <c r="I943" s="19" t="n">
        <v>3</v>
      </c>
      <c r="J943" s="19" t="n">
        <v>50.89</v>
      </c>
      <c r="K943" s="39" t="n">
        <v>500000</v>
      </c>
      <c r="L943" s="39" t="n">
        <f aca="false">K943/J943</f>
        <v>9825.11298879937</v>
      </c>
      <c r="M943" s="34"/>
      <c r="N943" s="40"/>
      <c r="O943" s="30" t="n">
        <f aca="false">K943+N943</f>
        <v>500000</v>
      </c>
      <c r="P943" s="39" t="n">
        <f aca="false">O943/J943</f>
        <v>9825.11298879937</v>
      </c>
      <c r="Q943" s="19" t="s">
        <v>903</v>
      </c>
      <c r="R943" s="22" t="s">
        <v>36</v>
      </c>
      <c r="S943" s="19" t="s">
        <v>29</v>
      </c>
      <c r="T943" s="19" t="s">
        <v>30</v>
      </c>
      <c r="U943" s="19" t="s">
        <v>31</v>
      </c>
      <c r="V943" s="41" t="n">
        <v>43514</v>
      </c>
      <c r="W943" s="34" t="s">
        <v>1267</v>
      </c>
      <c r="X943" s="34"/>
    </row>
    <row r="944" customFormat="false" ht="13.8" hidden="false" customHeight="false" outlineLevel="0" collapsed="false">
      <c r="A944" s="18"/>
      <c r="B944" s="19" t="n">
        <v>8757</v>
      </c>
      <c r="C944" s="20" t="n">
        <v>43368</v>
      </c>
      <c r="D944" s="38" t="s">
        <v>22</v>
      </c>
      <c r="E944" s="22" t="s">
        <v>72</v>
      </c>
      <c r="F944" s="34" t="s">
        <v>1221</v>
      </c>
      <c r="G944" s="19" t="s">
        <v>1268</v>
      </c>
      <c r="H944" s="19" t="n">
        <v>40</v>
      </c>
      <c r="I944" s="19" t="n">
        <v>4</v>
      </c>
      <c r="J944" s="19" t="n">
        <v>31.98</v>
      </c>
      <c r="K944" s="39" t="n">
        <v>330000</v>
      </c>
      <c r="L944" s="39" t="n">
        <f aca="false">K944/J944</f>
        <v>10318.9493433396</v>
      </c>
      <c r="M944" s="34"/>
      <c r="N944" s="40"/>
      <c r="O944" s="30" t="n">
        <f aca="false">K944+N944</f>
        <v>330000</v>
      </c>
      <c r="P944" s="39" t="n">
        <f aca="false">O944/J944</f>
        <v>10318.9493433396</v>
      </c>
      <c r="Q944" s="19" t="s">
        <v>1269</v>
      </c>
      <c r="R944" s="22" t="s">
        <v>27</v>
      </c>
      <c r="S944" s="19" t="s">
        <v>29</v>
      </c>
      <c r="T944" s="19" t="s">
        <v>30</v>
      </c>
      <c r="U944" s="19" t="s">
        <v>31</v>
      </c>
      <c r="V944" s="41" t="n">
        <v>43514</v>
      </c>
      <c r="W944" s="34" t="s">
        <v>1270</v>
      </c>
      <c r="X944" s="34"/>
    </row>
    <row r="945" customFormat="false" ht="13.8" hidden="false" customHeight="false" outlineLevel="0" collapsed="false">
      <c r="A945" s="18"/>
      <c r="B945" s="19" t="n">
        <v>10128</v>
      </c>
      <c r="C945" s="20" t="n">
        <v>43368</v>
      </c>
      <c r="D945" s="38" t="s">
        <v>22</v>
      </c>
      <c r="E945" s="22" t="s">
        <v>962</v>
      </c>
      <c r="F945" s="34" t="s">
        <v>963</v>
      </c>
      <c r="G945" s="19" t="n">
        <v>1</v>
      </c>
      <c r="H945" s="19" t="n">
        <v>2</v>
      </c>
      <c r="I945" s="19" t="n">
        <v>2</v>
      </c>
      <c r="J945" s="19" t="n">
        <v>52.59</v>
      </c>
      <c r="K945" s="39" t="n">
        <v>460000</v>
      </c>
      <c r="L945" s="39" t="n">
        <f aca="false">K945/J945</f>
        <v>8746.91005894657</v>
      </c>
      <c r="M945" s="34"/>
      <c r="N945" s="40"/>
      <c r="O945" s="30" t="n">
        <f aca="false">K945+N945</f>
        <v>460000</v>
      </c>
      <c r="P945" s="39" t="n">
        <f aca="false">O945/J945</f>
        <v>8746.91005894657</v>
      </c>
      <c r="Q945" s="19" t="s">
        <v>1271</v>
      </c>
      <c r="R945" s="22" t="s">
        <v>27</v>
      </c>
      <c r="S945" s="19" t="s">
        <v>29</v>
      </c>
      <c r="T945" s="19" t="s">
        <v>30</v>
      </c>
      <c r="U945" s="19" t="s">
        <v>31</v>
      </c>
      <c r="V945" s="41" t="n">
        <v>43514</v>
      </c>
      <c r="W945" s="34" t="s">
        <v>1272</v>
      </c>
      <c r="X945" s="34"/>
    </row>
    <row r="946" customFormat="false" ht="13.8" hidden="false" customHeight="false" outlineLevel="0" collapsed="false">
      <c r="A946" s="18"/>
      <c r="B946" s="19" t="n">
        <v>3631</v>
      </c>
      <c r="C946" s="20" t="n">
        <v>43368</v>
      </c>
      <c r="D946" s="38" t="s">
        <v>22</v>
      </c>
      <c r="E946" s="22" t="s">
        <v>203</v>
      </c>
      <c r="F946" s="34" t="s">
        <v>138</v>
      </c>
      <c r="G946" s="19" t="n">
        <v>12</v>
      </c>
      <c r="H946" s="19" t="n">
        <v>616</v>
      </c>
      <c r="I946" s="19" t="n">
        <v>7</v>
      </c>
      <c r="J946" s="19" t="n">
        <v>32.63</v>
      </c>
      <c r="K946" s="39" t="n">
        <v>200000</v>
      </c>
      <c r="L946" s="39" t="n">
        <f aca="false">K946/J946</f>
        <v>6129.32883849218</v>
      </c>
      <c r="M946" s="34"/>
      <c r="N946" s="40"/>
      <c r="O946" s="30" t="n">
        <f aca="false">K946+N946</f>
        <v>200000</v>
      </c>
      <c r="P946" s="39" t="n">
        <f aca="false">O946/J946</f>
        <v>6129.32883849218</v>
      </c>
      <c r="Q946" s="19" t="s">
        <v>1181</v>
      </c>
      <c r="R946" s="22" t="s">
        <v>27</v>
      </c>
      <c r="S946" s="19" t="s">
        <v>29</v>
      </c>
      <c r="T946" s="19" t="s">
        <v>30</v>
      </c>
      <c r="U946" s="19" t="s">
        <v>31</v>
      </c>
      <c r="V946" s="41" t="n">
        <v>43514</v>
      </c>
      <c r="W946" s="34" t="s">
        <v>1273</v>
      </c>
      <c r="X946" s="34"/>
    </row>
    <row r="947" customFormat="false" ht="13.8" hidden="false" customHeight="false" outlineLevel="0" collapsed="false">
      <c r="A947" s="18"/>
      <c r="B947" s="19" t="n">
        <v>3631</v>
      </c>
      <c r="C947" s="20" t="n">
        <v>43368</v>
      </c>
      <c r="D947" s="38" t="s">
        <v>22</v>
      </c>
      <c r="E947" s="22" t="s">
        <v>203</v>
      </c>
      <c r="F947" s="34" t="s">
        <v>138</v>
      </c>
      <c r="G947" s="19" t="n">
        <v>12</v>
      </c>
      <c r="H947" s="19" t="n">
        <v>616</v>
      </c>
      <c r="I947" s="19" t="s">
        <v>1214</v>
      </c>
      <c r="J947" s="19" t="n">
        <v>32.63</v>
      </c>
      <c r="K947" s="39" t="n">
        <v>200000</v>
      </c>
      <c r="L947" s="39" t="n">
        <f aca="false">K947/J947</f>
        <v>6129.32883849218</v>
      </c>
      <c r="M947" s="34"/>
      <c r="N947" s="40"/>
      <c r="O947" s="30" t="n">
        <f aca="false">K947+N947</f>
        <v>200000</v>
      </c>
      <c r="P947" s="39" t="n">
        <f aca="false">O947/J947</f>
        <v>6129.32883849218</v>
      </c>
      <c r="Q947" s="19" t="s">
        <v>1274</v>
      </c>
      <c r="R947" s="22" t="s">
        <v>27</v>
      </c>
      <c r="S947" s="19" t="s">
        <v>29</v>
      </c>
      <c r="T947" s="19" t="s">
        <v>30</v>
      </c>
      <c r="U947" s="19" t="s">
        <v>31</v>
      </c>
      <c r="V947" s="41" t="n">
        <v>43514</v>
      </c>
      <c r="W947" s="34" t="s">
        <v>1273</v>
      </c>
      <c r="X947" s="34"/>
    </row>
    <row r="948" customFormat="false" ht="13.8" hidden="false" customHeight="false" outlineLevel="0" collapsed="false">
      <c r="A948" s="18"/>
      <c r="B948" s="19" t="n">
        <v>3631</v>
      </c>
      <c r="C948" s="20" t="n">
        <v>43368</v>
      </c>
      <c r="D948" s="38" t="s">
        <v>22</v>
      </c>
      <c r="E948" s="22" t="s">
        <v>203</v>
      </c>
      <c r="F948" s="34" t="s">
        <v>138</v>
      </c>
      <c r="G948" s="19" t="n">
        <v>12</v>
      </c>
      <c r="H948" s="19" t="n">
        <v>616</v>
      </c>
      <c r="I948" s="19" t="n">
        <v>7</v>
      </c>
      <c r="J948" s="19" t="n">
        <v>32.63</v>
      </c>
      <c r="K948" s="39" t="n">
        <v>200000</v>
      </c>
      <c r="L948" s="39" t="n">
        <f aca="false">K948/J948</f>
        <v>6129.32883849218</v>
      </c>
      <c r="M948" s="18"/>
      <c r="N948" s="40"/>
      <c r="O948" s="30" t="n">
        <f aca="false">K948+N948</f>
        <v>200000</v>
      </c>
      <c r="P948" s="39" t="n">
        <f aca="false">O948/J948</f>
        <v>6129.32883849218</v>
      </c>
      <c r="Q948" s="19" t="s">
        <v>1181</v>
      </c>
      <c r="R948" s="22" t="s">
        <v>27</v>
      </c>
      <c r="S948" s="19" t="s">
        <v>29</v>
      </c>
      <c r="T948" s="19" t="s">
        <v>30</v>
      </c>
      <c r="U948" s="19" t="s">
        <v>31</v>
      </c>
      <c r="V948" s="41" t="n">
        <v>43514</v>
      </c>
      <c r="W948" s="34" t="s">
        <v>1273</v>
      </c>
      <c r="X948" s="18"/>
    </row>
    <row r="949" customFormat="false" ht="13.8" hidden="false" customHeight="false" outlineLevel="0" collapsed="false">
      <c r="A949" s="18"/>
      <c r="B949" s="19" t="n">
        <v>3631</v>
      </c>
      <c r="C949" s="20" t="n">
        <v>43368</v>
      </c>
      <c r="D949" s="38" t="s">
        <v>22</v>
      </c>
      <c r="E949" s="22" t="s">
        <v>203</v>
      </c>
      <c r="F949" s="34" t="s">
        <v>138</v>
      </c>
      <c r="G949" s="19" t="n">
        <v>12</v>
      </c>
      <c r="H949" s="19" t="n">
        <v>616</v>
      </c>
      <c r="I949" s="19" t="s">
        <v>1214</v>
      </c>
      <c r="J949" s="19" t="n">
        <v>32.63</v>
      </c>
      <c r="K949" s="39" t="n">
        <v>200000</v>
      </c>
      <c r="L949" s="39" t="n">
        <f aca="false">K949/J949</f>
        <v>6129.32883849218</v>
      </c>
      <c r="M949" s="18"/>
      <c r="N949" s="40"/>
      <c r="O949" s="30" t="n">
        <f aca="false">K949+N949</f>
        <v>200000</v>
      </c>
      <c r="P949" s="39" t="n">
        <f aca="false">O949/J949</f>
        <v>6129.32883849218</v>
      </c>
      <c r="Q949" s="19" t="s">
        <v>1274</v>
      </c>
      <c r="R949" s="22" t="s">
        <v>27</v>
      </c>
      <c r="S949" s="19" t="s">
        <v>29</v>
      </c>
      <c r="T949" s="19" t="s">
        <v>30</v>
      </c>
      <c r="U949" s="19" t="s">
        <v>31</v>
      </c>
      <c r="V949" s="41" t="n">
        <v>43514</v>
      </c>
      <c r="W949" s="34" t="s">
        <v>1273</v>
      </c>
      <c r="X949" s="18"/>
      <c r="Y949" s="35"/>
      <c r="Z949" s="36"/>
      <c r="AMJ949" s="32"/>
    </row>
    <row r="950" s="32" customFormat="true" ht="13.8" hidden="false" customHeight="false" outlineLevel="0" collapsed="false">
      <c r="A950" s="18"/>
      <c r="B950" s="19" t="n">
        <v>3150</v>
      </c>
      <c r="C950" s="20" t="n">
        <v>43368</v>
      </c>
      <c r="D950" s="38" t="s">
        <v>22</v>
      </c>
      <c r="E950" s="22" t="s">
        <v>284</v>
      </c>
      <c r="F950" s="34" t="s">
        <v>532</v>
      </c>
      <c r="G950" s="19" t="s">
        <v>848</v>
      </c>
      <c r="H950" s="19" t="n">
        <v>5</v>
      </c>
      <c r="I950" s="19" t="n">
        <v>3</v>
      </c>
      <c r="J950" s="19" t="n">
        <v>58.8</v>
      </c>
      <c r="K950" s="39" t="n">
        <v>710000</v>
      </c>
      <c r="L950" s="39" t="n">
        <f aca="false">K950/J950</f>
        <v>12074.8299319728</v>
      </c>
      <c r="M950" s="34"/>
      <c r="N950" s="40"/>
      <c r="O950" s="30" t="n">
        <f aca="false">K950+N950</f>
        <v>710000</v>
      </c>
      <c r="P950" s="39" t="n">
        <f aca="false">O950/J950</f>
        <v>12074.8299319728</v>
      </c>
      <c r="Q950" s="19" t="s">
        <v>903</v>
      </c>
      <c r="R950" s="22" t="s">
        <v>36</v>
      </c>
      <c r="S950" s="19" t="s">
        <v>29</v>
      </c>
      <c r="T950" s="19" t="s">
        <v>30</v>
      </c>
      <c r="U950" s="19" t="s">
        <v>31</v>
      </c>
      <c r="V950" s="41" t="n">
        <v>43514</v>
      </c>
      <c r="W950" s="34" t="s">
        <v>1275</v>
      </c>
      <c r="X950" s="34"/>
    </row>
    <row r="951" s="32" customFormat="true" ht="13.8" hidden="false" customHeight="false" outlineLevel="0" collapsed="false">
      <c r="A951" s="18"/>
      <c r="B951" s="19" t="n">
        <v>10535</v>
      </c>
      <c r="C951" s="20" t="n">
        <v>43368</v>
      </c>
      <c r="D951" s="38" t="s">
        <v>22</v>
      </c>
      <c r="E951" s="22" t="s">
        <v>42</v>
      </c>
      <c r="F951" s="34" t="s">
        <v>263</v>
      </c>
      <c r="G951" s="19" t="n">
        <v>4</v>
      </c>
      <c r="H951" s="19" t="n">
        <v>70</v>
      </c>
      <c r="I951" s="19" t="n">
        <v>4</v>
      </c>
      <c r="J951" s="19" t="n">
        <v>23</v>
      </c>
      <c r="K951" s="39" t="n">
        <v>270000</v>
      </c>
      <c r="L951" s="39" t="n">
        <f aca="false">K951/J951</f>
        <v>11739.1304347826</v>
      </c>
      <c r="M951" s="34"/>
      <c r="N951" s="40"/>
      <c r="O951" s="30" t="n">
        <f aca="false">K951+N951</f>
        <v>270000</v>
      </c>
      <c r="P951" s="39" t="n">
        <f aca="false">O951/J951</f>
        <v>11739.1304347826</v>
      </c>
      <c r="Q951" s="19" t="s">
        <v>1276</v>
      </c>
      <c r="R951" s="22" t="s">
        <v>27</v>
      </c>
      <c r="S951" s="19" t="s">
        <v>29</v>
      </c>
      <c r="T951" s="19" t="s">
        <v>30</v>
      </c>
      <c r="U951" s="19" t="s">
        <v>31</v>
      </c>
      <c r="V951" s="41" t="n">
        <v>43514</v>
      </c>
      <c r="W951" s="34" t="s">
        <v>1277</v>
      </c>
      <c r="X951" s="18"/>
    </row>
    <row r="952" customFormat="false" ht="13.8" hidden="false" customHeight="false" outlineLevel="0" collapsed="false">
      <c r="A952" s="18"/>
      <c r="B952" s="19" t="n">
        <v>3270</v>
      </c>
      <c r="C952" s="20" t="n">
        <v>43368</v>
      </c>
      <c r="D952" s="38" t="s">
        <v>22</v>
      </c>
      <c r="E952" s="22" t="s">
        <v>140</v>
      </c>
      <c r="F952" s="34" t="s">
        <v>1278</v>
      </c>
      <c r="G952" s="19" t="n">
        <v>2</v>
      </c>
      <c r="H952" s="19" t="n">
        <v>913</v>
      </c>
      <c r="I952" s="19" t="n">
        <v>9</v>
      </c>
      <c r="J952" s="19" t="n">
        <v>32.8</v>
      </c>
      <c r="K952" s="39" t="n">
        <v>330000</v>
      </c>
      <c r="L952" s="39" t="n">
        <f aca="false">ROUND(K952/J952,2)</f>
        <v>10060.98</v>
      </c>
      <c r="M952" s="34" t="s">
        <v>943</v>
      </c>
      <c r="N952" s="40" t="n">
        <v>12000</v>
      </c>
      <c r="O952" s="30" t="n">
        <f aca="false">K952+N952</f>
        <v>342000</v>
      </c>
      <c r="P952" s="39" t="n">
        <f aca="false">ROUND(O952/J952,2)</f>
        <v>10426.83</v>
      </c>
      <c r="Q952" s="19" t="s">
        <v>1279</v>
      </c>
      <c r="R952" s="22" t="n">
        <v>1</v>
      </c>
      <c r="S952" s="19" t="s">
        <v>29</v>
      </c>
      <c r="T952" s="19" t="s">
        <v>30</v>
      </c>
      <c r="U952" s="31" t="s">
        <v>31</v>
      </c>
      <c r="V952" s="41" t="n">
        <v>43432</v>
      </c>
      <c r="W952" s="34"/>
      <c r="X952" s="34"/>
    </row>
    <row r="953" customFormat="false" ht="13.8" hidden="false" customHeight="false" outlineLevel="0" collapsed="false">
      <c r="A953" s="18"/>
      <c r="B953" s="19" t="n">
        <v>3053</v>
      </c>
      <c r="C953" s="20" t="n">
        <v>43368</v>
      </c>
      <c r="D953" s="38" t="s">
        <v>22</v>
      </c>
      <c r="E953" s="22" t="s">
        <v>86</v>
      </c>
      <c r="F953" s="34" t="s">
        <v>87</v>
      </c>
      <c r="G953" s="19" t="n">
        <v>75</v>
      </c>
      <c r="H953" s="19" t="n">
        <v>72</v>
      </c>
      <c r="I953" s="19" t="n">
        <v>3</v>
      </c>
      <c r="J953" s="19" t="n">
        <v>37.95</v>
      </c>
      <c r="K953" s="39" t="n">
        <v>400000</v>
      </c>
      <c r="L953" s="39" t="n">
        <f aca="false">K953/J953</f>
        <v>10540.1844532279</v>
      </c>
      <c r="M953" s="18"/>
      <c r="N953" s="40"/>
      <c r="O953" s="30" t="n">
        <f aca="false">K953+N953</f>
        <v>400000</v>
      </c>
      <c r="P953" s="39" t="n">
        <f aca="false">O953/J953</f>
        <v>10540.1844532279</v>
      </c>
      <c r="Q953" s="19" t="s">
        <v>903</v>
      </c>
      <c r="R953" s="22" t="s">
        <v>36</v>
      </c>
      <c r="S953" s="19" t="s">
        <v>29</v>
      </c>
      <c r="T953" s="19" t="s">
        <v>30</v>
      </c>
      <c r="U953" s="19" t="s">
        <v>31</v>
      </c>
      <c r="V953" s="41" t="n">
        <v>43514</v>
      </c>
      <c r="W953" s="34" t="s">
        <v>1280</v>
      </c>
      <c r="X953" s="18"/>
    </row>
    <row r="954" customFormat="false" ht="13.8" hidden="false" customHeight="false" outlineLevel="0" collapsed="false">
      <c r="A954" s="18"/>
      <c r="B954" s="19" t="n">
        <v>3285</v>
      </c>
      <c r="C954" s="20" t="n">
        <v>43368</v>
      </c>
      <c r="D954" s="38" t="s">
        <v>22</v>
      </c>
      <c r="E954" s="22" t="s">
        <v>389</v>
      </c>
      <c r="F954" s="34" t="s">
        <v>582</v>
      </c>
      <c r="G954" s="19" t="n">
        <v>36</v>
      </c>
      <c r="H954" s="19" t="n">
        <v>83</v>
      </c>
      <c r="I954" s="19" t="n">
        <v>3</v>
      </c>
      <c r="J954" s="19" t="n">
        <v>119.68</v>
      </c>
      <c r="K954" s="39" t="n">
        <v>1195000</v>
      </c>
      <c r="L954" s="39" t="n">
        <f aca="false">ROUND(K954/J954,2)</f>
        <v>9984.96</v>
      </c>
      <c r="M954" s="34" t="s">
        <v>1281</v>
      </c>
      <c r="N954" s="40" t="n">
        <v>5000</v>
      </c>
      <c r="O954" s="30" t="n">
        <f aca="false">K954+N954</f>
        <v>1200000</v>
      </c>
      <c r="P954" s="39" t="n">
        <f aca="false">ROUND(O954/J954,2)</f>
        <v>10026.74</v>
      </c>
      <c r="Q954" s="19" t="s">
        <v>1282</v>
      </c>
      <c r="R954" s="22" t="n">
        <v>5</v>
      </c>
      <c r="S954" s="19" t="s">
        <v>29</v>
      </c>
      <c r="T954" s="19" t="s">
        <v>30</v>
      </c>
      <c r="U954" s="31" t="s">
        <v>31</v>
      </c>
      <c r="V954" s="41" t="n">
        <v>43432</v>
      </c>
      <c r="W954" s="18"/>
      <c r="X954" s="18"/>
    </row>
    <row r="955" customFormat="false" ht="13.8" hidden="false" customHeight="false" outlineLevel="0" collapsed="false">
      <c r="A955" s="18"/>
      <c r="B955" s="19" t="n">
        <v>2158</v>
      </c>
      <c r="C955" s="20" t="n">
        <v>43368</v>
      </c>
      <c r="D955" s="38" t="s">
        <v>22</v>
      </c>
      <c r="E955" s="22" t="s">
        <v>399</v>
      </c>
      <c r="F955" s="34" t="s">
        <v>272</v>
      </c>
      <c r="G955" s="19" t="n">
        <v>78</v>
      </c>
      <c r="H955" s="19" t="n">
        <v>87</v>
      </c>
      <c r="I955" s="19" t="n">
        <v>9</v>
      </c>
      <c r="J955" s="19" t="n">
        <v>112</v>
      </c>
      <c r="K955" s="39" t="n">
        <v>802000</v>
      </c>
      <c r="L955" s="39" t="n">
        <f aca="false">K955/J955</f>
        <v>7160.71428571429</v>
      </c>
      <c r="M955" s="34" t="s">
        <v>1283</v>
      </c>
      <c r="N955" s="40" t="n">
        <v>78000</v>
      </c>
      <c r="O955" s="30" t="n">
        <f aca="false">K955+N955</f>
        <v>880000</v>
      </c>
      <c r="P955" s="39" t="n">
        <f aca="false">O955/J955</f>
        <v>7857.14285714286</v>
      </c>
      <c r="Q955" s="19" t="s">
        <v>1284</v>
      </c>
      <c r="R955" s="22" t="s">
        <v>49</v>
      </c>
      <c r="S955" s="19" t="s">
        <v>29</v>
      </c>
      <c r="T955" s="19" t="s">
        <v>30</v>
      </c>
      <c r="U955" s="19" t="s">
        <v>31</v>
      </c>
      <c r="V955" s="41" t="n">
        <v>43514</v>
      </c>
      <c r="W955" s="34" t="s">
        <v>1285</v>
      </c>
      <c r="X955" s="34"/>
    </row>
    <row r="956" customFormat="false" ht="13.8" hidden="false" customHeight="false" outlineLevel="0" collapsed="false">
      <c r="A956" s="18"/>
      <c r="B956" s="19" t="n">
        <v>2158</v>
      </c>
      <c r="C956" s="20" t="n">
        <v>43368</v>
      </c>
      <c r="D956" s="38" t="s">
        <v>22</v>
      </c>
      <c r="E956" s="22" t="s">
        <v>399</v>
      </c>
      <c r="F956" s="34" t="s">
        <v>272</v>
      </c>
      <c r="G956" s="19" t="n">
        <v>78</v>
      </c>
      <c r="H956" s="19" t="n">
        <v>87</v>
      </c>
      <c r="I956" s="19" t="n">
        <v>9</v>
      </c>
      <c r="J956" s="19" t="n">
        <v>112</v>
      </c>
      <c r="K956" s="39" t="n">
        <v>802000</v>
      </c>
      <c r="L956" s="39" t="n">
        <f aca="false">K956/J956</f>
        <v>7160.71428571429</v>
      </c>
      <c r="M956" s="34" t="s">
        <v>1283</v>
      </c>
      <c r="N956" s="40" t="n">
        <v>78000</v>
      </c>
      <c r="O956" s="30" t="n">
        <f aca="false">K956+N956</f>
        <v>880000</v>
      </c>
      <c r="P956" s="39" t="n">
        <f aca="false">O956/J956</f>
        <v>7857.14285714286</v>
      </c>
      <c r="Q956" s="19" t="s">
        <v>1284</v>
      </c>
      <c r="R956" s="22" t="s">
        <v>49</v>
      </c>
      <c r="S956" s="19" t="s">
        <v>29</v>
      </c>
      <c r="T956" s="19" t="s">
        <v>30</v>
      </c>
      <c r="U956" s="19" t="s">
        <v>31</v>
      </c>
      <c r="V956" s="41" t="n">
        <v>43514</v>
      </c>
      <c r="W956" s="34" t="s">
        <v>1285</v>
      </c>
      <c r="X956" s="18"/>
    </row>
    <row r="957" customFormat="false" ht="13.8" hidden="false" customHeight="false" outlineLevel="0" collapsed="false">
      <c r="A957" s="18"/>
      <c r="B957" s="19" t="n">
        <v>7015</v>
      </c>
      <c r="C957" s="20" t="n">
        <v>43369</v>
      </c>
      <c r="D957" s="38" t="s">
        <v>22</v>
      </c>
      <c r="E957" s="22" t="s">
        <v>72</v>
      </c>
      <c r="F957" s="34" t="s">
        <v>955</v>
      </c>
      <c r="G957" s="19" t="s">
        <v>683</v>
      </c>
      <c r="H957" s="19" t="n">
        <v>51</v>
      </c>
      <c r="I957" s="19" t="n">
        <v>1</v>
      </c>
      <c r="J957" s="19" t="n">
        <v>57.57</v>
      </c>
      <c r="K957" s="39" t="n">
        <v>513000</v>
      </c>
      <c r="L957" s="39" t="n">
        <f aca="false">ROUND(K957/J957,2)</f>
        <v>8910.89</v>
      </c>
      <c r="M957" s="34" t="s">
        <v>1158</v>
      </c>
      <c r="N957" s="40"/>
      <c r="O957" s="30" t="n">
        <f aca="false">K957+N957</f>
        <v>513000</v>
      </c>
      <c r="P957" s="39" t="n">
        <f aca="false">ROUND(O957/J957,2)</f>
        <v>8910.89</v>
      </c>
      <c r="Q957" s="19" t="s">
        <v>1214</v>
      </c>
      <c r="R957" s="22"/>
      <c r="S957" s="19" t="s">
        <v>29</v>
      </c>
      <c r="T957" s="19" t="s">
        <v>30</v>
      </c>
      <c r="U957" s="31" t="s">
        <v>31</v>
      </c>
      <c r="V957" s="41" t="n">
        <v>43432</v>
      </c>
      <c r="W957" s="18"/>
      <c r="X957" s="18"/>
      <c r="Y957" s="35"/>
      <c r="Z957" s="43"/>
    </row>
    <row r="958" customFormat="false" ht="13.8" hidden="false" customHeight="false" outlineLevel="0" collapsed="false">
      <c r="A958" s="18"/>
      <c r="B958" s="19" t="n">
        <v>2244</v>
      </c>
      <c r="C958" s="20" t="n">
        <v>43369</v>
      </c>
      <c r="D958" s="38" t="s">
        <v>22</v>
      </c>
      <c r="E958" s="22" t="s">
        <v>276</v>
      </c>
      <c r="F958" s="34" t="s">
        <v>38</v>
      </c>
      <c r="G958" s="19" t="n">
        <v>34</v>
      </c>
      <c r="H958" s="19" t="n">
        <v>102</v>
      </c>
      <c r="I958" s="19" t="n">
        <v>8</v>
      </c>
      <c r="J958" s="19" t="n">
        <v>27.7</v>
      </c>
      <c r="K958" s="39" t="n">
        <v>287000</v>
      </c>
      <c r="L958" s="39" t="n">
        <f aca="false">ROUND(K958/J958,2)</f>
        <v>10361.01</v>
      </c>
      <c r="M958" s="34"/>
      <c r="N958" s="40"/>
      <c r="O958" s="30" t="n">
        <f aca="false">K958+N958</f>
        <v>287000</v>
      </c>
      <c r="P958" s="39" t="n">
        <f aca="false">ROUND(O958/J958,2)</f>
        <v>10361.01</v>
      </c>
      <c r="Q958" s="19" t="s">
        <v>1230</v>
      </c>
      <c r="R958" s="22" t="n">
        <v>1</v>
      </c>
      <c r="S958" s="19" t="s">
        <v>29</v>
      </c>
      <c r="T958" s="19" t="s">
        <v>30</v>
      </c>
      <c r="U958" s="31" t="s">
        <v>31</v>
      </c>
      <c r="V958" s="41" t="n">
        <v>43432</v>
      </c>
      <c r="W958" s="18"/>
      <c r="X958" s="18"/>
    </row>
    <row r="959" customFormat="false" ht="13.8" hidden="false" customHeight="false" outlineLevel="0" collapsed="false">
      <c r="A959" s="18"/>
      <c r="B959" s="19" t="n">
        <v>11225</v>
      </c>
      <c r="C959" s="20" t="n">
        <v>43369</v>
      </c>
      <c r="D959" s="38" t="s">
        <v>22</v>
      </c>
      <c r="E959" s="22" t="s">
        <v>235</v>
      </c>
      <c r="F959" s="34" t="s">
        <v>236</v>
      </c>
      <c r="G959" s="19" t="s">
        <v>384</v>
      </c>
      <c r="H959" s="19" t="n">
        <v>12</v>
      </c>
      <c r="I959" s="19" t="n">
        <v>2</v>
      </c>
      <c r="J959" s="19" t="n">
        <v>52.75</v>
      </c>
      <c r="K959" s="39" t="n">
        <v>457000</v>
      </c>
      <c r="L959" s="39" t="n">
        <f aca="false">K959/J959</f>
        <v>8663.50710900474</v>
      </c>
      <c r="M959" s="34"/>
      <c r="N959" s="40"/>
      <c r="O959" s="30" t="n">
        <f aca="false">K959+N959</f>
        <v>457000</v>
      </c>
      <c r="P959" s="39" t="n">
        <f aca="false">O959/J959</f>
        <v>8663.50710900474</v>
      </c>
      <c r="Q959" s="19" t="s">
        <v>1181</v>
      </c>
      <c r="R959" s="22" t="s">
        <v>27</v>
      </c>
      <c r="S959" s="19" t="s">
        <v>29</v>
      </c>
      <c r="T959" s="19" t="s">
        <v>30</v>
      </c>
      <c r="U959" s="19" t="s">
        <v>31</v>
      </c>
      <c r="V959" s="41" t="n">
        <v>43514</v>
      </c>
      <c r="W959" s="34" t="s">
        <v>1286</v>
      </c>
      <c r="X959" s="18"/>
    </row>
    <row r="960" customFormat="false" ht="13.8" hidden="false" customHeight="false" outlineLevel="0" collapsed="false">
      <c r="A960" s="18"/>
      <c r="B960" s="19" t="n">
        <v>11255</v>
      </c>
      <c r="C960" s="20" t="n">
        <v>43369</v>
      </c>
      <c r="D960" s="38" t="s">
        <v>22</v>
      </c>
      <c r="E960" s="22" t="s">
        <v>235</v>
      </c>
      <c r="F960" s="34" t="s">
        <v>236</v>
      </c>
      <c r="G960" s="19" t="s">
        <v>384</v>
      </c>
      <c r="H960" s="19" t="n">
        <v>12</v>
      </c>
      <c r="I960" s="19" t="n">
        <v>2</v>
      </c>
      <c r="J960" s="19" t="n">
        <v>52.75</v>
      </c>
      <c r="K960" s="39" t="n">
        <v>457000</v>
      </c>
      <c r="L960" s="39" t="n">
        <f aca="false">K960/J960</f>
        <v>8663.50710900474</v>
      </c>
      <c r="M960" s="34"/>
      <c r="N960" s="40"/>
      <c r="O960" s="30" t="n">
        <f aca="false">K960+N960</f>
        <v>457000</v>
      </c>
      <c r="P960" s="39" t="n">
        <f aca="false">O960/J960</f>
        <v>8663.50710900474</v>
      </c>
      <c r="Q960" s="19" t="s">
        <v>1287</v>
      </c>
      <c r="R960" s="22" t="s">
        <v>27</v>
      </c>
      <c r="S960" s="19" t="s">
        <v>29</v>
      </c>
      <c r="T960" s="19" t="s">
        <v>30</v>
      </c>
      <c r="U960" s="19" t="s">
        <v>31</v>
      </c>
      <c r="V960" s="41" t="n">
        <v>43514</v>
      </c>
      <c r="W960" s="34" t="s">
        <v>1286</v>
      </c>
      <c r="X960" s="18"/>
    </row>
    <row r="961" customFormat="false" ht="13.8" hidden="false" customHeight="false" outlineLevel="0" collapsed="false">
      <c r="A961" s="18"/>
      <c r="B961" s="19" t="n">
        <v>11225</v>
      </c>
      <c r="C961" s="20" t="n">
        <v>43369</v>
      </c>
      <c r="D961" s="38" t="s">
        <v>22</v>
      </c>
      <c r="E961" s="22" t="s">
        <v>235</v>
      </c>
      <c r="F961" s="34" t="s">
        <v>236</v>
      </c>
      <c r="G961" s="19" t="s">
        <v>384</v>
      </c>
      <c r="H961" s="19" t="n">
        <v>12</v>
      </c>
      <c r="I961" s="19" t="n">
        <v>2</v>
      </c>
      <c r="J961" s="19" t="n">
        <v>52.75</v>
      </c>
      <c r="K961" s="39" t="n">
        <v>457000</v>
      </c>
      <c r="L961" s="39" t="n">
        <f aca="false">K961/J961</f>
        <v>8663.50710900474</v>
      </c>
      <c r="M961" s="34"/>
      <c r="N961" s="40"/>
      <c r="O961" s="30" t="n">
        <f aca="false">K961+N961</f>
        <v>457000</v>
      </c>
      <c r="P961" s="39" t="n">
        <f aca="false">O961/J961</f>
        <v>8663.50710900474</v>
      </c>
      <c r="Q961" s="19" t="s">
        <v>1181</v>
      </c>
      <c r="R961" s="22" t="s">
        <v>27</v>
      </c>
      <c r="S961" s="19" t="s">
        <v>29</v>
      </c>
      <c r="T961" s="19" t="s">
        <v>30</v>
      </c>
      <c r="U961" s="19" t="s">
        <v>31</v>
      </c>
      <c r="V961" s="41" t="n">
        <v>43514</v>
      </c>
      <c r="W961" s="34" t="s">
        <v>1286</v>
      </c>
      <c r="X961" s="18"/>
    </row>
    <row r="962" customFormat="false" ht="13.8" hidden="false" customHeight="false" outlineLevel="0" collapsed="false">
      <c r="A962" s="18"/>
      <c r="B962" s="19" t="n">
        <v>11255</v>
      </c>
      <c r="C962" s="20" t="n">
        <v>43369</v>
      </c>
      <c r="D962" s="38" t="s">
        <v>22</v>
      </c>
      <c r="E962" s="22" t="s">
        <v>235</v>
      </c>
      <c r="F962" s="34" t="s">
        <v>236</v>
      </c>
      <c r="G962" s="19" t="s">
        <v>384</v>
      </c>
      <c r="H962" s="19" t="n">
        <v>12</v>
      </c>
      <c r="I962" s="19" t="n">
        <v>2</v>
      </c>
      <c r="J962" s="19" t="n">
        <v>52.75</v>
      </c>
      <c r="K962" s="39" t="n">
        <v>457000</v>
      </c>
      <c r="L962" s="39" t="n">
        <f aca="false">K962/J962</f>
        <v>8663.50710900474</v>
      </c>
      <c r="M962" s="34"/>
      <c r="N962" s="40"/>
      <c r="O962" s="30" t="n">
        <f aca="false">K962+N962</f>
        <v>457000</v>
      </c>
      <c r="P962" s="39" t="n">
        <f aca="false">O962/J962</f>
        <v>8663.50710900474</v>
      </c>
      <c r="Q962" s="19" t="s">
        <v>1287</v>
      </c>
      <c r="R962" s="22" t="s">
        <v>27</v>
      </c>
      <c r="S962" s="19" t="s">
        <v>29</v>
      </c>
      <c r="T962" s="19" t="s">
        <v>30</v>
      </c>
      <c r="U962" s="19" t="s">
        <v>31</v>
      </c>
      <c r="V962" s="41" t="n">
        <v>43514</v>
      </c>
      <c r="W962" s="34" t="s">
        <v>1286</v>
      </c>
      <c r="X962" s="18"/>
    </row>
    <row r="963" customFormat="false" ht="13.8" hidden="false" customHeight="false" outlineLevel="0" collapsed="false">
      <c r="A963" s="18"/>
      <c r="B963" s="19" t="n">
        <v>4217</v>
      </c>
      <c r="C963" s="20" t="n">
        <v>43369</v>
      </c>
      <c r="D963" s="38" t="s">
        <v>22</v>
      </c>
      <c r="E963" s="22" t="s">
        <v>61</v>
      </c>
      <c r="F963" s="34" t="s">
        <v>581</v>
      </c>
      <c r="G963" s="19" t="n">
        <v>27</v>
      </c>
      <c r="H963" s="19" t="n">
        <v>86</v>
      </c>
      <c r="I963" s="19" t="n">
        <v>5</v>
      </c>
      <c r="J963" s="19" t="n">
        <v>43.7</v>
      </c>
      <c r="K963" s="39" t="n">
        <v>447000</v>
      </c>
      <c r="L963" s="39" t="n">
        <f aca="false">K963/J963</f>
        <v>10228.8329519451</v>
      </c>
      <c r="M963" s="34"/>
      <c r="N963" s="40"/>
      <c r="O963" s="30" t="n">
        <f aca="false">K963+N963</f>
        <v>447000</v>
      </c>
      <c r="P963" s="39" t="n">
        <f aca="false">O963/J963</f>
        <v>10228.8329519451</v>
      </c>
      <c r="Q963" s="19" t="s">
        <v>903</v>
      </c>
      <c r="R963" s="22" t="s">
        <v>36</v>
      </c>
      <c r="S963" s="19" t="s">
        <v>29</v>
      </c>
      <c r="T963" s="19" t="s">
        <v>30</v>
      </c>
      <c r="U963" s="19" t="s">
        <v>31</v>
      </c>
      <c r="V963" s="41" t="n">
        <v>43514</v>
      </c>
      <c r="W963" s="34" t="s">
        <v>1288</v>
      </c>
      <c r="X963" s="18"/>
    </row>
    <row r="964" customFormat="false" ht="13.8" hidden="false" customHeight="false" outlineLevel="0" collapsed="false">
      <c r="A964" s="18"/>
      <c r="B964" s="19" t="n">
        <v>4217</v>
      </c>
      <c r="C964" s="20" t="n">
        <v>43369</v>
      </c>
      <c r="D964" s="38" t="s">
        <v>22</v>
      </c>
      <c r="E964" s="22" t="s">
        <v>61</v>
      </c>
      <c r="F964" s="34" t="s">
        <v>581</v>
      </c>
      <c r="G964" s="19" t="n">
        <v>27</v>
      </c>
      <c r="H964" s="19" t="n">
        <v>86</v>
      </c>
      <c r="I964" s="19" t="n">
        <v>5</v>
      </c>
      <c r="J964" s="19" t="n">
        <v>43.7</v>
      </c>
      <c r="K964" s="39" t="n">
        <f aca="false">223500*2</f>
        <v>447000</v>
      </c>
      <c r="L964" s="39" t="n">
        <f aca="false">K964/J964</f>
        <v>10228.8329519451</v>
      </c>
      <c r="M964" s="34"/>
      <c r="N964" s="40"/>
      <c r="O964" s="30" t="n">
        <f aca="false">K964+N964</f>
        <v>447000</v>
      </c>
      <c r="P964" s="39" t="n">
        <f aca="false">O964/J964</f>
        <v>10228.8329519451</v>
      </c>
      <c r="Q964" s="19" t="s">
        <v>903</v>
      </c>
      <c r="R964" s="22" t="s">
        <v>36</v>
      </c>
      <c r="S964" s="19" t="s">
        <v>29</v>
      </c>
      <c r="T964" s="19" t="s">
        <v>30</v>
      </c>
      <c r="U964" s="19" t="s">
        <v>31</v>
      </c>
      <c r="V964" s="41" t="n">
        <v>43514</v>
      </c>
      <c r="W964" s="34" t="s">
        <v>1288</v>
      </c>
      <c r="X964" s="18"/>
    </row>
    <row r="965" customFormat="false" ht="13.8" hidden="false" customHeight="false" outlineLevel="0" collapsed="false">
      <c r="A965" s="18"/>
      <c r="B965" s="19" t="n">
        <v>4217</v>
      </c>
      <c r="C965" s="20" t="n">
        <v>43369</v>
      </c>
      <c r="D965" s="38" t="s">
        <v>22</v>
      </c>
      <c r="E965" s="22" t="s">
        <v>61</v>
      </c>
      <c r="F965" s="34" t="s">
        <v>581</v>
      </c>
      <c r="G965" s="19" t="n">
        <v>27</v>
      </c>
      <c r="H965" s="19" t="n">
        <v>86</v>
      </c>
      <c r="I965" s="19" t="n">
        <v>5</v>
      </c>
      <c r="J965" s="19" t="n">
        <v>43.7</v>
      </c>
      <c r="K965" s="39" t="n">
        <v>447000</v>
      </c>
      <c r="L965" s="39" t="n">
        <f aca="false">K965/J965</f>
        <v>10228.8329519451</v>
      </c>
      <c r="M965" s="34"/>
      <c r="N965" s="40"/>
      <c r="O965" s="30" t="n">
        <f aca="false">K965+N965</f>
        <v>447000</v>
      </c>
      <c r="P965" s="39" t="n">
        <f aca="false">O965/J965</f>
        <v>10228.8329519451</v>
      </c>
      <c r="Q965" s="19" t="s">
        <v>903</v>
      </c>
      <c r="R965" s="22" t="s">
        <v>36</v>
      </c>
      <c r="S965" s="19" t="s">
        <v>29</v>
      </c>
      <c r="T965" s="19" t="s">
        <v>30</v>
      </c>
      <c r="U965" s="19" t="s">
        <v>31</v>
      </c>
      <c r="V965" s="41" t="n">
        <v>43514</v>
      </c>
      <c r="W965" s="34" t="s">
        <v>1288</v>
      </c>
      <c r="X965" s="34"/>
    </row>
    <row r="966" customFormat="false" ht="13.8" hidden="false" customHeight="false" outlineLevel="0" collapsed="false">
      <c r="A966" s="18"/>
      <c r="B966" s="19" t="n">
        <v>4217</v>
      </c>
      <c r="C966" s="20" t="n">
        <v>43369</v>
      </c>
      <c r="D966" s="38" t="s">
        <v>22</v>
      </c>
      <c r="E966" s="22" t="s">
        <v>61</v>
      </c>
      <c r="F966" s="34" t="s">
        <v>581</v>
      </c>
      <c r="G966" s="19" t="n">
        <v>27</v>
      </c>
      <c r="H966" s="19" t="n">
        <v>86</v>
      </c>
      <c r="I966" s="19" t="n">
        <v>5</v>
      </c>
      <c r="J966" s="19" t="n">
        <v>43.7</v>
      </c>
      <c r="K966" s="39" t="n">
        <f aca="false">223500*2</f>
        <v>447000</v>
      </c>
      <c r="L966" s="39" t="n">
        <f aca="false">K966/J966</f>
        <v>10228.8329519451</v>
      </c>
      <c r="M966" s="18"/>
      <c r="N966" s="40"/>
      <c r="O966" s="30" t="n">
        <f aca="false">K966+N966</f>
        <v>447000</v>
      </c>
      <c r="P966" s="39" t="n">
        <f aca="false">O966/J966</f>
        <v>10228.8329519451</v>
      </c>
      <c r="Q966" s="19" t="s">
        <v>903</v>
      </c>
      <c r="R966" s="22" t="s">
        <v>36</v>
      </c>
      <c r="S966" s="19" t="s">
        <v>29</v>
      </c>
      <c r="T966" s="19" t="s">
        <v>30</v>
      </c>
      <c r="U966" s="19" t="s">
        <v>31</v>
      </c>
      <c r="V966" s="41" t="n">
        <v>43514</v>
      </c>
      <c r="W966" s="34" t="s">
        <v>1288</v>
      </c>
      <c r="X966" s="18"/>
      <c r="AMJ966" s="32"/>
    </row>
    <row r="967" s="32" customFormat="true" ht="13.8" hidden="false" customHeight="false" outlineLevel="0" collapsed="false">
      <c r="A967" s="18"/>
      <c r="B967" s="19" t="n">
        <v>2194</v>
      </c>
      <c r="C967" s="20" t="n">
        <v>43369</v>
      </c>
      <c r="D967" s="38" t="s">
        <v>22</v>
      </c>
      <c r="E967" s="22" t="s">
        <v>178</v>
      </c>
      <c r="F967" s="34" t="s">
        <v>387</v>
      </c>
      <c r="G967" s="19" t="n">
        <v>67</v>
      </c>
      <c r="H967" s="19" t="n">
        <v>70</v>
      </c>
      <c r="I967" s="19" t="n">
        <v>3</v>
      </c>
      <c r="J967" s="19" t="n">
        <v>51.6</v>
      </c>
      <c r="K967" s="39" t="n">
        <v>529000</v>
      </c>
      <c r="L967" s="39" t="n">
        <f aca="false">K967/J967</f>
        <v>10251.9379844961</v>
      </c>
      <c r="M967" s="18"/>
      <c r="N967" s="40"/>
      <c r="O967" s="30" t="n">
        <f aca="false">K967+N967</f>
        <v>529000</v>
      </c>
      <c r="P967" s="39" t="n">
        <f aca="false">O967/J967</f>
        <v>10251.9379844961</v>
      </c>
      <c r="Q967" s="19" t="s">
        <v>1289</v>
      </c>
      <c r="R967" s="22" t="s">
        <v>36</v>
      </c>
      <c r="S967" s="19" t="s">
        <v>29</v>
      </c>
      <c r="T967" s="19" t="s">
        <v>30</v>
      </c>
      <c r="U967" s="19" t="s">
        <v>31</v>
      </c>
      <c r="V967" s="41" t="n">
        <v>43514</v>
      </c>
      <c r="W967" s="34" t="s">
        <v>1290</v>
      </c>
      <c r="X967" s="18"/>
    </row>
    <row r="968" customFormat="false" ht="13.8" hidden="false" customHeight="false" outlineLevel="0" collapsed="false">
      <c r="A968" s="18"/>
      <c r="B968" s="19" t="n">
        <v>2194</v>
      </c>
      <c r="C968" s="20" t="n">
        <v>43369</v>
      </c>
      <c r="D968" s="38" t="s">
        <v>22</v>
      </c>
      <c r="E968" s="22" t="s">
        <v>178</v>
      </c>
      <c r="F968" s="34" t="s">
        <v>387</v>
      </c>
      <c r="G968" s="19" t="n">
        <v>67</v>
      </c>
      <c r="H968" s="19" t="n">
        <v>70</v>
      </c>
      <c r="I968" s="19" t="n">
        <v>3</v>
      </c>
      <c r="J968" s="19" t="n">
        <v>51.6</v>
      </c>
      <c r="K968" s="39" t="n">
        <v>529000</v>
      </c>
      <c r="L968" s="39" t="n">
        <f aca="false">K968/J968</f>
        <v>10251.9379844961</v>
      </c>
      <c r="M968" s="18"/>
      <c r="N968" s="40"/>
      <c r="O968" s="30" t="n">
        <f aca="false">K968+N968</f>
        <v>529000</v>
      </c>
      <c r="P968" s="39" t="n">
        <f aca="false">O968/J968</f>
        <v>10251.9379844961</v>
      </c>
      <c r="Q968" s="19" t="s">
        <v>1289</v>
      </c>
      <c r="R968" s="22" t="s">
        <v>36</v>
      </c>
      <c r="S968" s="19" t="s">
        <v>29</v>
      </c>
      <c r="T968" s="19" t="s">
        <v>30</v>
      </c>
      <c r="U968" s="19" t="s">
        <v>31</v>
      </c>
      <c r="V968" s="41" t="n">
        <v>43514</v>
      </c>
      <c r="W968" s="34" t="s">
        <v>1290</v>
      </c>
      <c r="X968" s="18"/>
    </row>
    <row r="969" customFormat="false" ht="13.8" hidden="false" customHeight="false" outlineLevel="0" collapsed="false">
      <c r="A969" s="18"/>
      <c r="B969" s="19" t="n">
        <v>14835</v>
      </c>
      <c r="C969" s="20" t="n">
        <v>43369</v>
      </c>
      <c r="D969" s="38" t="s">
        <v>22</v>
      </c>
      <c r="E969" s="22" t="s">
        <v>229</v>
      </c>
      <c r="F969" s="34" t="s">
        <v>230</v>
      </c>
      <c r="G969" s="19" t="n">
        <v>59</v>
      </c>
      <c r="H969" s="19" t="n">
        <v>68</v>
      </c>
      <c r="I969" s="19" t="s">
        <v>887</v>
      </c>
      <c r="J969" s="19" t="n">
        <v>58.41</v>
      </c>
      <c r="K969" s="39" t="n">
        <v>522000</v>
      </c>
      <c r="L969" s="39" t="n">
        <f aca="false">K969/J969</f>
        <v>8936.82588597843</v>
      </c>
      <c r="M969" s="18"/>
      <c r="N969" s="40"/>
      <c r="O969" s="30" t="n">
        <f aca="false">K969+N969</f>
        <v>522000</v>
      </c>
      <c r="P969" s="39" t="n">
        <f aca="false">O969/J969</f>
        <v>8936.82588597843</v>
      </c>
      <c r="Q969" s="19" t="s">
        <v>1291</v>
      </c>
      <c r="R969" s="22" t="s">
        <v>27</v>
      </c>
      <c r="S969" s="19" t="s">
        <v>29</v>
      </c>
      <c r="T969" s="19" t="s">
        <v>30</v>
      </c>
      <c r="U969" s="19" t="s">
        <v>31</v>
      </c>
      <c r="V969" s="41" t="n">
        <v>43514</v>
      </c>
      <c r="W969" s="34" t="s">
        <v>1292</v>
      </c>
      <c r="X969" s="18"/>
    </row>
    <row r="970" customFormat="false" ht="13.8" hidden="false" customHeight="false" outlineLevel="0" collapsed="false">
      <c r="A970" s="18"/>
      <c r="B970" s="19" t="n">
        <v>3172</v>
      </c>
      <c r="C970" s="20" t="n">
        <v>43369</v>
      </c>
      <c r="D970" s="38" t="s">
        <v>22</v>
      </c>
      <c r="E970" s="22" t="s">
        <v>268</v>
      </c>
      <c r="F970" s="34" t="s">
        <v>87</v>
      </c>
      <c r="G970" s="19" t="n">
        <v>74</v>
      </c>
      <c r="H970" s="19" t="n">
        <v>2</v>
      </c>
      <c r="I970" s="19" t="n">
        <v>1</v>
      </c>
      <c r="J970" s="19" t="n">
        <v>22.1</v>
      </c>
      <c r="K970" s="39" t="n">
        <v>236000</v>
      </c>
      <c r="L970" s="39" t="n">
        <f aca="false">ROUND(K970/J970,2)</f>
        <v>10678.73</v>
      </c>
      <c r="M970" s="34" t="s">
        <v>1158</v>
      </c>
      <c r="N970" s="40"/>
      <c r="O970" s="30" t="n">
        <f aca="false">K970+N970</f>
        <v>236000</v>
      </c>
      <c r="P970" s="39" t="n">
        <f aca="false">ROUND(O970/J970,2)</f>
        <v>10678.73</v>
      </c>
      <c r="Q970" s="19" t="s">
        <v>1208</v>
      </c>
      <c r="R970" s="22" t="n">
        <v>1</v>
      </c>
      <c r="S970" s="19" t="s">
        <v>29</v>
      </c>
      <c r="T970" s="19" t="s">
        <v>30</v>
      </c>
      <c r="U970" s="31" t="s">
        <v>31</v>
      </c>
      <c r="V970" s="41" t="n">
        <v>43432</v>
      </c>
      <c r="W970" s="34"/>
      <c r="X970" s="34"/>
      <c r="AMJ970" s="32"/>
    </row>
    <row r="971" s="32" customFormat="true" ht="13.8" hidden="false" customHeight="false" outlineLevel="0" collapsed="false">
      <c r="A971" s="18"/>
      <c r="B971" s="19" t="n">
        <v>2314</v>
      </c>
      <c r="C971" s="20" t="n">
        <v>43369</v>
      </c>
      <c r="D971" s="38" t="s">
        <v>22</v>
      </c>
      <c r="E971" s="22" t="s">
        <v>299</v>
      </c>
      <c r="F971" s="34" t="s">
        <v>271</v>
      </c>
      <c r="G971" s="19" t="s">
        <v>1293</v>
      </c>
      <c r="H971" s="19" t="n">
        <v>74</v>
      </c>
      <c r="I971" s="19" t="n">
        <v>4</v>
      </c>
      <c r="J971" s="19" t="n">
        <v>30.4</v>
      </c>
      <c r="K971" s="39" t="n">
        <v>290000</v>
      </c>
      <c r="L971" s="39" t="n">
        <f aca="false">K971/J971</f>
        <v>9539.47368421053</v>
      </c>
      <c r="M971" s="34"/>
      <c r="N971" s="40"/>
      <c r="O971" s="30" t="n">
        <f aca="false">K971+N971</f>
        <v>290000</v>
      </c>
      <c r="P971" s="39" t="n">
        <f aca="false">O971/J971</f>
        <v>9539.47368421053</v>
      </c>
      <c r="Q971" s="19" t="s">
        <v>1181</v>
      </c>
      <c r="R971" s="22" t="s">
        <v>27</v>
      </c>
      <c r="S971" s="19" t="s">
        <v>29</v>
      </c>
      <c r="T971" s="19" t="s">
        <v>30</v>
      </c>
      <c r="U971" s="19" t="s">
        <v>31</v>
      </c>
      <c r="V971" s="41" t="n">
        <v>43514</v>
      </c>
      <c r="W971" s="34" t="s">
        <v>1294</v>
      </c>
      <c r="X971" s="18"/>
    </row>
    <row r="972" customFormat="false" ht="13.8" hidden="false" customHeight="false" outlineLevel="0" collapsed="false">
      <c r="A972" s="18"/>
      <c r="B972" s="19" t="n">
        <v>2314</v>
      </c>
      <c r="C972" s="20" t="n">
        <v>43369</v>
      </c>
      <c r="D972" s="38" t="s">
        <v>22</v>
      </c>
      <c r="E972" s="22" t="s">
        <v>299</v>
      </c>
      <c r="F972" s="34" t="s">
        <v>271</v>
      </c>
      <c r="G972" s="19" t="s">
        <v>1293</v>
      </c>
      <c r="H972" s="19" t="n">
        <v>74</v>
      </c>
      <c r="I972" s="19" t="n">
        <v>4</v>
      </c>
      <c r="J972" s="19" t="n">
        <v>30.4</v>
      </c>
      <c r="K972" s="39" t="n">
        <v>290000</v>
      </c>
      <c r="L972" s="39" t="n">
        <f aca="false">K972/J972</f>
        <v>9539.47368421053</v>
      </c>
      <c r="M972" s="34"/>
      <c r="N972" s="40"/>
      <c r="O972" s="30" t="n">
        <f aca="false">K972+N972</f>
        <v>290000</v>
      </c>
      <c r="P972" s="39" t="n">
        <f aca="false">O972/J972</f>
        <v>9539.47368421053</v>
      </c>
      <c r="Q972" s="19" t="s">
        <v>1181</v>
      </c>
      <c r="R972" s="22" t="s">
        <v>27</v>
      </c>
      <c r="S972" s="19" t="s">
        <v>29</v>
      </c>
      <c r="T972" s="19" t="s">
        <v>30</v>
      </c>
      <c r="U972" s="19" t="s">
        <v>31</v>
      </c>
      <c r="V972" s="41" t="n">
        <v>43514</v>
      </c>
      <c r="W972" s="34" t="s">
        <v>1294</v>
      </c>
      <c r="X972" s="18"/>
    </row>
    <row r="973" customFormat="false" ht="13.8" hidden="false" customHeight="false" outlineLevel="0" collapsed="false">
      <c r="A973" s="18"/>
      <c r="B973" s="19" t="n">
        <v>2515</v>
      </c>
      <c r="C973" s="20" t="n">
        <v>43369</v>
      </c>
      <c r="D973" s="38" t="s">
        <v>22</v>
      </c>
      <c r="E973" s="22" t="s">
        <v>399</v>
      </c>
      <c r="F973" s="34" t="s">
        <v>549</v>
      </c>
      <c r="G973" s="19" t="n">
        <v>3</v>
      </c>
      <c r="H973" s="19" t="n">
        <v>89</v>
      </c>
      <c r="I973" s="19" t="n">
        <v>6</v>
      </c>
      <c r="J973" s="19" t="n">
        <v>58</v>
      </c>
      <c r="K973" s="39" t="n">
        <v>522000</v>
      </c>
      <c r="L973" s="39" t="n">
        <f aca="false">ROUND(K973/J973,2)</f>
        <v>9000</v>
      </c>
      <c r="M973" s="34" t="s">
        <v>943</v>
      </c>
      <c r="N973" s="40" t="n">
        <v>29000</v>
      </c>
      <c r="O973" s="30" t="n">
        <f aca="false">K973+N973</f>
        <v>551000</v>
      </c>
      <c r="P973" s="39" t="n">
        <f aca="false">ROUND(O973/J973,2)</f>
        <v>9500</v>
      </c>
      <c r="Q973" s="19" t="s">
        <v>701</v>
      </c>
      <c r="R973" s="22" t="n">
        <v>3</v>
      </c>
      <c r="S973" s="19" t="s">
        <v>29</v>
      </c>
      <c r="T973" s="19" t="s">
        <v>30</v>
      </c>
      <c r="U973" s="31" t="s">
        <v>31</v>
      </c>
      <c r="V973" s="41" t="n">
        <v>43432</v>
      </c>
      <c r="W973" s="18"/>
      <c r="X973" s="18"/>
    </row>
    <row r="974" customFormat="false" ht="13.8" hidden="false" customHeight="false" outlineLevel="0" collapsed="false">
      <c r="A974" s="18"/>
      <c r="B974" s="19" t="n">
        <v>17120</v>
      </c>
      <c r="C974" s="20" t="n">
        <v>43369</v>
      </c>
      <c r="D974" s="38" t="s">
        <v>22</v>
      </c>
      <c r="E974" s="22" t="s">
        <v>399</v>
      </c>
      <c r="F974" s="34" t="s">
        <v>549</v>
      </c>
      <c r="G974" s="19" t="n">
        <v>5</v>
      </c>
      <c r="H974" s="19" t="n">
        <v>82</v>
      </c>
      <c r="I974" s="19" t="n">
        <v>4</v>
      </c>
      <c r="J974" s="19" t="n">
        <v>35.95</v>
      </c>
      <c r="K974" s="39" t="n">
        <v>420000</v>
      </c>
      <c r="L974" s="39" t="n">
        <f aca="false">ROUND(K974/J974,2)</f>
        <v>11682.89</v>
      </c>
      <c r="M974" s="34"/>
      <c r="N974" s="40"/>
      <c r="O974" s="30" t="n">
        <f aca="false">K974+N974</f>
        <v>420000</v>
      </c>
      <c r="P974" s="39" t="n">
        <f aca="false">ROUND(O974/J974,2)</f>
        <v>11682.89</v>
      </c>
      <c r="Q974" s="19" t="s">
        <v>1295</v>
      </c>
      <c r="R974" s="22" t="n">
        <v>2</v>
      </c>
      <c r="S974" s="19" t="s">
        <v>29</v>
      </c>
      <c r="T974" s="19" t="s">
        <v>30</v>
      </c>
      <c r="U974" s="31" t="s">
        <v>31</v>
      </c>
      <c r="V974" s="41" t="n">
        <v>43432</v>
      </c>
      <c r="W974" s="18"/>
      <c r="X974" s="18"/>
    </row>
    <row r="975" customFormat="false" ht="13.8" hidden="false" customHeight="false" outlineLevel="0" collapsed="false">
      <c r="A975" s="18"/>
      <c r="B975" s="19" t="s">
        <v>887</v>
      </c>
      <c r="C975" s="20" t="n">
        <v>43370</v>
      </c>
      <c r="D975" s="38" t="s">
        <v>22</v>
      </c>
      <c r="E975" s="22" t="s">
        <v>148</v>
      </c>
      <c r="F975" s="45" t="s">
        <v>1296</v>
      </c>
      <c r="G975" s="19" t="n">
        <v>3</v>
      </c>
      <c r="H975" s="19"/>
      <c r="I975" s="19" t="n">
        <v>10</v>
      </c>
      <c r="J975" s="25" t="n">
        <v>30.94</v>
      </c>
      <c r="K975" s="39" t="n">
        <v>327000</v>
      </c>
      <c r="L975" s="39" t="n">
        <f aca="false">K975/J975</f>
        <v>10568.8429217841</v>
      </c>
      <c r="M975" s="34"/>
      <c r="N975" s="40"/>
      <c r="O975" s="30" t="n">
        <f aca="false">K975+N975</f>
        <v>327000</v>
      </c>
      <c r="P975" s="39" t="n">
        <f aca="false">O975/J975</f>
        <v>10568.8429217841</v>
      </c>
      <c r="Q975" s="19" t="s">
        <v>889</v>
      </c>
      <c r="R975" s="19" t="n">
        <v>2</v>
      </c>
      <c r="S975" s="19" t="s">
        <v>1141</v>
      </c>
      <c r="T975" s="19"/>
      <c r="U975" s="19" t="s">
        <v>31</v>
      </c>
      <c r="V975" s="41" t="n">
        <v>43727</v>
      </c>
      <c r="W975" s="18"/>
      <c r="X975" s="18"/>
      <c r="AMJ975" s="32"/>
    </row>
    <row r="976" s="32" customFormat="true" ht="13.8" hidden="false" customHeight="false" outlineLevel="0" collapsed="false">
      <c r="A976" s="18"/>
      <c r="B976" s="19" t="n">
        <v>3299</v>
      </c>
      <c r="C976" s="20" t="n">
        <v>43370</v>
      </c>
      <c r="D976" s="38" t="s">
        <v>22</v>
      </c>
      <c r="E976" s="22" t="s">
        <v>23</v>
      </c>
      <c r="F976" s="34" t="s">
        <v>955</v>
      </c>
      <c r="G976" s="19" t="s">
        <v>1297</v>
      </c>
      <c r="H976" s="19" t="n">
        <v>21</v>
      </c>
      <c r="I976" s="19" t="n">
        <v>6</v>
      </c>
      <c r="J976" s="19" t="n">
        <v>61.76</v>
      </c>
      <c r="K976" s="39" t="n">
        <f aca="false">2*255000</f>
        <v>510000</v>
      </c>
      <c r="L976" s="39" t="n">
        <f aca="false">ROUND(K976/J976,2)</f>
        <v>8257.77</v>
      </c>
      <c r="M976" s="34"/>
      <c r="N976" s="40"/>
      <c r="O976" s="30" t="n">
        <f aca="false">K976+N976</f>
        <v>510000</v>
      </c>
      <c r="P976" s="39" t="n">
        <f aca="false">ROUND(O976/J976,2)</f>
        <v>8257.77</v>
      </c>
      <c r="Q976" s="19" t="s">
        <v>1144</v>
      </c>
      <c r="R976" s="22" t="n">
        <v>4</v>
      </c>
      <c r="S976" s="19" t="s">
        <v>29</v>
      </c>
      <c r="T976" s="19" t="s">
        <v>30</v>
      </c>
      <c r="U976" s="31" t="s">
        <v>31</v>
      </c>
      <c r="V976" s="41" t="n">
        <v>43432</v>
      </c>
      <c r="W976" s="18"/>
      <c r="X976" s="18"/>
    </row>
    <row r="977" customFormat="false" ht="13.8" hidden="false" customHeight="false" outlineLevel="0" collapsed="false">
      <c r="A977" s="18"/>
      <c r="B977" s="19" t="n">
        <v>7431</v>
      </c>
      <c r="C977" s="20" t="n">
        <v>43370</v>
      </c>
      <c r="D977" s="38" t="s">
        <v>22</v>
      </c>
      <c r="E977" s="22" t="s">
        <v>229</v>
      </c>
      <c r="F977" s="34" t="s">
        <v>1298</v>
      </c>
      <c r="G977" s="19" t="s">
        <v>358</v>
      </c>
      <c r="H977" s="19" t="s">
        <v>1299</v>
      </c>
      <c r="I977" s="19" t="n">
        <v>6</v>
      </c>
      <c r="J977" s="19" t="n">
        <v>47.3</v>
      </c>
      <c r="K977" s="39" t="n">
        <v>550000</v>
      </c>
      <c r="L977" s="39" t="n">
        <f aca="false">K977/J977</f>
        <v>11627.9069767442</v>
      </c>
      <c r="M977" s="34"/>
      <c r="N977" s="40"/>
      <c r="O977" s="30" t="n">
        <f aca="false">K977+N977</f>
        <v>550000</v>
      </c>
      <c r="P977" s="39" t="n">
        <f aca="false">O977/J977</f>
        <v>11627.9069767442</v>
      </c>
      <c r="Q977" s="19" t="s">
        <v>1300</v>
      </c>
      <c r="R977" s="22" t="s">
        <v>36</v>
      </c>
      <c r="S977" s="19" t="s">
        <v>29</v>
      </c>
      <c r="T977" s="19" t="s">
        <v>30</v>
      </c>
      <c r="U977" s="19" t="s">
        <v>31</v>
      </c>
      <c r="V977" s="41" t="n">
        <v>43514</v>
      </c>
      <c r="W977" s="34" t="s">
        <v>1301</v>
      </c>
      <c r="X977" s="18"/>
    </row>
    <row r="978" customFormat="false" ht="13.8" hidden="false" customHeight="false" outlineLevel="0" collapsed="false">
      <c r="A978" s="18"/>
      <c r="B978" s="19" t="n">
        <v>1207</v>
      </c>
      <c r="C978" s="20" t="n">
        <v>43370</v>
      </c>
      <c r="D978" s="38" t="s">
        <v>22</v>
      </c>
      <c r="E978" s="22" t="s">
        <v>23</v>
      </c>
      <c r="F978" s="34" t="s">
        <v>1221</v>
      </c>
      <c r="G978" s="19" t="n">
        <v>103</v>
      </c>
      <c r="H978" s="19" t="n">
        <v>16</v>
      </c>
      <c r="I978" s="19" t="n">
        <v>4</v>
      </c>
      <c r="J978" s="19" t="n">
        <v>48.8</v>
      </c>
      <c r="K978" s="39" t="n">
        <v>500000</v>
      </c>
      <c r="L978" s="39" t="n">
        <f aca="false">K978/J978</f>
        <v>10245.9016393443</v>
      </c>
      <c r="M978" s="34"/>
      <c r="N978" s="40"/>
      <c r="O978" s="30" t="n">
        <f aca="false">K978+N978</f>
        <v>500000</v>
      </c>
      <c r="P978" s="39" t="n">
        <f aca="false">O978/J978</f>
        <v>10245.9016393443</v>
      </c>
      <c r="Q978" s="19" t="s">
        <v>861</v>
      </c>
      <c r="R978" s="22" t="s">
        <v>26</v>
      </c>
      <c r="S978" s="19" t="s">
        <v>29</v>
      </c>
      <c r="T978" s="19" t="s">
        <v>30</v>
      </c>
      <c r="U978" s="19" t="s">
        <v>31</v>
      </c>
      <c r="V978" s="41" t="n">
        <v>43514</v>
      </c>
      <c r="W978" s="34" t="s">
        <v>1302</v>
      </c>
      <c r="X978" s="18"/>
    </row>
    <row r="979" customFormat="false" ht="13.8" hidden="false" customHeight="false" outlineLevel="0" collapsed="false">
      <c r="A979" s="18"/>
      <c r="B979" s="19" t="n">
        <v>5559</v>
      </c>
      <c r="C979" s="20" t="n">
        <v>43370</v>
      </c>
      <c r="D979" s="38" t="s">
        <v>22</v>
      </c>
      <c r="E979" s="22" t="s">
        <v>109</v>
      </c>
      <c r="F979" s="34" t="s">
        <v>1303</v>
      </c>
      <c r="G979" s="19" t="n">
        <v>8</v>
      </c>
      <c r="H979" s="19" t="n">
        <v>2</v>
      </c>
      <c r="I979" s="19" t="n">
        <v>1</v>
      </c>
      <c r="J979" s="19" t="n">
        <v>39.5</v>
      </c>
      <c r="K979" s="39" t="n">
        <v>280000</v>
      </c>
      <c r="L979" s="39" t="n">
        <f aca="false">K979/J979</f>
        <v>7088.60759493671</v>
      </c>
      <c r="M979" s="34"/>
      <c r="N979" s="40"/>
      <c r="O979" s="30" t="n">
        <f aca="false">K979+N979</f>
        <v>280000</v>
      </c>
      <c r="P979" s="39" t="n">
        <f aca="false">O979/J979</f>
        <v>7088.60759493671</v>
      </c>
      <c r="Q979" s="19" t="s">
        <v>1304</v>
      </c>
      <c r="R979" s="22" t="s">
        <v>27</v>
      </c>
      <c r="S979" s="19" t="s">
        <v>29</v>
      </c>
      <c r="T979" s="19" t="s">
        <v>30</v>
      </c>
      <c r="U979" s="19" t="s">
        <v>31</v>
      </c>
      <c r="V979" s="41" t="n">
        <v>43514</v>
      </c>
      <c r="W979" s="34" t="s">
        <v>1305</v>
      </c>
      <c r="X979" s="18"/>
      <c r="AMJ979" s="32"/>
    </row>
    <row r="980" s="32" customFormat="true" ht="13.8" hidden="false" customHeight="false" outlineLevel="0" collapsed="false">
      <c r="A980" s="18"/>
      <c r="B980" s="19" t="n">
        <v>5559</v>
      </c>
      <c r="C980" s="20" t="n">
        <v>43370</v>
      </c>
      <c r="D980" s="38" t="s">
        <v>22</v>
      </c>
      <c r="E980" s="22" t="s">
        <v>109</v>
      </c>
      <c r="F980" s="34" t="s">
        <v>1303</v>
      </c>
      <c r="G980" s="19" t="n">
        <v>8</v>
      </c>
      <c r="H980" s="19" t="n">
        <v>2</v>
      </c>
      <c r="I980" s="19" t="n">
        <v>1</v>
      </c>
      <c r="J980" s="19" t="n">
        <v>39.5</v>
      </c>
      <c r="K980" s="39" t="n">
        <v>280000</v>
      </c>
      <c r="L980" s="39" t="n">
        <f aca="false">K980/J980</f>
        <v>7088.60759493671</v>
      </c>
      <c r="M980" s="34"/>
      <c r="N980" s="40"/>
      <c r="O980" s="30" t="n">
        <f aca="false">K980+N980</f>
        <v>280000</v>
      </c>
      <c r="P980" s="39" t="n">
        <f aca="false">O980/J980</f>
        <v>7088.60759493671</v>
      </c>
      <c r="Q980" s="19" t="s">
        <v>1304</v>
      </c>
      <c r="R980" s="22" t="s">
        <v>27</v>
      </c>
      <c r="S980" s="19" t="s">
        <v>29</v>
      </c>
      <c r="T980" s="19" t="s">
        <v>30</v>
      </c>
      <c r="U980" s="19" t="s">
        <v>31</v>
      </c>
      <c r="V980" s="41" t="n">
        <v>43514</v>
      </c>
      <c r="W980" s="34" t="s">
        <v>1305</v>
      </c>
      <c r="X980" s="18"/>
    </row>
    <row r="981" customFormat="false" ht="13.8" hidden="false" customHeight="false" outlineLevel="0" collapsed="false">
      <c r="A981" s="18"/>
      <c r="B981" s="19" t="n">
        <v>1355</v>
      </c>
      <c r="C981" s="20" t="n">
        <v>43370</v>
      </c>
      <c r="D981" s="38" t="s">
        <v>22</v>
      </c>
      <c r="E981" s="22" t="s">
        <v>45</v>
      </c>
      <c r="F981" s="34" t="s">
        <v>485</v>
      </c>
      <c r="G981" s="19" t="n">
        <v>8</v>
      </c>
      <c r="H981" s="19" t="n">
        <v>15</v>
      </c>
      <c r="I981" s="19" t="n">
        <v>1</v>
      </c>
      <c r="J981" s="19" t="n">
        <v>36.4</v>
      </c>
      <c r="K981" s="39" t="n">
        <v>240000</v>
      </c>
      <c r="L981" s="39" t="n">
        <f aca="false">K981/J981</f>
        <v>6593.40659340659</v>
      </c>
      <c r="M981" s="34"/>
      <c r="N981" s="40"/>
      <c r="O981" s="30" t="n">
        <f aca="false">K981+N981</f>
        <v>240000</v>
      </c>
      <c r="P981" s="39" t="n">
        <f aca="false">O981/J981</f>
        <v>6593.40659340659</v>
      </c>
      <c r="Q981" s="19" t="s">
        <v>1306</v>
      </c>
      <c r="R981" s="22" t="s">
        <v>27</v>
      </c>
      <c r="S981" s="19" t="s">
        <v>29</v>
      </c>
      <c r="T981" s="19" t="s">
        <v>30</v>
      </c>
      <c r="U981" s="19" t="s">
        <v>31</v>
      </c>
      <c r="V981" s="41" t="n">
        <v>43514</v>
      </c>
      <c r="W981" s="34" t="s">
        <v>1307</v>
      </c>
      <c r="X981" s="18"/>
    </row>
    <row r="982" customFormat="false" ht="13.8" hidden="false" customHeight="false" outlineLevel="0" collapsed="false">
      <c r="A982" s="18"/>
      <c r="B982" s="19" t="n">
        <v>1355</v>
      </c>
      <c r="C982" s="20" t="n">
        <v>43370</v>
      </c>
      <c r="D982" s="38" t="s">
        <v>22</v>
      </c>
      <c r="E982" s="22" t="s">
        <v>45</v>
      </c>
      <c r="F982" s="34" t="s">
        <v>485</v>
      </c>
      <c r="G982" s="19" t="n">
        <v>8</v>
      </c>
      <c r="H982" s="19" t="n">
        <v>15</v>
      </c>
      <c r="I982" s="19" t="n">
        <v>1</v>
      </c>
      <c r="J982" s="19" t="n">
        <v>36.4</v>
      </c>
      <c r="K982" s="39" t="n">
        <v>240000</v>
      </c>
      <c r="L982" s="39" t="n">
        <f aca="false">K982/J982</f>
        <v>6593.40659340659</v>
      </c>
      <c r="M982" s="34"/>
      <c r="N982" s="40"/>
      <c r="O982" s="30" t="n">
        <f aca="false">K982+N982</f>
        <v>240000</v>
      </c>
      <c r="P982" s="39" t="n">
        <f aca="false">O982/J982</f>
        <v>6593.40659340659</v>
      </c>
      <c r="Q982" s="19" t="s">
        <v>1306</v>
      </c>
      <c r="R982" s="22" t="s">
        <v>27</v>
      </c>
      <c r="S982" s="19" t="s">
        <v>29</v>
      </c>
      <c r="T982" s="19" t="s">
        <v>30</v>
      </c>
      <c r="U982" s="19" t="s">
        <v>31</v>
      </c>
      <c r="V982" s="41" t="n">
        <v>43514</v>
      </c>
      <c r="W982" s="34" t="s">
        <v>1307</v>
      </c>
      <c r="X982" s="18"/>
    </row>
    <row r="983" customFormat="false" ht="13.8" hidden="false" customHeight="false" outlineLevel="0" collapsed="false">
      <c r="A983" s="18"/>
      <c r="B983" s="19" t="n">
        <v>3130</v>
      </c>
      <c r="C983" s="20" t="n">
        <v>43370</v>
      </c>
      <c r="D983" s="38" t="s">
        <v>22</v>
      </c>
      <c r="E983" s="22" t="s">
        <v>175</v>
      </c>
      <c r="F983" s="34" t="s">
        <v>485</v>
      </c>
      <c r="G983" s="19" t="n">
        <v>42</v>
      </c>
      <c r="H983" s="19" t="n">
        <v>11</v>
      </c>
      <c r="I983" s="19" t="n">
        <v>2</v>
      </c>
      <c r="J983" s="19" t="n">
        <v>52.61</v>
      </c>
      <c r="K983" s="39" t="n">
        <v>631320</v>
      </c>
      <c r="L983" s="39" t="n">
        <f aca="false">K983/J983</f>
        <v>12000</v>
      </c>
      <c r="M983" s="34"/>
      <c r="N983" s="40"/>
      <c r="O983" s="30" t="n">
        <f aca="false">K983+N983</f>
        <v>631320</v>
      </c>
      <c r="P983" s="39" t="n">
        <f aca="false">O983/J983</f>
        <v>12000</v>
      </c>
      <c r="Q983" s="19" t="s">
        <v>861</v>
      </c>
      <c r="R983" s="22" t="s">
        <v>26</v>
      </c>
      <c r="S983" s="19" t="s">
        <v>29</v>
      </c>
      <c r="T983" s="19" t="s">
        <v>30</v>
      </c>
      <c r="U983" s="19" t="s">
        <v>31</v>
      </c>
      <c r="V983" s="41" t="n">
        <v>43514</v>
      </c>
      <c r="W983" s="34" t="s">
        <v>1308</v>
      </c>
      <c r="X983" s="18"/>
      <c r="AMJ983" s="32"/>
    </row>
    <row r="984" s="32" customFormat="true" ht="13.8" hidden="false" customHeight="false" outlineLevel="0" collapsed="false">
      <c r="A984" s="18"/>
      <c r="B984" s="19" t="n">
        <v>2216</v>
      </c>
      <c r="C984" s="20" t="n">
        <v>43370</v>
      </c>
      <c r="D984" s="38" t="s">
        <v>22</v>
      </c>
      <c r="E984" s="22" t="s">
        <v>343</v>
      </c>
      <c r="F984" s="34" t="s">
        <v>1190</v>
      </c>
      <c r="G984" s="19" t="n">
        <v>29</v>
      </c>
      <c r="H984" s="19" t="n">
        <v>26</v>
      </c>
      <c r="I984" s="19" t="n">
        <v>3</v>
      </c>
      <c r="J984" s="19" t="n">
        <v>47</v>
      </c>
      <c r="K984" s="39" t="n">
        <v>375000</v>
      </c>
      <c r="L984" s="39" t="n">
        <f aca="false">K984/J984</f>
        <v>7978.72340425532</v>
      </c>
      <c r="M984" s="34"/>
      <c r="N984" s="40"/>
      <c r="O984" s="30" t="n">
        <f aca="false">K984+N984</f>
        <v>375000</v>
      </c>
      <c r="P984" s="39" t="n">
        <f aca="false">O984/J984</f>
        <v>7978.72340425532</v>
      </c>
      <c r="Q984" s="19" t="s">
        <v>903</v>
      </c>
      <c r="R984" s="22" t="s">
        <v>36</v>
      </c>
      <c r="S984" s="19" t="s">
        <v>29</v>
      </c>
      <c r="T984" s="19" t="s">
        <v>30</v>
      </c>
      <c r="U984" s="19" t="s">
        <v>31</v>
      </c>
      <c r="V984" s="41" t="n">
        <v>43514</v>
      </c>
      <c r="W984" s="34" t="s">
        <v>1309</v>
      </c>
      <c r="X984" s="34"/>
    </row>
    <row r="985" customFormat="false" ht="13.8" hidden="false" customHeight="false" outlineLevel="0" collapsed="false">
      <c r="A985" s="18"/>
      <c r="B985" s="19" t="n">
        <v>2216</v>
      </c>
      <c r="C985" s="20" t="n">
        <v>43370</v>
      </c>
      <c r="D985" s="38" t="s">
        <v>22</v>
      </c>
      <c r="E985" s="22" t="s">
        <v>343</v>
      </c>
      <c r="F985" s="34" t="s">
        <v>1190</v>
      </c>
      <c r="G985" s="19" t="n">
        <v>29</v>
      </c>
      <c r="H985" s="19" t="n">
        <v>26</v>
      </c>
      <c r="I985" s="19" t="n">
        <v>3</v>
      </c>
      <c r="J985" s="19" t="n">
        <v>47</v>
      </c>
      <c r="K985" s="39" t="n">
        <v>375000</v>
      </c>
      <c r="L985" s="39" t="n">
        <f aca="false">K985/J985</f>
        <v>7978.72340425532</v>
      </c>
      <c r="M985" s="34"/>
      <c r="N985" s="40"/>
      <c r="O985" s="30" t="n">
        <f aca="false">K985+N985</f>
        <v>375000</v>
      </c>
      <c r="P985" s="39" t="n">
        <f aca="false">O985/J985</f>
        <v>7978.72340425532</v>
      </c>
      <c r="Q985" s="19" t="s">
        <v>903</v>
      </c>
      <c r="R985" s="22" t="s">
        <v>36</v>
      </c>
      <c r="S985" s="19" t="s">
        <v>29</v>
      </c>
      <c r="T985" s="19" t="s">
        <v>30</v>
      </c>
      <c r="U985" s="19" t="s">
        <v>31</v>
      </c>
      <c r="V985" s="41" t="n">
        <v>43514</v>
      </c>
      <c r="W985" s="34" t="s">
        <v>1309</v>
      </c>
      <c r="X985" s="34"/>
    </row>
    <row r="986" customFormat="false" ht="13.8" hidden="false" customHeight="false" outlineLevel="0" collapsed="false">
      <c r="A986" s="18"/>
      <c r="B986" s="19" t="n">
        <v>7083</v>
      </c>
      <c r="C986" s="20" t="n">
        <v>43370</v>
      </c>
      <c r="D986" s="38" t="s">
        <v>22</v>
      </c>
      <c r="E986" s="22" t="s">
        <v>72</v>
      </c>
      <c r="F986" s="34" t="s">
        <v>387</v>
      </c>
      <c r="G986" s="19" t="s">
        <v>1310</v>
      </c>
      <c r="H986" s="19" t="n">
        <v>13</v>
      </c>
      <c r="I986" s="19" t="n">
        <v>3</v>
      </c>
      <c r="J986" s="19" t="n">
        <v>40.02</v>
      </c>
      <c r="K986" s="39" t="n">
        <v>480000</v>
      </c>
      <c r="L986" s="39" t="n">
        <f aca="false">ROUND(K986/J986,2)</f>
        <v>11994</v>
      </c>
      <c r="M986" s="34" t="s">
        <v>1158</v>
      </c>
      <c r="N986" s="40"/>
      <c r="O986" s="30" t="n">
        <f aca="false">K986+N986</f>
        <v>480000</v>
      </c>
      <c r="P986" s="39" t="n">
        <f aca="false">ROUND(O986/J986,2)</f>
        <v>11994</v>
      </c>
      <c r="Q986" s="19" t="s">
        <v>701</v>
      </c>
      <c r="R986" s="22" t="n">
        <v>3</v>
      </c>
      <c r="S986" s="19" t="s">
        <v>29</v>
      </c>
      <c r="T986" s="19" t="s">
        <v>30</v>
      </c>
      <c r="U986" s="31" t="s">
        <v>31</v>
      </c>
      <c r="V986" s="41" t="n">
        <v>43432</v>
      </c>
      <c r="W986" s="18"/>
      <c r="X986" s="18"/>
    </row>
    <row r="987" customFormat="false" ht="13.8" hidden="false" customHeight="false" outlineLevel="0" collapsed="false">
      <c r="A987" s="18"/>
      <c r="B987" s="19" t="n">
        <v>11286</v>
      </c>
      <c r="C987" s="20" t="n">
        <v>43371</v>
      </c>
      <c r="D987" s="38" t="s">
        <v>22</v>
      </c>
      <c r="E987" s="22" t="s">
        <v>343</v>
      </c>
      <c r="F987" s="34" t="s">
        <v>392</v>
      </c>
      <c r="G987" s="19" t="s">
        <v>1311</v>
      </c>
      <c r="H987" s="19" t="n">
        <v>33</v>
      </c>
      <c r="I987" s="19" t="n">
        <v>1</v>
      </c>
      <c r="J987" s="19" t="n">
        <v>60.63</v>
      </c>
      <c r="K987" s="39" t="n">
        <v>560000</v>
      </c>
      <c r="L987" s="39" t="n">
        <f aca="false">K987/J987</f>
        <v>9236.35164110176</v>
      </c>
      <c r="M987" s="34" t="s">
        <v>1312</v>
      </c>
      <c r="N987" s="40" t="n">
        <v>20000</v>
      </c>
      <c r="O987" s="30" t="n">
        <f aca="false">K987+N987</f>
        <v>580000</v>
      </c>
      <c r="P987" s="39" t="n">
        <f aca="false">O987/J987</f>
        <v>9566.22134256969</v>
      </c>
      <c r="Q987" s="19" t="s">
        <v>1313</v>
      </c>
      <c r="R987" s="22" t="s">
        <v>26</v>
      </c>
      <c r="S987" s="19" t="s">
        <v>29</v>
      </c>
      <c r="T987" s="19" t="s">
        <v>30</v>
      </c>
      <c r="U987" s="19" t="s">
        <v>31</v>
      </c>
      <c r="V987" s="41" t="n">
        <v>43514</v>
      </c>
      <c r="W987" s="34" t="s">
        <v>1314</v>
      </c>
      <c r="X987" s="18"/>
    </row>
    <row r="988" customFormat="false" ht="13.8" hidden="false" customHeight="false" outlineLevel="0" collapsed="false">
      <c r="A988" s="18"/>
      <c r="B988" s="19" t="n">
        <v>11286</v>
      </c>
      <c r="C988" s="20" t="n">
        <v>43371</v>
      </c>
      <c r="D988" s="38" t="s">
        <v>22</v>
      </c>
      <c r="E988" s="22" t="s">
        <v>156</v>
      </c>
      <c r="F988" s="34" t="s">
        <v>392</v>
      </c>
      <c r="G988" s="19" t="s">
        <v>1311</v>
      </c>
      <c r="H988" s="19" t="n">
        <v>33</v>
      </c>
      <c r="I988" s="19" t="n">
        <v>1</v>
      </c>
      <c r="J988" s="19" t="n">
        <v>60.63</v>
      </c>
      <c r="K988" s="39" t="n">
        <v>580000</v>
      </c>
      <c r="L988" s="39" t="n">
        <f aca="false">K988/J988</f>
        <v>9566.22134256969</v>
      </c>
      <c r="M988" s="34" t="s">
        <v>940</v>
      </c>
      <c r="N988" s="40" t="n">
        <v>20000</v>
      </c>
      <c r="O988" s="30" t="n">
        <f aca="false">K988+N988</f>
        <v>600000</v>
      </c>
      <c r="P988" s="39" t="n">
        <f aca="false">O988/J988</f>
        <v>9896.0910440376</v>
      </c>
      <c r="Q988" s="19" t="s">
        <v>1315</v>
      </c>
      <c r="R988" s="22" t="s">
        <v>49</v>
      </c>
      <c r="S988" s="19" t="s">
        <v>29</v>
      </c>
      <c r="T988" s="19" t="s">
        <v>30</v>
      </c>
      <c r="U988" s="19" t="s">
        <v>31</v>
      </c>
      <c r="V988" s="41" t="n">
        <v>43514</v>
      </c>
      <c r="W988" s="34" t="s">
        <v>1314</v>
      </c>
      <c r="X988" s="18"/>
      <c r="Z988" s="33"/>
      <c r="AMJ988" s="32"/>
    </row>
    <row r="989" s="32" customFormat="true" ht="13.8" hidden="false" customHeight="false" outlineLevel="0" collapsed="false">
      <c r="A989" s="18"/>
      <c r="B989" s="19" t="n">
        <v>5683</v>
      </c>
      <c r="C989" s="20" t="n">
        <v>43371</v>
      </c>
      <c r="D989" s="38" t="s">
        <v>22</v>
      </c>
      <c r="E989" s="22" t="s">
        <v>276</v>
      </c>
      <c r="F989" s="34" t="s">
        <v>38</v>
      </c>
      <c r="G989" s="19" t="n">
        <v>28</v>
      </c>
      <c r="H989" s="19" t="n">
        <v>25</v>
      </c>
      <c r="I989" s="19" t="n">
        <v>5</v>
      </c>
      <c r="J989" s="19" t="n">
        <v>45.1</v>
      </c>
      <c r="K989" s="39" t="n">
        <v>400000</v>
      </c>
      <c r="L989" s="39" t="n">
        <f aca="false">K989/J989</f>
        <v>8869.17960088692</v>
      </c>
      <c r="M989" s="18"/>
      <c r="N989" s="40"/>
      <c r="O989" s="30" t="n">
        <f aca="false">K989+N989</f>
        <v>400000</v>
      </c>
      <c r="P989" s="39" t="n">
        <f aca="false">ROUND(O989/J989,2)</f>
        <v>8869.18</v>
      </c>
      <c r="Q989" s="19" t="s">
        <v>1316</v>
      </c>
      <c r="R989" s="22" t="s">
        <v>26</v>
      </c>
      <c r="S989" s="19" t="s">
        <v>29</v>
      </c>
      <c r="T989" s="19" t="s">
        <v>30</v>
      </c>
      <c r="U989" s="19" t="s">
        <v>31</v>
      </c>
      <c r="V989" s="41" t="n">
        <v>43514</v>
      </c>
      <c r="W989" s="34" t="s">
        <v>1317</v>
      </c>
      <c r="X989" s="18"/>
      <c r="Z989" s="33"/>
    </row>
    <row r="990" customFormat="false" ht="13.8" hidden="false" customHeight="false" outlineLevel="0" collapsed="false">
      <c r="A990" s="18"/>
      <c r="B990" s="19" t="n">
        <v>2360</v>
      </c>
      <c r="C990" s="20" t="n">
        <v>43371</v>
      </c>
      <c r="D990" s="38" t="s">
        <v>22</v>
      </c>
      <c r="E990" s="22" t="s">
        <v>1318</v>
      </c>
      <c r="F990" s="34" t="s">
        <v>386</v>
      </c>
      <c r="G990" s="19" t="n">
        <v>7</v>
      </c>
      <c r="H990" s="19" t="s">
        <v>1319</v>
      </c>
      <c r="I990" s="19" t="n">
        <v>6</v>
      </c>
      <c r="J990" s="19" t="n">
        <v>29.5</v>
      </c>
      <c r="K990" s="39" t="n">
        <v>265000</v>
      </c>
      <c r="L990" s="39" t="n">
        <f aca="false">K990/J990</f>
        <v>8983.05084745763</v>
      </c>
      <c r="M990" s="18"/>
      <c r="N990" s="40"/>
      <c r="O990" s="30" t="n">
        <f aca="false">K990+N990</f>
        <v>265000</v>
      </c>
      <c r="P990" s="39" t="n">
        <f aca="false">O990/J990</f>
        <v>8983.05084745763</v>
      </c>
      <c r="Q990" s="19" t="s">
        <v>1320</v>
      </c>
      <c r="R990" s="22" t="s">
        <v>36</v>
      </c>
      <c r="S990" s="19" t="s">
        <v>29</v>
      </c>
      <c r="T990" s="19" t="s">
        <v>30</v>
      </c>
      <c r="U990" s="19" t="s">
        <v>31</v>
      </c>
      <c r="V990" s="41" t="n">
        <v>43514</v>
      </c>
      <c r="W990" s="34" t="s">
        <v>1321</v>
      </c>
      <c r="X990" s="18"/>
      <c r="Y990" s="35"/>
      <c r="Z990" s="36"/>
    </row>
    <row r="991" customFormat="false" ht="13.8" hidden="false" customHeight="false" outlineLevel="0" collapsed="false">
      <c r="A991" s="18"/>
      <c r="B991" s="19" t="n">
        <v>29557</v>
      </c>
      <c r="C991" s="20" t="n">
        <v>43371</v>
      </c>
      <c r="D991" s="38" t="s">
        <v>22</v>
      </c>
      <c r="E991" s="22" t="s">
        <v>327</v>
      </c>
      <c r="F991" s="34" t="s">
        <v>1188</v>
      </c>
      <c r="G991" s="19" t="n">
        <v>3</v>
      </c>
      <c r="H991" s="19" t="n">
        <v>14</v>
      </c>
      <c r="I991" s="19" t="n">
        <v>5</v>
      </c>
      <c r="J991" s="19" t="n">
        <v>183.2</v>
      </c>
      <c r="K991" s="39" t="n">
        <v>3800000</v>
      </c>
      <c r="L991" s="39" t="n">
        <f aca="false">ROUND(K991/J991,2)</f>
        <v>20742.36</v>
      </c>
      <c r="M991" s="34" t="s">
        <v>1021</v>
      </c>
      <c r="N991" s="40"/>
      <c r="O991" s="30" t="n">
        <f aca="false">K991+N991</f>
        <v>3800000</v>
      </c>
      <c r="P991" s="39" t="n">
        <f aca="false">ROUND(O991/J991,2)</f>
        <v>20742.36</v>
      </c>
      <c r="Q991" s="19" t="s">
        <v>1322</v>
      </c>
      <c r="R991" s="22" t="n">
        <v>5</v>
      </c>
      <c r="S991" s="19" t="s">
        <v>29</v>
      </c>
      <c r="T991" s="19" t="s">
        <v>30</v>
      </c>
      <c r="U991" s="31" t="s">
        <v>31</v>
      </c>
      <c r="V991" s="41" t="n">
        <v>43432</v>
      </c>
      <c r="W991" s="18"/>
      <c r="X991" s="18"/>
    </row>
    <row r="992" customFormat="false" ht="13.8" hidden="false" customHeight="false" outlineLevel="0" collapsed="false">
      <c r="A992" s="18"/>
      <c r="B992" s="19" t="s">
        <v>887</v>
      </c>
      <c r="C992" s="20" t="n">
        <v>43371</v>
      </c>
      <c r="D992" s="38" t="s">
        <v>22</v>
      </c>
      <c r="E992" s="22" t="s">
        <v>281</v>
      </c>
      <c r="F992" s="45" t="s">
        <v>1029</v>
      </c>
      <c r="G992" s="19" t="n">
        <v>3</v>
      </c>
      <c r="H992" s="19"/>
      <c r="I992" s="19" t="n">
        <v>2</v>
      </c>
      <c r="J992" s="25" t="n">
        <v>39.5</v>
      </c>
      <c r="K992" s="39" t="n">
        <v>360000</v>
      </c>
      <c r="L992" s="39" t="n">
        <f aca="false">K992/J992</f>
        <v>9113.92405063291</v>
      </c>
      <c r="M992" s="34" t="s">
        <v>1173</v>
      </c>
      <c r="N992" s="40"/>
      <c r="O992" s="30" t="n">
        <f aca="false">K992+N992</f>
        <v>360000</v>
      </c>
      <c r="P992" s="39" t="n">
        <f aca="false">O992/J992</f>
        <v>9113.92405063291</v>
      </c>
      <c r="Q992" s="19" t="s">
        <v>889</v>
      </c>
      <c r="R992" s="19" t="n">
        <v>3</v>
      </c>
      <c r="S992" s="19" t="s">
        <v>1141</v>
      </c>
      <c r="T992" s="19"/>
      <c r="U992" s="19" t="s">
        <v>31</v>
      </c>
      <c r="V992" s="41" t="n">
        <v>43727</v>
      </c>
      <c r="W992" s="18"/>
      <c r="X992" s="18"/>
    </row>
    <row r="993" customFormat="false" ht="13.8" hidden="false" customHeight="false" outlineLevel="0" collapsed="false">
      <c r="A993" s="18"/>
      <c r="B993" s="19" t="n">
        <v>848</v>
      </c>
      <c r="C993" s="20" t="n">
        <v>43371</v>
      </c>
      <c r="D993" s="38" t="s">
        <v>22</v>
      </c>
      <c r="E993" s="22" t="s">
        <v>623</v>
      </c>
      <c r="F993" s="34" t="s">
        <v>434</v>
      </c>
      <c r="G993" s="19" t="s">
        <v>752</v>
      </c>
      <c r="H993" s="19" t="n">
        <v>172</v>
      </c>
      <c r="I993" s="19" t="n">
        <v>4</v>
      </c>
      <c r="J993" s="19" t="n">
        <v>55</v>
      </c>
      <c r="K993" s="39" t="n">
        <v>655000</v>
      </c>
      <c r="L993" s="39" t="n">
        <f aca="false">K993/J993</f>
        <v>11909.0909090909</v>
      </c>
      <c r="M993" s="18"/>
      <c r="N993" s="40"/>
      <c r="O993" s="30" t="n">
        <f aca="false">K993+N993</f>
        <v>655000</v>
      </c>
      <c r="P993" s="39" t="n">
        <f aca="false">O993/J993</f>
        <v>11909.0909090909</v>
      </c>
      <c r="Q993" s="19" t="s">
        <v>1323</v>
      </c>
      <c r="R993" s="22" t="s">
        <v>36</v>
      </c>
      <c r="S993" s="19" t="s">
        <v>29</v>
      </c>
      <c r="T993" s="19" t="s">
        <v>30</v>
      </c>
      <c r="U993" s="19" t="s">
        <v>31</v>
      </c>
      <c r="V993" s="41" t="n">
        <v>43514</v>
      </c>
      <c r="W993" s="34" t="s">
        <v>1324</v>
      </c>
      <c r="X993" s="18"/>
    </row>
    <row r="994" customFormat="false" ht="13.8" hidden="false" customHeight="false" outlineLevel="0" collapsed="false">
      <c r="A994" s="18"/>
      <c r="B994" s="19" t="s">
        <v>887</v>
      </c>
      <c r="C994" s="20" t="n">
        <v>43371</v>
      </c>
      <c r="D994" s="38" t="s">
        <v>22</v>
      </c>
      <c r="E994" s="22" t="s">
        <v>652</v>
      </c>
      <c r="F994" s="45" t="s">
        <v>1325</v>
      </c>
      <c r="G994" s="19" t="n">
        <v>48</v>
      </c>
      <c r="H994" s="19"/>
      <c r="I994" s="19" t="n">
        <v>14</v>
      </c>
      <c r="J994" s="25" t="n">
        <v>49.9</v>
      </c>
      <c r="K994" s="39" t="n">
        <v>505000</v>
      </c>
      <c r="L994" s="39" t="n">
        <f aca="false">K994/J994</f>
        <v>10120.2404809619</v>
      </c>
      <c r="M994" s="18"/>
      <c r="N994" s="40"/>
      <c r="O994" s="30" t="n">
        <f aca="false">K994+N994</f>
        <v>505000</v>
      </c>
      <c r="P994" s="39" t="n">
        <f aca="false">O994/J994</f>
        <v>10120.2404809619</v>
      </c>
      <c r="Q994" s="19" t="s">
        <v>889</v>
      </c>
      <c r="R994" s="19" t="n">
        <v>3</v>
      </c>
      <c r="S994" s="19" t="s">
        <v>1141</v>
      </c>
      <c r="T994" s="19"/>
      <c r="U994" s="19" t="s">
        <v>31</v>
      </c>
      <c r="V994" s="41" t="n">
        <v>43727</v>
      </c>
      <c r="W994" s="18"/>
      <c r="X994" s="18"/>
      <c r="AMJ994" s="32"/>
    </row>
    <row r="995" s="32" customFormat="true" ht="13.8" hidden="false" customHeight="false" outlineLevel="0" collapsed="false">
      <c r="A995" s="18"/>
      <c r="B995" s="19" t="n">
        <v>29595</v>
      </c>
      <c r="C995" s="20" t="n">
        <v>43374</v>
      </c>
      <c r="D995" s="38" t="s">
        <v>22</v>
      </c>
      <c r="E995" s="22" t="s">
        <v>350</v>
      </c>
      <c r="F995" s="34" t="s">
        <v>323</v>
      </c>
      <c r="G995" s="19" t="n">
        <v>4</v>
      </c>
      <c r="H995" s="19" t="n">
        <v>28</v>
      </c>
      <c r="I995" s="19" t="n">
        <v>7</v>
      </c>
      <c r="J995" s="19" t="n">
        <v>49.06</v>
      </c>
      <c r="K995" s="39" t="n">
        <v>400000</v>
      </c>
      <c r="L995" s="39" t="n">
        <f aca="false">K995/J995</f>
        <v>8153.28169588259</v>
      </c>
      <c r="M995" s="18"/>
      <c r="N995" s="40"/>
      <c r="O995" s="30" t="n">
        <f aca="false">K995+N995</f>
        <v>400000</v>
      </c>
      <c r="P995" s="39" t="n">
        <f aca="false">O995/J995</f>
        <v>8153.28169588259</v>
      </c>
      <c r="Q995" s="19" t="s">
        <v>1326</v>
      </c>
      <c r="R995" s="22" t="s">
        <v>36</v>
      </c>
      <c r="S995" s="19" t="s">
        <v>29</v>
      </c>
      <c r="T995" s="19" t="s">
        <v>30</v>
      </c>
      <c r="U995" s="19" t="s">
        <v>31</v>
      </c>
      <c r="V995" s="41" t="n">
        <v>43514</v>
      </c>
      <c r="W995" s="34" t="s">
        <v>1327</v>
      </c>
      <c r="X995" s="18"/>
    </row>
    <row r="996" s="32" customFormat="true" ht="13.8" hidden="false" customHeight="false" outlineLevel="0" collapsed="false">
      <c r="A996" s="18"/>
      <c r="B996" s="19" t="n">
        <v>29595</v>
      </c>
      <c r="C996" s="20" t="n">
        <v>43374</v>
      </c>
      <c r="D996" s="38" t="s">
        <v>22</v>
      </c>
      <c r="E996" s="22" t="s">
        <v>350</v>
      </c>
      <c r="F996" s="34" t="s">
        <v>323</v>
      </c>
      <c r="G996" s="19" t="n">
        <v>4</v>
      </c>
      <c r="H996" s="19" t="n">
        <v>28</v>
      </c>
      <c r="I996" s="19" t="n">
        <v>7</v>
      </c>
      <c r="J996" s="19" t="n">
        <v>49.06</v>
      </c>
      <c r="K996" s="39" t="n">
        <v>400000</v>
      </c>
      <c r="L996" s="39" t="n">
        <f aca="false">K996/J996</f>
        <v>8153.28169588259</v>
      </c>
      <c r="M996" s="18"/>
      <c r="N996" s="40"/>
      <c r="O996" s="30" t="n">
        <f aca="false">K996+N996</f>
        <v>400000</v>
      </c>
      <c r="P996" s="39" t="n">
        <f aca="false">O996/J996</f>
        <v>8153.28169588259</v>
      </c>
      <c r="Q996" s="19" t="s">
        <v>1326</v>
      </c>
      <c r="R996" s="22" t="s">
        <v>36</v>
      </c>
      <c r="S996" s="19" t="s">
        <v>29</v>
      </c>
      <c r="T996" s="19" t="s">
        <v>30</v>
      </c>
      <c r="U996" s="19" t="s">
        <v>31</v>
      </c>
      <c r="V996" s="41" t="n">
        <v>43514</v>
      </c>
      <c r="W996" s="34" t="s">
        <v>1327</v>
      </c>
      <c r="X996" s="18"/>
    </row>
    <row r="997" customFormat="false" ht="13.8" hidden="false" customHeight="false" outlineLevel="0" collapsed="false">
      <c r="A997" s="18"/>
      <c r="B997" s="19" t="n">
        <v>10731</v>
      </c>
      <c r="C997" s="20" t="n">
        <v>43374</v>
      </c>
      <c r="D997" s="38" t="s">
        <v>22</v>
      </c>
      <c r="E997" s="22" t="s">
        <v>322</v>
      </c>
      <c r="F997" s="34" t="s">
        <v>323</v>
      </c>
      <c r="G997" s="19" t="s">
        <v>1328</v>
      </c>
      <c r="H997" s="19" t="n">
        <v>199</v>
      </c>
      <c r="I997" s="19" t="n">
        <v>6</v>
      </c>
      <c r="J997" s="19" t="n">
        <v>49.04</v>
      </c>
      <c r="K997" s="39" t="n">
        <v>542000</v>
      </c>
      <c r="L997" s="39" t="n">
        <f aca="false">K997/J997</f>
        <v>11052.2022838499</v>
      </c>
      <c r="M997" s="34" t="s">
        <v>1329</v>
      </c>
      <c r="N997" s="40" t="n">
        <v>32000</v>
      </c>
      <c r="O997" s="30" t="n">
        <f aca="false">K997+N997</f>
        <v>574000</v>
      </c>
      <c r="P997" s="39" t="n">
        <f aca="false">O997/J997</f>
        <v>11704.7308319739</v>
      </c>
      <c r="Q997" s="19" t="s">
        <v>1330</v>
      </c>
      <c r="R997" s="22" t="s">
        <v>36</v>
      </c>
      <c r="S997" s="19" t="s">
        <v>29</v>
      </c>
      <c r="T997" s="19" t="s">
        <v>30</v>
      </c>
      <c r="U997" s="19" t="s">
        <v>31</v>
      </c>
      <c r="V997" s="41" t="n">
        <v>43514</v>
      </c>
      <c r="W997" s="34" t="s">
        <v>1331</v>
      </c>
      <c r="X997" s="18"/>
    </row>
    <row r="998" customFormat="false" ht="13.8" hidden="false" customHeight="false" outlineLevel="0" collapsed="false">
      <c r="A998" s="18"/>
      <c r="B998" s="19" t="n">
        <v>10724</v>
      </c>
      <c r="C998" s="20" t="n">
        <v>43374</v>
      </c>
      <c r="D998" s="38" t="s">
        <v>22</v>
      </c>
      <c r="E998" s="22" t="s">
        <v>322</v>
      </c>
      <c r="F998" s="34" t="s">
        <v>323</v>
      </c>
      <c r="G998" s="19" t="s">
        <v>545</v>
      </c>
      <c r="H998" s="19" t="n">
        <v>243</v>
      </c>
      <c r="I998" s="19" t="n">
        <v>6</v>
      </c>
      <c r="J998" s="19" t="n">
        <v>48.94</v>
      </c>
      <c r="K998" s="39" t="n">
        <v>554000</v>
      </c>
      <c r="L998" s="39" t="n">
        <f aca="false">K998/J998</f>
        <v>11319.9836534532</v>
      </c>
      <c r="M998" s="34" t="s">
        <v>1332</v>
      </c>
      <c r="N998" s="40" t="n">
        <v>32000</v>
      </c>
      <c r="O998" s="30" t="n">
        <f aca="false">K998+N998</f>
        <v>586000</v>
      </c>
      <c r="P998" s="39" t="n">
        <f aca="false">O998/J998</f>
        <v>11973.8455251328</v>
      </c>
      <c r="Q998" s="19" t="s">
        <v>903</v>
      </c>
      <c r="R998" s="22" t="s">
        <v>36</v>
      </c>
      <c r="S998" s="19" t="s">
        <v>29</v>
      </c>
      <c r="T998" s="19" t="s">
        <v>30</v>
      </c>
      <c r="U998" s="19" t="s">
        <v>31</v>
      </c>
      <c r="V998" s="41" t="n">
        <v>43514</v>
      </c>
      <c r="W998" s="34" t="s">
        <v>1333</v>
      </c>
      <c r="X998" s="34"/>
      <c r="AMJ998" s="32"/>
    </row>
    <row r="999" s="32" customFormat="true" ht="13.8" hidden="false" customHeight="false" outlineLevel="0" collapsed="false">
      <c r="A999" s="18"/>
      <c r="B999" s="19" t="n">
        <v>13943</v>
      </c>
      <c r="C999" s="20" t="n">
        <v>43374</v>
      </c>
      <c r="D999" s="38" t="s">
        <v>22</v>
      </c>
      <c r="E999" s="22" t="s">
        <v>665</v>
      </c>
      <c r="F999" s="34" t="s">
        <v>1334</v>
      </c>
      <c r="G999" s="19" t="n">
        <v>9</v>
      </c>
      <c r="H999" s="19" t="n">
        <v>55</v>
      </c>
      <c r="I999" s="19" t="n">
        <v>7</v>
      </c>
      <c r="J999" s="19" t="n">
        <v>115.6</v>
      </c>
      <c r="K999" s="39" t="n">
        <v>1667500</v>
      </c>
      <c r="L999" s="39" t="n">
        <f aca="false">K999/J999</f>
        <v>14424.7404844291</v>
      </c>
      <c r="M999" s="34" t="s">
        <v>1021</v>
      </c>
      <c r="N999" s="40" t="n">
        <v>76000</v>
      </c>
      <c r="O999" s="30" t="n">
        <f aca="false">K999+N999</f>
        <v>1743500</v>
      </c>
      <c r="P999" s="39" t="n">
        <f aca="false">O999/J999</f>
        <v>15082.1799307958</v>
      </c>
      <c r="Q999" s="19" t="s">
        <v>1335</v>
      </c>
      <c r="R999" s="22" t="s">
        <v>57</v>
      </c>
      <c r="S999" s="19" t="s">
        <v>29</v>
      </c>
      <c r="T999" s="19" t="s">
        <v>30</v>
      </c>
      <c r="U999" s="19" t="s">
        <v>31</v>
      </c>
      <c r="V999" s="41" t="n">
        <v>43514</v>
      </c>
      <c r="W999" s="34" t="s">
        <v>1336</v>
      </c>
      <c r="X999" s="18"/>
    </row>
    <row r="1000" customFormat="false" ht="13.8" hidden="false" customHeight="false" outlineLevel="0" collapsed="false">
      <c r="A1000" s="18"/>
      <c r="B1000" s="19" t="n">
        <v>3368</v>
      </c>
      <c r="C1000" s="20" t="n">
        <v>43374</v>
      </c>
      <c r="D1000" s="38" t="s">
        <v>22</v>
      </c>
      <c r="E1000" s="22" t="s">
        <v>906</v>
      </c>
      <c r="F1000" s="34" t="s">
        <v>1027</v>
      </c>
      <c r="G1000" s="19" t="n">
        <v>7</v>
      </c>
      <c r="H1000" s="19" t="n">
        <v>609</v>
      </c>
      <c r="I1000" s="19" t="n">
        <v>6</v>
      </c>
      <c r="J1000" s="19" t="n">
        <v>47</v>
      </c>
      <c r="K1000" s="39" t="n">
        <v>364000</v>
      </c>
      <c r="L1000" s="39" t="n">
        <f aca="false">ROUND(K1000/J1000,2)</f>
        <v>7744.68</v>
      </c>
      <c r="M1000" s="34" t="s">
        <v>1337</v>
      </c>
      <c r="N1000" s="40"/>
      <c r="O1000" s="30" t="n">
        <f aca="false">K1000+N1000</f>
        <v>364000</v>
      </c>
      <c r="P1000" s="39" t="n">
        <f aca="false">ROUND(O1000/J1000,2)</f>
        <v>7744.68</v>
      </c>
      <c r="Q1000" s="19" t="s">
        <v>1238</v>
      </c>
      <c r="R1000" s="22" t="n">
        <v>3</v>
      </c>
      <c r="S1000" s="19" t="s">
        <v>29</v>
      </c>
      <c r="T1000" s="19" t="s">
        <v>30</v>
      </c>
      <c r="U1000" s="31" t="s">
        <v>31</v>
      </c>
      <c r="V1000" s="41" t="n">
        <v>43432</v>
      </c>
      <c r="W1000" s="18"/>
      <c r="X1000" s="18"/>
    </row>
    <row r="1001" customFormat="false" ht="13.8" hidden="false" customHeight="false" outlineLevel="0" collapsed="false">
      <c r="A1001" s="18"/>
      <c r="B1001" s="19" t="n">
        <v>3733</v>
      </c>
      <c r="C1001" s="20" t="n">
        <v>43374</v>
      </c>
      <c r="D1001" s="38" t="s">
        <v>22</v>
      </c>
      <c r="E1001" s="22" t="s">
        <v>251</v>
      </c>
      <c r="F1001" s="34" t="s">
        <v>957</v>
      </c>
      <c r="G1001" s="19" t="n">
        <v>52</v>
      </c>
      <c r="H1001" s="19" t="n">
        <v>38</v>
      </c>
      <c r="I1001" s="19" t="s">
        <v>1214</v>
      </c>
      <c r="J1001" s="19" t="n">
        <v>43.55</v>
      </c>
      <c r="K1001" s="39" t="n">
        <v>370000</v>
      </c>
      <c r="L1001" s="39" t="n">
        <f aca="false">K1001/J1001</f>
        <v>8495.98163030999</v>
      </c>
      <c r="M1001" s="34"/>
      <c r="N1001" s="40"/>
      <c r="O1001" s="30" t="n">
        <f aca="false">K1001+N1001</f>
        <v>370000</v>
      </c>
      <c r="P1001" s="39" t="n">
        <f aca="false">O1001/J1001</f>
        <v>8495.98163030999</v>
      </c>
      <c r="Q1001" s="19" t="s">
        <v>1338</v>
      </c>
      <c r="R1001" s="22" t="s">
        <v>36</v>
      </c>
      <c r="S1001" s="19" t="s">
        <v>29</v>
      </c>
      <c r="T1001" s="19" t="s">
        <v>30</v>
      </c>
      <c r="U1001" s="19" t="s">
        <v>31</v>
      </c>
      <c r="V1001" s="41" t="n">
        <v>43514</v>
      </c>
      <c r="W1001" s="34" t="s">
        <v>1339</v>
      </c>
      <c r="X1001" s="18"/>
      <c r="AMJ1001" s="32"/>
    </row>
    <row r="1002" s="32" customFormat="true" ht="13.8" hidden="false" customHeight="false" outlineLevel="0" collapsed="false">
      <c r="A1002" s="18"/>
      <c r="B1002" s="19" t="n">
        <v>3284</v>
      </c>
      <c r="C1002" s="20" t="n">
        <v>43374</v>
      </c>
      <c r="D1002" s="38" t="s">
        <v>22</v>
      </c>
      <c r="E1002" s="22" t="s">
        <v>268</v>
      </c>
      <c r="F1002" s="34" t="s">
        <v>471</v>
      </c>
      <c r="G1002" s="19" t="n">
        <v>7</v>
      </c>
      <c r="H1002" s="19" t="n">
        <v>34</v>
      </c>
      <c r="I1002" s="19" t="n">
        <v>2</v>
      </c>
      <c r="J1002" s="19" t="n">
        <v>57.19</v>
      </c>
      <c r="K1002" s="39" t="n">
        <v>440000</v>
      </c>
      <c r="L1002" s="39" t="n">
        <f aca="false">K1002/J1002</f>
        <v>7693.65273649239</v>
      </c>
      <c r="M1002" s="34"/>
      <c r="N1002" s="40"/>
      <c r="O1002" s="30" t="n">
        <f aca="false">K1002+N1002</f>
        <v>440000</v>
      </c>
      <c r="P1002" s="39" t="n">
        <f aca="false">O1002/J1002</f>
        <v>7693.65273649239</v>
      </c>
      <c r="Q1002" s="19" t="s">
        <v>1340</v>
      </c>
      <c r="R1002" s="22" t="s">
        <v>49</v>
      </c>
      <c r="S1002" s="19" t="s">
        <v>29</v>
      </c>
      <c r="T1002" s="19" t="s">
        <v>30</v>
      </c>
      <c r="U1002" s="19" t="s">
        <v>31</v>
      </c>
      <c r="V1002" s="41" t="n">
        <v>43514</v>
      </c>
      <c r="W1002" s="34" t="s">
        <v>1341</v>
      </c>
      <c r="X1002" s="18"/>
    </row>
    <row r="1003" s="32" customFormat="true" ht="13.8" hidden="false" customHeight="false" outlineLevel="0" collapsed="false">
      <c r="A1003" s="18"/>
      <c r="B1003" s="19" t="n">
        <v>7125</v>
      </c>
      <c r="C1003" s="20" t="n">
        <v>43374</v>
      </c>
      <c r="D1003" s="38" t="s">
        <v>22</v>
      </c>
      <c r="E1003" s="22" t="s">
        <v>289</v>
      </c>
      <c r="F1003" s="34" t="s">
        <v>290</v>
      </c>
      <c r="G1003" s="19" t="n">
        <v>17</v>
      </c>
      <c r="H1003" s="19" t="n">
        <v>12</v>
      </c>
      <c r="I1003" s="19" t="n">
        <v>6</v>
      </c>
      <c r="J1003" s="19" t="n">
        <v>89.3</v>
      </c>
      <c r="K1003" s="39" t="n">
        <v>1220000</v>
      </c>
      <c r="L1003" s="39" t="n">
        <f aca="false">K1003/J1003</f>
        <v>13661.8141097424</v>
      </c>
      <c r="M1003" s="34" t="s">
        <v>1342</v>
      </c>
      <c r="N1003" s="40"/>
      <c r="O1003" s="30" t="n">
        <f aca="false">K1003+N1003</f>
        <v>1220000</v>
      </c>
      <c r="P1003" s="39" t="n">
        <f aca="false">O1003/J1003</f>
        <v>13661.8141097424</v>
      </c>
      <c r="Q1003" s="19" t="s">
        <v>861</v>
      </c>
      <c r="R1003" s="22" t="s">
        <v>26</v>
      </c>
      <c r="S1003" s="19" t="s">
        <v>29</v>
      </c>
      <c r="T1003" s="19" t="s">
        <v>30</v>
      </c>
      <c r="U1003" s="19" t="s">
        <v>31</v>
      </c>
      <c r="V1003" s="41" t="n">
        <v>43514</v>
      </c>
      <c r="W1003" s="34" t="s">
        <v>1343</v>
      </c>
      <c r="X1003" s="18"/>
    </row>
    <row r="1004" customFormat="false" ht="13.8" hidden="false" customHeight="false" outlineLevel="0" collapsed="false">
      <c r="A1004" s="18"/>
      <c r="B1004" s="19" t="n">
        <v>7125</v>
      </c>
      <c r="C1004" s="20" t="n">
        <v>43374</v>
      </c>
      <c r="D1004" s="38" t="s">
        <v>22</v>
      </c>
      <c r="E1004" s="22" t="s">
        <v>289</v>
      </c>
      <c r="F1004" s="34" t="s">
        <v>290</v>
      </c>
      <c r="G1004" s="19" t="n">
        <v>17</v>
      </c>
      <c r="H1004" s="19" t="n">
        <v>12</v>
      </c>
      <c r="I1004" s="19" t="n">
        <v>6</v>
      </c>
      <c r="J1004" s="19" t="n">
        <v>89.3</v>
      </c>
      <c r="K1004" s="39" t="n">
        <v>1210000</v>
      </c>
      <c r="L1004" s="39" t="n">
        <f aca="false">K1004/J1004</f>
        <v>13549.8320268757</v>
      </c>
      <c r="M1004" s="34" t="s">
        <v>1344</v>
      </c>
      <c r="N1004" s="40" t="n">
        <v>60000</v>
      </c>
      <c r="O1004" s="30" t="n">
        <f aca="false">K1004+N1004</f>
        <v>1270000</v>
      </c>
      <c r="P1004" s="39" t="n">
        <f aca="false">O1004/J1004</f>
        <v>14221.7245240761</v>
      </c>
      <c r="Q1004" s="19" t="s">
        <v>1345</v>
      </c>
      <c r="R1004" s="22" t="s">
        <v>26</v>
      </c>
      <c r="S1004" s="19" t="s">
        <v>29</v>
      </c>
      <c r="T1004" s="19" t="s">
        <v>30</v>
      </c>
      <c r="U1004" s="19" t="s">
        <v>31</v>
      </c>
      <c r="V1004" s="41" t="n">
        <v>43514</v>
      </c>
      <c r="W1004" s="34" t="s">
        <v>1343</v>
      </c>
      <c r="X1004" s="18"/>
    </row>
    <row r="1005" customFormat="false" ht="13.8" hidden="false" customHeight="false" outlineLevel="0" collapsed="false">
      <c r="A1005" s="18"/>
      <c r="B1005" s="19" t="n">
        <v>9283</v>
      </c>
      <c r="C1005" s="20" t="n">
        <v>43374</v>
      </c>
      <c r="D1005" s="38" t="s">
        <v>22</v>
      </c>
      <c r="E1005" s="22" t="s">
        <v>284</v>
      </c>
      <c r="F1005" s="34" t="s">
        <v>404</v>
      </c>
      <c r="G1005" s="19" t="n">
        <v>38</v>
      </c>
      <c r="H1005" s="19" t="n">
        <v>13</v>
      </c>
      <c r="I1005" s="19" t="n">
        <v>4</v>
      </c>
      <c r="J1005" s="19" t="n">
        <v>67.74</v>
      </c>
      <c r="K1005" s="39" t="n">
        <v>540000</v>
      </c>
      <c r="L1005" s="39" t="n">
        <f aca="false">K1005/J1005</f>
        <v>7971.65633303809</v>
      </c>
      <c r="M1005" s="18"/>
      <c r="N1005" s="40"/>
      <c r="O1005" s="30" t="n">
        <f aca="false">K1005+N1005</f>
        <v>540000</v>
      </c>
      <c r="P1005" s="39" t="n">
        <f aca="false">O1005/J1005</f>
        <v>7971.65633303809</v>
      </c>
      <c r="Q1005" s="19" t="s">
        <v>1346</v>
      </c>
      <c r="R1005" s="22" t="s">
        <v>49</v>
      </c>
      <c r="S1005" s="19" t="s">
        <v>29</v>
      </c>
      <c r="T1005" s="19" t="s">
        <v>30</v>
      </c>
      <c r="U1005" s="19" t="s">
        <v>31</v>
      </c>
      <c r="V1005" s="41" t="n">
        <v>43514</v>
      </c>
      <c r="W1005" s="34" t="s">
        <v>1347</v>
      </c>
      <c r="X1005" s="18"/>
    </row>
    <row r="1006" customFormat="false" ht="13.8" hidden="false" customHeight="false" outlineLevel="0" collapsed="false">
      <c r="A1006" s="18"/>
      <c r="B1006" s="19" t="n">
        <v>9283</v>
      </c>
      <c r="C1006" s="20" t="n">
        <v>43374</v>
      </c>
      <c r="D1006" s="38" t="s">
        <v>22</v>
      </c>
      <c r="E1006" s="22" t="s">
        <v>284</v>
      </c>
      <c r="F1006" s="34" t="s">
        <v>404</v>
      </c>
      <c r="G1006" s="19" t="n">
        <v>38</v>
      </c>
      <c r="H1006" s="19" t="n">
        <v>13</v>
      </c>
      <c r="I1006" s="19" t="n">
        <v>4</v>
      </c>
      <c r="J1006" s="19" t="n">
        <v>67.74</v>
      </c>
      <c r="K1006" s="39" t="n">
        <v>540000</v>
      </c>
      <c r="L1006" s="39" t="n">
        <f aca="false">K1006/J1006</f>
        <v>7971.65633303809</v>
      </c>
      <c r="M1006" s="34"/>
      <c r="N1006" s="40"/>
      <c r="O1006" s="30" t="n">
        <f aca="false">K1006+N1006</f>
        <v>540000</v>
      </c>
      <c r="P1006" s="39" t="n">
        <f aca="false">O1006/J1006</f>
        <v>7971.65633303809</v>
      </c>
      <c r="Q1006" s="19" t="s">
        <v>1346</v>
      </c>
      <c r="R1006" s="22" t="s">
        <v>49</v>
      </c>
      <c r="S1006" s="19" t="s">
        <v>29</v>
      </c>
      <c r="T1006" s="19" t="s">
        <v>30</v>
      </c>
      <c r="U1006" s="19" t="s">
        <v>31</v>
      </c>
      <c r="V1006" s="41" t="n">
        <v>43514</v>
      </c>
      <c r="W1006" s="34" t="s">
        <v>1347</v>
      </c>
      <c r="X1006" s="34"/>
    </row>
    <row r="1007" customFormat="false" ht="13.8" hidden="false" customHeight="false" outlineLevel="0" collapsed="false">
      <c r="A1007" s="18"/>
      <c r="B1007" s="19" t="n">
        <v>1844</v>
      </c>
      <c r="C1007" s="20" t="n">
        <v>43374</v>
      </c>
      <c r="D1007" s="38" t="s">
        <v>22</v>
      </c>
      <c r="E1007" s="22" t="s">
        <v>109</v>
      </c>
      <c r="F1007" s="34" t="s">
        <v>404</v>
      </c>
      <c r="G1007" s="19" t="n">
        <v>53</v>
      </c>
      <c r="H1007" s="19" t="n">
        <v>18</v>
      </c>
      <c r="I1007" s="19" t="n">
        <v>2</v>
      </c>
      <c r="J1007" s="19" t="n">
        <v>46.15</v>
      </c>
      <c r="K1007" s="39" t="n">
        <v>459000</v>
      </c>
      <c r="L1007" s="39" t="n">
        <f aca="false">K1007/J1007</f>
        <v>9945.82881906826</v>
      </c>
      <c r="M1007" s="34"/>
      <c r="N1007" s="40"/>
      <c r="O1007" s="30" t="n">
        <f aca="false">K1007+N1007</f>
        <v>459000</v>
      </c>
      <c r="P1007" s="39" t="n">
        <f aca="false">O1007/J1007</f>
        <v>9945.82881906826</v>
      </c>
      <c r="Q1007" s="19" t="s">
        <v>1348</v>
      </c>
      <c r="R1007" s="22" t="s">
        <v>36</v>
      </c>
      <c r="S1007" s="19" t="s">
        <v>29</v>
      </c>
      <c r="T1007" s="19" t="s">
        <v>30</v>
      </c>
      <c r="U1007" s="19" t="s">
        <v>31</v>
      </c>
      <c r="V1007" s="41" t="n">
        <v>43514</v>
      </c>
      <c r="W1007" s="34" t="s">
        <v>1349</v>
      </c>
      <c r="X1007" s="18"/>
      <c r="AMJ1007" s="32"/>
    </row>
    <row r="1008" s="32" customFormat="true" ht="13.8" hidden="false" customHeight="false" outlineLevel="0" collapsed="false">
      <c r="A1008" s="18"/>
      <c r="B1008" s="19" t="n">
        <v>1844</v>
      </c>
      <c r="C1008" s="20" t="n">
        <v>43374</v>
      </c>
      <c r="D1008" s="38" t="s">
        <v>22</v>
      </c>
      <c r="E1008" s="22" t="s">
        <v>109</v>
      </c>
      <c r="F1008" s="34" t="s">
        <v>404</v>
      </c>
      <c r="G1008" s="19" t="n">
        <v>53</v>
      </c>
      <c r="H1008" s="19" t="n">
        <v>18</v>
      </c>
      <c r="I1008" s="19" t="n">
        <v>2</v>
      </c>
      <c r="J1008" s="19" t="n">
        <v>46.15</v>
      </c>
      <c r="K1008" s="39" t="n">
        <v>459000</v>
      </c>
      <c r="L1008" s="39" t="n">
        <f aca="false">K1008/J1008</f>
        <v>9945.82881906826</v>
      </c>
      <c r="M1008" s="34"/>
      <c r="N1008" s="40"/>
      <c r="O1008" s="30" t="n">
        <f aca="false">K1008+N1008</f>
        <v>459000</v>
      </c>
      <c r="P1008" s="39" t="n">
        <f aca="false">O1008/J1008</f>
        <v>9945.82881906826</v>
      </c>
      <c r="Q1008" s="19" t="s">
        <v>1348</v>
      </c>
      <c r="R1008" s="22" t="s">
        <v>36</v>
      </c>
      <c r="S1008" s="19" t="s">
        <v>29</v>
      </c>
      <c r="T1008" s="19" t="s">
        <v>30</v>
      </c>
      <c r="U1008" s="19" t="s">
        <v>31</v>
      </c>
      <c r="V1008" s="41" t="n">
        <v>43514</v>
      </c>
      <c r="W1008" s="34" t="s">
        <v>1349</v>
      </c>
      <c r="X1008" s="18"/>
    </row>
    <row r="1009" customFormat="false" ht="13.8" hidden="false" customHeight="false" outlineLevel="0" collapsed="false">
      <c r="A1009" s="18"/>
      <c r="B1009" s="19" t="n">
        <v>14017</v>
      </c>
      <c r="C1009" s="20" t="n">
        <v>43374</v>
      </c>
      <c r="D1009" s="38" t="s">
        <v>22</v>
      </c>
      <c r="E1009" s="22" t="s">
        <v>122</v>
      </c>
      <c r="F1009" s="34" t="s">
        <v>723</v>
      </c>
      <c r="G1009" s="19" t="n">
        <v>3</v>
      </c>
      <c r="H1009" s="19" t="n">
        <v>39</v>
      </c>
      <c r="I1009" s="19" t="n">
        <v>7</v>
      </c>
      <c r="J1009" s="19" t="n">
        <v>56.45</v>
      </c>
      <c r="K1009" s="39" t="n">
        <v>417000</v>
      </c>
      <c r="L1009" s="39" t="n">
        <f aca="false">K1009/J1009</f>
        <v>7387.06820194863</v>
      </c>
      <c r="M1009" s="34"/>
      <c r="N1009" s="40"/>
      <c r="O1009" s="30" t="n">
        <f aca="false">K1009+N1009</f>
        <v>417000</v>
      </c>
      <c r="P1009" s="39" t="n">
        <f aca="false">O1009/J1009</f>
        <v>7387.06820194863</v>
      </c>
      <c r="Q1009" s="19"/>
      <c r="R1009" s="22"/>
      <c r="S1009" s="19" t="s">
        <v>29</v>
      </c>
      <c r="T1009" s="19" t="s">
        <v>30</v>
      </c>
      <c r="U1009" s="19" t="s">
        <v>31</v>
      </c>
      <c r="V1009" s="41" t="n">
        <v>43514</v>
      </c>
      <c r="W1009" s="34" t="s">
        <v>1350</v>
      </c>
      <c r="X1009" s="18"/>
    </row>
    <row r="1010" customFormat="false" ht="13.8" hidden="false" customHeight="false" outlineLevel="0" collapsed="false">
      <c r="A1010" s="18"/>
      <c r="B1010" s="19" t="n">
        <v>5648</v>
      </c>
      <c r="C1010" s="20" t="n">
        <v>43374</v>
      </c>
      <c r="D1010" s="38" t="s">
        <v>22</v>
      </c>
      <c r="E1010" s="22" t="s">
        <v>65</v>
      </c>
      <c r="F1010" s="34" t="s">
        <v>1174</v>
      </c>
      <c r="G1010" s="19" t="n">
        <v>1</v>
      </c>
      <c r="H1010" s="19" t="n">
        <v>28</v>
      </c>
      <c r="I1010" s="19" t="n">
        <v>6</v>
      </c>
      <c r="J1010" s="19" t="n">
        <v>48</v>
      </c>
      <c r="K1010" s="39" t="n">
        <v>425000</v>
      </c>
      <c r="L1010" s="39" t="n">
        <f aca="false">ROUND(K1010/J1010,2)</f>
        <v>8854.17</v>
      </c>
      <c r="M1010" s="18"/>
      <c r="N1010" s="40"/>
      <c r="O1010" s="30" t="n">
        <f aca="false">K1010+N1010</f>
        <v>425000</v>
      </c>
      <c r="P1010" s="39" t="n">
        <f aca="false">ROUND(O1010/J1010,2)</f>
        <v>8854.17</v>
      </c>
      <c r="Q1010" s="19" t="s">
        <v>1351</v>
      </c>
      <c r="R1010" s="22" t="s">
        <v>26</v>
      </c>
      <c r="S1010" s="19" t="s">
        <v>29</v>
      </c>
      <c r="T1010" s="19" t="s">
        <v>30</v>
      </c>
      <c r="U1010" s="31" t="s">
        <v>31</v>
      </c>
      <c r="V1010" s="41" t="n">
        <v>43514</v>
      </c>
      <c r="W1010" s="18"/>
      <c r="X1010" s="18"/>
      <c r="AMJ1010" s="32"/>
    </row>
    <row r="1011" s="32" customFormat="true" ht="13.8" hidden="false" customHeight="false" outlineLevel="0" collapsed="false">
      <c r="A1011" s="18"/>
      <c r="B1011" s="19" t="n">
        <v>1</v>
      </c>
      <c r="C1011" s="20" t="n">
        <v>43374</v>
      </c>
      <c r="D1011" s="38" t="s">
        <v>22</v>
      </c>
      <c r="E1011" s="22" t="s">
        <v>350</v>
      </c>
      <c r="F1011" s="34" t="s">
        <v>351</v>
      </c>
      <c r="G1011" s="19" t="s">
        <v>1156</v>
      </c>
      <c r="H1011" s="19" t="n">
        <v>46</v>
      </c>
      <c r="I1011" s="19" t="n">
        <v>6</v>
      </c>
      <c r="J1011" s="19" t="n">
        <v>75.05</v>
      </c>
      <c r="K1011" s="39" t="n">
        <v>700000</v>
      </c>
      <c r="L1011" s="39" t="n">
        <f aca="false">K1011/J1011</f>
        <v>9327.11525649567</v>
      </c>
      <c r="M1011" s="18"/>
      <c r="N1011" s="40"/>
      <c r="O1011" s="30" t="n">
        <f aca="false">K1011+N1011</f>
        <v>700000</v>
      </c>
      <c r="P1011" s="39" t="n">
        <f aca="false">O1011/J1011</f>
        <v>9327.11525649567</v>
      </c>
      <c r="Q1011" s="19" t="s">
        <v>1352</v>
      </c>
      <c r="R1011" s="22" t="s">
        <v>49</v>
      </c>
      <c r="S1011" s="19" t="s">
        <v>29</v>
      </c>
      <c r="T1011" s="19" t="s">
        <v>30</v>
      </c>
      <c r="U1011" s="19" t="s">
        <v>31</v>
      </c>
      <c r="V1011" s="41" t="n">
        <v>43514</v>
      </c>
      <c r="W1011" s="34" t="s">
        <v>1353</v>
      </c>
      <c r="X1011" s="18"/>
    </row>
    <row r="1012" s="32" customFormat="true" ht="13.8" hidden="false" customHeight="false" outlineLevel="0" collapsed="false">
      <c r="A1012" s="18"/>
      <c r="B1012" s="19" t="n">
        <v>1</v>
      </c>
      <c r="C1012" s="20" t="n">
        <v>43374</v>
      </c>
      <c r="D1012" s="38" t="s">
        <v>22</v>
      </c>
      <c r="E1012" s="22" t="s">
        <v>350</v>
      </c>
      <c r="F1012" s="34" t="s">
        <v>351</v>
      </c>
      <c r="G1012" s="19" t="s">
        <v>1156</v>
      </c>
      <c r="H1012" s="19" t="n">
        <v>46</v>
      </c>
      <c r="I1012" s="19" t="n">
        <v>6</v>
      </c>
      <c r="J1012" s="19" t="n">
        <v>75.05</v>
      </c>
      <c r="K1012" s="39" t="n">
        <v>700000</v>
      </c>
      <c r="L1012" s="39" t="n">
        <f aca="false">K1012/J1012</f>
        <v>9327.11525649567</v>
      </c>
      <c r="M1012" s="18"/>
      <c r="N1012" s="40"/>
      <c r="O1012" s="30" t="n">
        <f aca="false">K1012+N1012</f>
        <v>700000</v>
      </c>
      <c r="P1012" s="39" t="n">
        <f aca="false">O1012/J1012</f>
        <v>9327.11525649567</v>
      </c>
      <c r="Q1012" s="19" t="s">
        <v>1352</v>
      </c>
      <c r="R1012" s="22" t="s">
        <v>49</v>
      </c>
      <c r="S1012" s="19" t="s">
        <v>29</v>
      </c>
      <c r="T1012" s="19" t="s">
        <v>30</v>
      </c>
      <c r="U1012" s="19" t="s">
        <v>31</v>
      </c>
      <c r="V1012" s="41" t="n">
        <v>43514</v>
      </c>
      <c r="W1012" s="34" t="s">
        <v>1353</v>
      </c>
      <c r="X1012" s="18"/>
    </row>
    <row r="1013" customFormat="false" ht="13.8" hidden="false" customHeight="false" outlineLevel="0" collapsed="false">
      <c r="A1013" s="18"/>
      <c r="B1013" s="19" t="n">
        <v>10716</v>
      </c>
      <c r="C1013" s="20" t="n">
        <v>43374</v>
      </c>
      <c r="D1013" s="38" t="s">
        <v>22</v>
      </c>
      <c r="E1013" s="22" t="s">
        <v>350</v>
      </c>
      <c r="F1013" s="34" t="s">
        <v>351</v>
      </c>
      <c r="G1013" s="19" t="s">
        <v>1354</v>
      </c>
      <c r="H1013" s="19" t="n">
        <v>4</v>
      </c>
      <c r="I1013" s="19" t="n">
        <v>3</v>
      </c>
      <c r="J1013" s="19" t="n">
        <v>116.61</v>
      </c>
      <c r="K1013" s="39" t="n">
        <v>1200000</v>
      </c>
      <c r="L1013" s="39" t="n">
        <f aca="false">K1013/J1013</f>
        <v>10290.7126318498</v>
      </c>
      <c r="M1013" s="34" t="s">
        <v>1355</v>
      </c>
      <c r="N1013" s="40" t="n">
        <v>30000</v>
      </c>
      <c r="O1013" s="30" t="n">
        <f aca="false">K1013+N1013</f>
        <v>1230000</v>
      </c>
      <c r="P1013" s="39" t="n">
        <f aca="false">O1013/J1013</f>
        <v>10547.980447646</v>
      </c>
      <c r="Q1013" s="19" t="s">
        <v>1356</v>
      </c>
      <c r="R1013" s="22" t="s">
        <v>49</v>
      </c>
      <c r="S1013" s="19" t="s">
        <v>29</v>
      </c>
      <c r="T1013" s="19" t="s">
        <v>30</v>
      </c>
      <c r="U1013" s="19" t="s">
        <v>31</v>
      </c>
      <c r="V1013" s="41" t="n">
        <v>43514</v>
      </c>
      <c r="W1013" s="34"/>
      <c r="X1013" s="34"/>
    </row>
    <row r="1014" customFormat="false" ht="13.8" hidden="false" customHeight="false" outlineLevel="0" collapsed="false">
      <c r="A1014" s="18"/>
      <c r="B1014" s="19" t="n">
        <v>10716</v>
      </c>
      <c r="C1014" s="20" t="n">
        <v>43374</v>
      </c>
      <c r="D1014" s="38" t="s">
        <v>22</v>
      </c>
      <c r="E1014" s="22" t="s">
        <v>350</v>
      </c>
      <c r="F1014" s="34" t="s">
        <v>351</v>
      </c>
      <c r="G1014" s="19" t="s">
        <v>1354</v>
      </c>
      <c r="H1014" s="19" t="n">
        <v>4</v>
      </c>
      <c r="I1014" s="19" t="n">
        <v>3</v>
      </c>
      <c r="J1014" s="19" t="n">
        <v>116.61</v>
      </c>
      <c r="K1014" s="39" t="n">
        <v>1200000</v>
      </c>
      <c r="L1014" s="39" t="n">
        <f aca="false">K1014/J1014</f>
        <v>10290.7126318498</v>
      </c>
      <c r="M1014" s="34" t="s">
        <v>1357</v>
      </c>
      <c r="N1014" s="40" t="n">
        <v>30000</v>
      </c>
      <c r="O1014" s="30" t="n">
        <f aca="false">K1014+N1014</f>
        <v>1230000</v>
      </c>
      <c r="P1014" s="39" t="n">
        <f aca="false">O1014/J1014</f>
        <v>10547.980447646</v>
      </c>
      <c r="Q1014" s="19" t="s">
        <v>1358</v>
      </c>
      <c r="R1014" s="22" t="s">
        <v>49</v>
      </c>
      <c r="S1014" s="19" t="s">
        <v>29</v>
      </c>
      <c r="T1014" s="19" t="s">
        <v>30</v>
      </c>
      <c r="U1014" s="19" t="s">
        <v>31</v>
      </c>
      <c r="V1014" s="41" t="n">
        <v>43514</v>
      </c>
      <c r="W1014" s="34" t="s">
        <v>1359</v>
      </c>
      <c r="X1014" s="18"/>
    </row>
    <row r="1015" customFormat="false" ht="13.8" hidden="false" customHeight="false" outlineLevel="0" collapsed="false">
      <c r="A1015" s="18"/>
      <c r="B1015" s="19" t="n">
        <v>10716</v>
      </c>
      <c r="C1015" s="20" t="n">
        <v>43374</v>
      </c>
      <c r="D1015" s="38" t="s">
        <v>22</v>
      </c>
      <c r="E1015" s="22" t="s">
        <v>350</v>
      </c>
      <c r="F1015" s="34" t="s">
        <v>351</v>
      </c>
      <c r="G1015" s="19" t="s">
        <v>1354</v>
      </c>
      <c r="H1015" s="19" t="n">
        <v>4</v>
      </c>
      <c r="I1015" s="19" t="n">
        <v>3</v>
      </c>
      <c r="J1015" s="19" t="n">
        <v>116.61</v>
      </c>
      <c r="K1015" s="39" t="n">
        <v>1200000</v>
      </c>
      <c r="L1015" s="39" t="n">
        <f aca="false">K1015/J1015</f>
        <v>10290.7126318498</v>
      </c>
      <c r="M1015" s="34" t="s">
        <v>1355</v>
      </c>
      <c r="N1015" s="40" t="n">
        <v>30000</v>
      </c>
      <c r="O1015" s="30" t="n">
        <f aca="false">K1015+N1015</f>
        <v>1230000</v>
      </c>
      <c r="P1015" s="39" t="n">
        <f aca="false">O1015/J1015</f>
        <v>10547.980447646</v>
      </c>
      <c r="Q1015" s="19" t="s">
        <v>1356</v>
      </c>
      <c r="R1015" s="22" t="s">
        <v>49</v>
      </c>
      <c r="S1015" s="19" t="s">
        <v>29</v>
      </c>
      <c r="T1015" s="19" t="s">
        <v>30</v>
      </c>
      <c r="U1015" s="19" t="s">
        <v>31</v>
      </c>
      <c r="V1015" s="41" t="n">
        <v>43514</v>
      </c>
      <c r="W1015" s="18"/>
      <c r="X1015" s="18"/>
    </row>
    <row r="1016" customFormat="false" ht="13.8" hidden="false" customHeight="false" outlineLevel="0" collapsed="false">
      <c r="A1016" s="18"/>
      <c r="B1016" s="19" t="n">
        <v>10716</v>
      </c>
      <c r="C1016" s="20" t="n">
        <v>43374</v>
      </c>
      <c r="D1016" s="38" t="s">
        <v>22</v>
      </c>
      <c r="E1016" s="22" t="s">
        <v>350</v>
      </c>
      <c r="F1016" s="34" t="s">
        <v>351</v>
      </c>
      <c r="G1016" s="19" t="s">
        <v>1354</v>
      </c>
      <c r="H1016" s="19" t="n">
        <v>4</v>
      </c>
      <c r="I1016" s="19" t="n">
        <v>3</v>
      </c>
      <c r="J1016" s="19" t="n">
        <v>116.61</v>
      </c>
      <c r="K1016" s="39" t="n">
        <v>1200000</v>
      </c>
      <c r="L1016" s="39" t="n">
        <f aca="false">K1016/J1016</f>
        <v>10290.7126318498</v>
      </c>
      <c r="M1016" s="34" t="s">
        <v>1357</v>
      </c>
      <c r="N1016" s="40" t="n">
        <v>30000</v>
      </c>
      <c r="O1016" s="30" t="n">
        <f aca="false">K1016+N1016</f>
        <v>1230000</v>
      </c>
      <c r="P1016" s="39" t="n">
        <f aca="false">O1016/J1016</f>
        <v>10547.980447646</v>
      </c>
      <c r="Q1016" s="19" t="s">
        <v>1358</v>
      </c>
      <c r="R1016" s="22" t="s">
        <v>49</v>
      </c>
      <c r="S1016" s="19" t="s">
        <v>29</v>
      </c>
      <c r="T1016" s="19" t="s">
        <v>30</v>
      </c>
      <c r="U1016" s="19" t="s">
        <v>31</v>
      </c>
      <c r="V1016" s="41" t="n">
        <v>43514</v>
      </c>
      <c r="W1016" s="34" t="s">
        <v>1359</v>
      </c>
      <c r="X1016" s="18"/>
      <c r="AMJ1016" s="32"/>
    </row>
    <row r="1017" s="32" customFormat="true" ht="13.8" hidden="false" customHeight="false" outlineLevel="0" collapsed="false">
      <c r="A1017" s="18"/>
      <c r="B1017" s="19" t="n">
        <v>2467</v>
      </c>
      <c r="C1017" s="20" t="n">
        <v>43374</v>
      </c>
      <c r="D1017" s="38" t="s">
        <v>22</v>
      </c>
      <c r="E1017" s="22" t="s">
        <v>37</v>
      </c>
      <c r="F1017" s="34" t="s">
        <v>152</v>
      </c>
      <c r="G1017" s="19" t="s">
        <v>1360</v>
      </c>
      <c r="H1017" s="19" t="n">
        <v>13</v>
      </c>
      <c r="I1017" s="19" t="n">
        <v>5</v>
      </c>
      <c r="J1017" s="19" t="n">
        <v>34.6</v>
      </c>
      <c r="K1017" s="39" t="n">
        <v>287000</v>
      </c>
      <c r="L1017" s="39" t="n">
        <f aca="false">K1017/J1017</f>
        <v>8294.79768786127</v>
      </c>
      <c r="M1017" s="34"/>
      <c r="N1017" s="40"/>
      <c r="O1017" s="30" t="n">
        <f aca="false">K1017+N1017</f>
        <v>287000</v>
      </c>
      <c r="P1017" s="39" t="n">
        <f aca="false">O1017/J1017</f>
        <v>8294.79768786127</v>
      </c>
      <c r="Q1017" s="19" t="s">
        <v>1320</v>
      </c>
      <c r="R1017" s="22" t="s">
        <v>36</v>
      </c>
      <c r="S1017" s="19" t="s">
        <v>29</v>
      </c>
      <c r="T1017" s="19" t="s">
        <v>30</v>
      </c>
      <c r="U1017" s="19" t="s">
        <v>31</v>
      </c>
      <c r="V1017" s="41" t="n">
        <v>43514</v>
      </c>
      <c r="W1017" s="34" t="s">
        <v>1361</v>
      </c>
      <c r="X1017" s="18"/>
    </row>
    <row r="1018" customFormat="false" ht="13.8" hidden="false" customHeight="false" outlineLevel="0" collapsed="false">
      <c r="A1018" s="18"/>
      <c r="B1018" s="19" t="n">
        <v>4683</v>
      </c>
      <c r="C1018" s="20" t="n">
        <v>43374</v>
      </c>
      <c r="D1018" s="38" t="s">
        <v>22</v>
      </c>
      <c r="E1018" s="22" t="s">
        <v>284</v>
      </c>
      <c r="F1018" s="34" t="s">
        <v>46</v>
      </c>
      <c r="G1018" s="19" t="n">
        <v>36</v>
      </c>
      <c r="H1018" s="19" t="n">
        <v>19</v>
      </c>
      <c r="I1018" s="19" t="n">
        <v>6</v>
      </c>
      <c r="J1018" s="19" t="n">
        <v>41.07</v>
      </c>
      <c r="K1018" s="39" t="n">
        <v>520000</v>
      </c>
      <c r="L1018" s="39" t="n">
        <f aca="false">K1018/J1018</f>
        <v>12661.3099586073</v>
      </c>
      <c r="M1018" s="18"/>
      <c r="N1018" s="40"/>
      <c r="O1018" s="30" t="n">
        <f aca="false">K1018+N1018</f>
        <v>520000</v>
      </c>
      <c r="P1018" s="39" t="n">
        <f aca="false">O1018/J1018</f>
        <v>12661.3099586073</v>
      </c>
      <c r="Q1018" s="19" t="s">
        <v>1181</v>
      </c>
      <c r="R1018" s="22" t="s">
        <v>27</v>
      </c>
      <c r="S1018" s="19" t="s">
        <v>29</v>
      </c>
      <c r="T1018" s="19" t="s">
        <v>30</v>
      </c>
      <c r="U1018" s="19" t="s">
        <v>31</v>
      </c>
      <c r="V1018" s="41" t="n">
        <v>43514</v>
      </c>
      <c r="W1018" s="34" t="s">
        <v>1362</v>
      </c>
      <c r="X1018" s="18"/>
      <c r="Y1018" s="35"/>
      <c r="Z1018" s="36"/>
    </row>
    <row r="1019" customFormat="false" ht="13.8" hidden="false" customHeight="false" outlineLevel="0" collapsed="false">
      <c r="A1019" s="18"/>
      <c r="B1019" s="19" t="n">
        <v>3972</v>
      </c>
      <c r="C1019" s="20" t="n">
        <v>43374</v>
      </c>
      <c r="D1019" s="38" t="s">
        <v>22</v>
      </c>
      <c r="E1019" s="22" t="s">
        <v>42</v>
      </c>
      <c r="F1019" s="34" t="s">
        <v>51</v>
      </c>
      <c r="G1019" s="19" t="n">
        <v>2</v>
      </c>
      <c r="H1019" s="19" t="n">
        <v>40</v>
      </c>
      <c r="I1019" s="19" t="n">
        <v>2</v>
      </c>
      <c r="J1019" s="19" t="n">
        <v>46.45</v>
      </c>
      <c r="K1019" s="39" t="n">
        <v>410000</v>
      </c>
      <c r="L1019" s="39" t="n">
        <f aca="false">K1019/J1019</f>
        <v>8826.69537136706</v>
      </c>
      <c r="M1019" s="18"/>
      <c r="N1019" s="40"/>
      <c r="O1019" s="30" t="n">
        <f aca="false">K1019+N1019</f>
        <v>410000</v>
      </c>
      <c r="P1019" s="39" t="n">
        <f aca="false">O1019/J1019</f>
        <v>8826.69537136706</v>
      </c>
      <c r="Q1019" s="19" t="s">
        <v>861</v>
      </c>
      <c r="R1019" s="22" t="s">
        <v>26</v>
      </c>
      <c r="S1019" s="19" t="s">
        <v>29</v>
      </c>
      <c r="T1019" s="19" t="s">
        <v>30</v>
      </c>
      <c r="U1019" s="19" t="s">
        <v>31</v>
      </c>
      <c r="V1019" s="41" t="n">
        <v>43514</v>
      </c>
      <c r="W1019" s="34" t="s">
        <v>1363</v>
      </c>
      <c r="X1019" s="18"/>
    </row>
    <row r="1020" customFormat="false" ht="13.8" hidden="false" customHeight="false" outlineLevel="0" collapsed="false">
      <c r="A1020" s="18"/>
      <c r="B1020" s="19" t="n">
        <v>4246</v>
      </c>
      <c r="C1020" s="20" t="n">
        <v>43375</v>
      </c>
      <c r="D1020" s="38" t="s">
        <v>22</v>
      </c>
      <c r="E1020" s="22" t="s">
        <v>229</v>
      </c>
      <c r="F1020" s="34" t="s">
        <v>1298</v>
      </c>
      <c r="G1020" s="19" t="s">
        <v>146</v>
      </c>
      <c r="H1020" s="19" t="n">
        <v>44</v>
      </c>
      <c r="I1020" s="19" t="n">
        <v>6</v>
      </c>
      <c r="J1020" s="19" t="n">
        <v>43.3</v>
      </c>
      <c r="K1020" s="39" t="n">
        <v>425000</v>
      </c>
      <c r="L1020" s="39" t="n">
        <f aca="false">K1020/J1020</f>
        <v>9815.24249422633</v>
      </c>
      <c r="M1020" s="18"/>
      <c r="N1020" s="40"/>
      <c r="O1020" s="30" t="n">
        <f aca="false">K1020+N1020</f>
        <v>425000</v>
      </c>
      <c r="P1020" s="39" t="n">
        <f aca="false">O1020/J1020</f>
        <v>9815.24249422633</v>
      </c>
      <c r="Q1020" s="19" t="s">
        <v>903</v>
      </c>
      <c r="R1020" s="22" t="s">
        <v>36</v>
      </c>
      <c r="S1020" s="19" t="s">
        <v>29</v>
      </c>
      <c r="T1020" s="19" t="s">
        <v>30</v>
      </c>
      <c r="U1020" s="19" t="s">
        <v>31</v>
      </c>
      <c r="V1020" s="41" t="n">
        <v>43514</v>
      </c>
      <c r="W1020" s="34" t="s">
        <v>1364</v>
      </c>
      <c r="X1020" s="18"/>
      <c r="AMJ1020" s="32"/>
    </row>
    <row r="1021" s="32" customFormat="true" ht="13.8" hidden="false" customHeight="false" outlineLevel="0" collapsed="false">
      <c r="A1021" s="18"/>
      <c r="B1021" s="19" t="n">
        <v>4585</v>
      </c>
      <c r="C1021" s="20" t="n">
        <v>43375</v>
      </c>
      <c r="D1021" s="38" t="s">
        <v>22</v>
      </c>
      <c r="E1021" s="22" t="s">
        <v>75</v>
      </c>
      <c r="F1021" s="34" t="s">
        <v>1365</v>
      </c>
      <c r="G1021" s="19" t="n">
        <v>105</v>
      </c>
      <c r="H1021" s="19" t="n">
        <v>84</v>
      </c>
      <c r="I1021" s="19" t="n">
        <v>7</v>
      </c>
      <c r="J1021" s="19" t="n">
        <v>88.87</v>
      </c>
      <c r="K1021" s="39" t="n">
        <v>930000</v>
      </c>
      <c r="L1021" s="39" t="n">
        <f aca="false">K1021/J1021</f>
        <v>10464.7237537977</v>
      </c>
      <c r="M1021" s="34"/>
      <c r="N1021" s="40"/>
      <c r="O1021" s="30" t="n">
        <f aca="false">K1021+N1021</f>
        <v>930000</v>
      </c>
      <c r="P1021" s="39" t="n">
        <f aca="false">O1021/J1021</f>
        <v>10464.7237537977</v>
      </c>
      <c r="Q1021" s="19" t="s">
        <v>1366</v>
      </c>
      <c r="R1021" s="22" t="s">
        <v>36</v>
      </c>
      <c r="S1021" s="19" t="s">
        <v>29</v>
      </c>
      <c r="T1021" s="19" t="s">
        <v>30</v>
      </c>
      <c r="U1021" s="19" t="s">
        <v>31</v>
      </c>
      <c r="V1021" s="41" t="n">
        <v>43514</v>
      </c>
      <c r="W1021" s="34" t="s">
        <v>1367</v>
      </c>
      <c r="X1021" s="34"/>
    </row>
    <row r="1022" customFormat="false" ht="13.8" hidden="false" customHeight="false" outlineLevel="0" collapsed="false">
      <c r="A1022" s="18"/>
      <c r="B1022" s="19" t="n">
        <v>5995</v>
      </c>
      <c r="C1022" s="20" t="n">
        <v>43375</v>
      </c>
      <c r="D1022" s="38" t="s">
        <v>22</v>
      </c>
      <c r="E1022" s="22" t="s">
        <v>53</v>
      </c>
      <c r="F1022" s="34" t="s">
        <v>366</v>
      </c>
      <c r="G1022" s="19" t="n">
        <v>34</v>
      </c>
      <c r="H1022" s="19" t="n">
        <v>310</v>
      </c>
      <c r="I1022" s="19" t="n">
        <v>3</v>
      </c>
      <c r="J1022" s="19" t="n">
        <v>47.1</v>
      </c>
      <c r="K1022" s="39" t="n">
        <v>345000</v>
      </c>
      <c r="L1022" s="39" t="n">
        <f aca="false">K1022/J1022</f>
        <v>7324.84076433121</v>
      </c>
      <c r="M1022" s="34" t="s">
        <v>1368</v>
      </c>
      <c r="N1022" s="40"/>
      <c r="O1022" s="30" t="n">
        <f aca="false">K1022+N1022</f>
        <v>345000</v>
      </c>
      <c r="P1022" s="39" t="n">
        <f aca="false">O1022/J1022</f>
        <v>7324.84076433121</v>
      </c>
      <c r="Q1022" s="19" t="s">
        <v>1369</v>
      </c>
      <c r="R1022" s="22" t="s">
        <v>26</v>
      </c>
      <c r="S1022" s="19" t="s">
        <v>29</v>
      </c>
      <c r="T1022" s="19" t="s">
        <v>30</v>
      </c>
      <c r="U1022" s="19" t="s">
        <v>31</v>
      </c>
      <c r="V1022" s="41" t="n">
        <v>43514</v>
      </c>
      <c r="W1022" s="34" t="s">
        <v>1370</v>
      </c>
      <c r="X1022" s="18"/>
    </row>
    <row r="1023" customFormat="false" ht="13.8" hidden="false" customHeight="false" outlineLevel="0" collapsed="false">
      <c r="A1023" s="18"/>
      <c r="B1023" s="19" t="n">
        <v>5995</v>
      </c>
      <c r="C1023" s="20" t="n">
        <v>43375</v>
      </c>
      <c r="D1023" s="38" t="s">
        <v>22</v>
      </c>
      <c r="E1023" s="22" t="s">
        <v>53</v>
      </c>
      <c r="F1023" s="34" t="s">
        <v>366</v>
      </c>
      <c r="G1023" s="19" t="n">
        <v>34</v>
      </c>
      <c r="H1023" s="19" t="n">
        <v>310</v>
      </c>
      <c r="I1023" s="19" t="n">
        <v>3</v>
      </c>
      <c r="J1023" s="19" t="n">
        <v>47.1</v>
      </c>
      <c r="K1023" s="39" t="n">
        <v>345000</v>
      </c>
      <c r="L1023" s="39" t="n">
        <f aca="false">K1023/J1023</f>
        <v>7324.84076433121</v>
      </c>
      <c r="M1023" s="34" t="s">
        <v>1368</v>
      </c>
      <c r="N1023" s="40"/>
      <c r="O1023" s="30" t="n">
        <f aca="false">K1023+N1023</f>
        <v>345000</v>
      </c>
      <c r="P1023" s="39" t="n">
        <f aca="false">O1023/J1023</f>
        <v>7324.84076433121</v>
      </c>
      <c r="Q1023" s="19" t="s">
        <v>1369</v>
      </c>
      <c r="R1023" s="22" t="s">
        <v>26</v>
      </c>
      <c r="S1023" s="19" t="s">
        <v>29</v>
      </c>
      <c r="T1023" s="19" t="s">
        <v>30</v>
      </c>
      <c r="U1023" s="19" t="s">
        <v>31</v>
      </c>
      <c r="V1023" s="41" t="n">
        <v>43514</v>
      </c>
      <c r="W1023" s="34" t="s">
        <v>1370</v>
      </c>
      <c r="X1023" s="18"/>
    </row>
    <row r="1024" customFormat="false" ht="13.8" hidden="false" customHeight="false" outlineLevel="0" collapsed="false">
      <c r="A1024" s="18"/>
      <c r="B1024" s="19" t="n">
        <v>15647</v>
      </c>
      <c r="C1024" s="20" t="n">
        <v>43375</v>
      </c>
      <c r="D1024" s="38" t="s">
        <v>22</v>
      </c>
      <c r="E1024" s="22" t="s">
        <v>281</v>
      </c>
      <c r="F1024" s="34" t="s">
        <v>282</v>
      </c>
      <c r="G1024" s="19" t="s">
        <v>321</v>
      </c>
      <c r="H1024" s="19" t="n">
        <v>28</v>
      </c>
      <c r="I1024" s="19" t="n">
        <v>2</v>
      </c>
      <c r="J1024" s="19" t="n">
        <v>44</v>
      </c>
      <c r="K1024" s="39" t="n">
        <v>470000</v>
      </c>
      <c r="L1024" s="39" t="n">
        <f aca="false">K1024/J1024</f>
        <v>10681.8181818182</v>
      </c>
      <c r="M1024" s="34"/>
      <c r="N1024" s="40"/>
      <c r="O1024" s="30" t="n">
        <f aca="false">K1024+N1024</f>
        <v>470000</v>
      </c>
      <c r="P1024" s="39" t="n">
        <f aca="false">O1024/J1024</f>
        <v>10681.8181818182</v>
      </c>
      <c r="Q1024" s="19" t="s">
        <v>1371</v>
      </c>
      <c r="R1024" s="22" t="s">
        <v>36</v>
      </c>
      <c r="S1024" s="19" t="s">
        <v>29</v>
      </c>
      <c r="T1024" s="19" t="s">
        <v>30</v>
      </c>
      <c r="U1024" s="19" t="s">
        <v>31</v>
      </c>
      <c r="V1024" s="41" t="n">
        <v>43514</v>
      </c>
      <c r="W1024" s="34" t="s">
        <v>1372</v>
      </c>
      <c r="X1024" s="34"/>
    </row>
    <row r="1025" customFormat="false" ht="13.8" hidden="false" customHeight="false" outlineLevel="0" collapsed="false">
      <c r="A1025" s="18"/>
      <c r="B1025" s="19" t="s">
        <v>887</v>
      </c>
      <c r="C1025" s="20" t="n">
        <v>43375</v>
      </c>
      <c r="D1025" s="38" t="s">
        <v>22</v>
      </c>
      <c r="E1025" s="22" t="s">
        <v>281</v>
      </c>
      <c r="F1025" s="45" t="s">
        <v>1373</v>
      </c>
      <c r="G1025" s="19" t="s">
        <v>1374</v>
      </c>
      <c r="H1025" s="19"/>
      <c r="I1025" s="19" t="n">
        <v>2</v>
      </c>
      <c r="J1025" s="25" t="n">
        <v>52.5</v>
      </c>
      <c r="K1025" s="39" t="n">
        <v>470000</v>
      </c>
      <c r="L1025" s="39" t="n">
        <f aca="false">K1025/J1025</f>
        <v>8952.38095238095</v>
      </c>
      <c r="M1025" s="34"/>
      <c r="N1025" s="40"/>
      <c r="O1025" s="30" t="n">
        <f aca="false">K1025+N1025</f>
        <v>470000</v>
      </c>
      <c r="P1025" s="39" t="n">
        <f aca="false">O1025/J1025</f>
        <v>8952.38095238095</v>
      </c>
      <c r="Q1025" s="19" t="s">
        <v>889</v>
      </c>
      <c r="R1025" s="19" t="n">
        <v>3</v>
      </c>
      <c r="S1025" s="19" t="s">
        <v>890</v>
      </c>
      <c r="T1025" s="19"/>
      <c r="U1025" s="19" t="s">
        <v>31</v>
      </c>
      <c r="V1025" s="41" t="n">
        <v>43727</v>
      </c>
      <c r="W1025" s="18"/>
      <c r="X1025" s="18"/>
    </row>
    <row r="1026" customFormat="false" ht="13.8" hidden="false" customHeight="false" outlineLevel="0" collapsed="false">
      <c r="A1026" s="18"/>
      <c r="B1026" s="19" t="n">
        <v>3449</v>
      </c>
      <c r="C1026" s="20" t="n">
        <v>43375</v>
      </c>
      <c r="D1026" s="38" t="s">
        <v>22</v>
      </c>
      <c r="E1026" s="22" t="s">
        <v>137</v>
      </c>
      <c r="F1026" s="34" t="s">
        <v>138</v>
      </c>
      <c r="G1026" s="19" t="n">
        <v>26</v>
      </c>
      <c r="H1026" s="19" t="n">
        <v>61</v>
      </c>
      <c r="I1026" s="19" t="n">
        <v>7</v>
      </c>
      <c r="J1026" s="19" t="n">
        <v>48.31</v>
      </c>
      <c r="K1026" s="39" t="n">
        <v>460000</v>
      </c>
      <c r="L1026" s="39" t="n">
        <f aca="false">K1026/J1026</f>
        <v>9521.83812875181</v>
      </c>
      <c r="M1026" s="34"/>
      <c r="N1026" s="40"/>
      <c r="O1026" s="30" t="n">
        <f aca="false">K1026+N1026</f>
        <v>460000</v>
      </c>
      <c r="P1026" s="39" t="n">
        <f aca="false">O1026/J1026</f>
        <v>9521.83812875181</v>
      </c>
      <c r="Q1026" s="19" t="s">
        <v>1375</v>
      </c>
      <c r="R1026" s="22" t="s">
        <v>26</v>
      </c>
      <c r="S1026" s="19" t="s">
        <v>29</v>
      </c>
      <c r="T1026" s="19" t="s">
        <v>30</v>
      </c>
      <c r="U1026" s="19" t="s">
        <v>31</v>
      </c>
      <c r="V1026" s="41" t="n">
        <v>43514</v>
      </c>
      <c r="W1026" s="34" t="s">
        <v>1376</v>
      </c>
      <c r="X1026" s="34"/>
    </row>
    <row r="1027" customFormat="false" ht="13.8" hidden="false" customHeight="false" outlineLevel="0" collapsed="false">
      <c r="A1027" s="18"/>
      <c r="B1027" s="19" t="n">
        <v>3449</v>
      </c>
      <c r="C1027" s="20" t="n">
        <v>43375</v>
      </c>
      <c r="D1027" s="38" t="s">
        <v>22</v>
      </c>
      <c r="E1027" s="22" t="s">
        <v>137</v>
      </c>
      <c r="F1027" s="34" t="s">
        <v>138</v>
      </c>
      <c r="G1027" s="19" t="n">
        <v>26</v>
      </c>
      <c r="H1027" s="19" t="n">
        <v>61</v>
      </c>
      <c r="I1027" s="19" t="n">
        <v>7</v>
      </c>
      <c r="J1027" s="19" t="n">
        <v>48.31</v>
      </c>
      <c r="K1027" s="39" t="n">
        <v>460000</v>
      </c>
      <c r="L1027" s="39" t="n">
        <f aca="false">K1027/J1027</f>
        <v>9521.83812875181</v>
      </c>
      <c r="M1027" s="34"/>
      <c r="N1027" s="40"/>
      <c r="O1027" s="30" t="n">
        <f aca="false">K1027+N1027</f>
        <v>460000</v>
      </c>
      <c r="P1027" s="39" t="n">
        <f aca="false">O1027/J1027</f>
        <v>9521.83812875181</v>
      </c>
      <c r="Q1027" s="19" t="s">
        <v>1375</v>
      </c>
      <c r="R1027" s="22" t="s">
        <v>26</v>
      </c>
      <c r="S1027" s="19" t="s">
        <v>29</v>
      </c>
      <c r="T1027" s="19" t="s">
        <v>30</v>
      </c>
      <c r="U1027" s="19" t="s">
        <v>31</v>
      </c>
      <c r="V1027" s="41" t="n">
        <v>43514</v>
      </c>
      <c r="W1027" s="34" t="s">
        <v>1376</v>
      </c>
      <c r="X1027" s="34"/>
    </row>
    <row r="1028" customFormat="false" ht="13.8" hidden="false" customHeight="false" outlineLevel="0" collapsed="false">
      <c r="A1028" s="18"/>
      <c r="B1028" s="19" t="n">
        <v>3449</v>
      </c>
      <c r="C1028" s="20" t="n">
        <v>43375</v>
      </c>
      <c r="D1028" s="38" t="s">
        <v>22</v>
      </c>
      <c r="E1028" s="22" t="s">
        <v>137</v>
      </c>
      <c r="F1028" s="34" t="s">
        <v>138</v>
      </c>
      <c r="G1028" s="19" t="n">
        <v>26</v>
      </c>
      <c r="H1028" s="19" t="n">
        <v>61</v>
      </c>
      <c r="I1028" s="19" t="n">
        <v>7</v>
      </c>
      <c r="J1028" s="19" t="n">
        <v>48.31</v>
      </c>
      <c r="K1028" s="39" t="n">
        <v>460000</v>
      </c>
      <c r="L1028" s="39" t="n">
        <f aca="false">K1028/J1028</f>
        <v>9521.83812875181</v>
      </c>
      <c r="M1028" s="34" t="s">
        <v>189</v>
      </c>
      <c r="N1028" s="40"/>
      <c r="O1028" s="30" t="n">
        <f aca="false">K1028+N1028</f>
        <v>460000</v>
      </c>
      <c r="P1028" s="39" t="n">
        <f aca="false">O1028/J1028</f>
        <v>9521.83812875181</v>
      </c>
      <c r="Q1028" s="19" t="s">
        <v>1377</v>
      </c>
      <c r="R1028" s="22" t="s">
        <v>26</v>
      </c>
      <c r="S1028" s="19" t="s">
        <v>29</v>
      </c>
      <c r="T1028" s="19" t="s">
        <v>30</v>
      </c>
      <c r="U1028" s="19" t="s">
        <v>31</v>
      </c>
      <c r="V1028" s="41" t="n">
        <v>43514</v>
      </c>
      <c r="W1028" s="34" t="s">
        <v>1376</v>
      </c>
      <c r="X1028" s="18"/>
    </row>
    <row r="1029" customFormat="false" ht="13.8" hidden="false" customHeight="false" outlineLevel="0" collapsed="false">
      <c r="A1029" s="18"/>
      <c r="B1029" s="19" t="n">
        <v>3449</v>
      </c>
      <c r="C1029" s="20" t="n">
        <v>43375</v>
      </c>
      <c r="D1029" s="38" t="s">
        <v>22</v>
      </c>
      <c r="E1029" s="22" t="s">
        <v>137</v>
      </c>
      <c r="F1029" s="34" t="s">
        <v>138</v>
      </c>
      <c r="G1029" s="19" t="n">
        <v>26</v>
      </c>
      <c r="H1029" s="19" t="n">
        <v>61</v>
      </c>
      <c r="I1029" s="19" t="n">
        <v>7</v>
      </c>
      <c r="J1029" s="19" t="n">
        <v>48.31</v>
      </c>
      <c r="K1029" s="39" t="n">
        <v>460000</v>
      </c>
      <c r="L1029" s="39" t="n">
        <f aca="false">K1029/J1029</f>
        <v>9521.83812875181</v>
      </c>
      <c r="M1029" s="34" t="s">
        <v>189</v>
      </c>
      <c r="N1029" s="40"/>
      <c r="O1029" s="30" t="n">
        <f aca="false">K1029+N1029</f>
        <v>460000</v>
      </c>
      <c r="P1029" s="39" t="n">
        <f aca="false">O1029/J1029</f>
        <v>9521.83812875181</v>
      </c>
      <c r="Q1029" s="19" t="s">
        <v>1377</v>
      </c>
      <c r="R1029" s="22" t="s">
        <v>26</v>
      </c>
      <c r="S1029" s="19" t="s">
        <v>29</v>
      </c>
      <c r="T1029" s="19" t="s">
        <v>30</v>
      </c>
      <c r="U1029" s="19" t="s">
        <v>31</v>
      </c>
      <c r="V1029" s="41" t="n">
        <v>43514</v>
      </c>
      <c r="W1029" s="34" t="s">
        <v>1376</v>
      </c>
      <c r="X1029" s="18"/>
      <c r="Z1029" s="33"/>
    </row>
    <row r="1030" customFormat="false" ht="13.8" hidden="false" customHeight="false" outlineLevel="0" collapsed="false">
      <c r="A1030" s="18"/>
      <c r="B1030" s="19" t="n">
        <v>5995</v>
      </c>
      <c r="C1030" s="20" t="n">
        <v>43375</v>
      </c>
      <c r="D1030" s="38" t="s">
        <v>22</v>
      </c>
      <c r="E1030" s="22" t="s">
        <v>53</v>
      </c>
      <c r="F1030" s="34" t="s">
        <v>1102</v>
      </c>
      <c r="G1030" s="19" t="n">
        <v>34</v>
      </c>
      <c r="H1030" s="19" t="n">
        <v>310</v>
      </c>
      <c r="I1030" s="19" t="n">
        <v>3</v>
      </c>
      <c r="J1030" s="19" t="n">
        <v>45.8</v>
      </c>
      <c r="K1030" s="39" t="n">
        <v>345000</v>
      </c>
      <c r="L1030" s="39" t="n">
        <f aca="false">K1030/J1030</f>
        <v>7532.75109170306</v>
      </c>
      <c r="M1030" s="18"/>
      <c r="N1030" s="40"/>
      <c r="O1030" s="30" t="n">
        <f aca="false">K1030+N1030</f>
        <v>345000</v>
      </c>
      <c r="P1030" s="39" t="n">
        <f aca="false">O1030/J1030</f>
        <v>7532.75109170306</v>
      </c>
      <c r="Q1030" s="19" t="s">
        <v>1378</v>
      </c>
      <c r="R1030" s="22" t="s">
        <v>36</v>
      </c>
      <c r="S1030" s="19" t="s">
        <v>29</v>
      </c>
      <c r="T1030" s="19" t="s">
        <v>30</v>
      </c>
      <c r="U1030" s="19" t="s">
        <v>31</v>
      </c>
      <c r="V1030" s="41" t="n">
        <v>43514</v>
      </c>
      <c r="W1030" s="34" t="s">
        <v>1370</v>
      </c>
      <c r="X1030" s="18"/>
    </row>
    <row r="1031" customFormat="false" ht="13.8" hidden="false" customHeight="false" outlineLevel="0" collapsed="false">
      <c r="A1031" s="18"/>
      <c r="B1031" s="19" t="n">
        <v>5995</v>
      </c>
      <c r="C1031" s="20" t="n">
        <v>43375</v>
      </c>
      <c r="D1031" s="38" t="s">
        <v>22</v>
      </c>
      <c r="E1031" s="22" t="s">
        <v>53</v>
      </c>
      <c r="F1031" s="34" t="s">
        <v>1102</v>
      </c>
      <c r="G1031" s="19" t="n">
        <v>34</v>
      </c>
      <c r="H1031" s="19" t="n">
        <v>310</v>
      </c>
      <c r="I1031" s="19" t="n">
        <v>3</v>
      </c>
      <c r="J1031" s="19" t="n">
        <v>45.8</v>
      </c>
      <c r="K1031" s="39" t="n">
        <v>345000</v>
      </c>
      <c r="L1031" s="39" t="n">
        <f aca="false">K1031/J1031</f>
        <v>7532.75109170306</v>
      </c>
      <c r="M1031" s="18"/>
      <c r="N1031" s="40"/>
      <c r="O1031" s="30" t="n">
        <f aca="false">K1031+N1031</f>
        <v>345000</v>
      </c>
      <c r="P1031" s="39" t="n">
        <f aca="false">O1031/J1031</f>
        <v>7532.75109170306</v>
      </c>
      <c r="Q1031" s="19" t="s">
        <v>1378</v>
      </c>
      <c r="R1031" s="22" t="s">
        <v>36</v>
      </c>
      <c r="S1031" s="19" t="s">
        <v>29</v>
      </c>
      <c r="T1031" s="19" t="s">
        <v>30</v>
      </c>
      <c r="U1031" s="19" t="s">
        <v>31</v>
      </c>
      <c r="V1031" s="41" t="n">
        <v>43514</v>
      </c>
      <c r="W1031" s="34" t="s">
        <v>1370</v>
      </c>
      <c r="X1031" s="18"/>
    </row>
    <row r="1032" customFormat="false" ht="13.8" hidden="false" customHeight="false" outlineLevel="0" collapsed="false">
      <c r="A1032" s="18"/>
      <c r="B1032" s="19" t="n">
        <v>10401</v>
      </c>
      <c r="C1032" s="20" t="n">
        <v>43375</v>
      </c>
      <c r="D1032" s="38" t="s">
        <v>22</v>
      </c>
      <c r="E1032" s="22" t="s">
        <v>278</v>
      </c>
      <c r="F1032" s="34" t="s">
        <v>688</v>
      </c>
      <c r="G1032" s="19" t="s">
        <v>274</v>
      </c>
      <c r="H1032" s="19" t="n">
        <v>10</v>
      </c>
      <c r="I1032" s="19" t="n">
        <v>2</v>
      </c>
      <c r="J1032" s="19" t="n">
        <v>22.42</v>
      </c>
      <c r="K1032" s="39" t="n">
        <v>230000</v>
      </c>
      <c r="L1032" s="39" t="n">
        <f aca="false">K1032/J1032</f>
        <v>10258.6975914362</v>
      </c>
      <c r="M1032" s="34"/>
      <c r="N1032" s="40"/>
      <c r="O1032" s="30" t="n">
        <f aca="false">K1032+N1032</f>
        <v>230000</v>
      </c>
      <c r="P1032" s="39" t="n">
        <f aca="false">O1032/J1032</f>
        <v>10258.6975914362</v>
      </c>
      <c r="Q1032" s="19" t="s">
        <v>1287</v>
      </c>
      <c r="R1032" s="22" t="s">
        <v>36</v>
      </c>
      <c r="S1032" s="19" t="s">
        <v>29</v>
      </c>
      <c r="T1032" s="19" t="s">
        <v>30</v>
      </c>
      <c r="U1032" s="19" t="s">
        <v>31</v>
      </c>
      <c r="V1032" s="41" t="n">
        <v>43514</v>
      </c>
      <c r="W1032" s="34" t="s">
        <v>1379</v>
      </c>
      <c r="X1032" s="34"/>
    </row>
    <row r="1033" customFormat="false" ht="13.8" hidden="false" customHeight="false" outlineLevel="0" collapsed="false">
      <c r="A1033" s="18"/>
      <c r="B1033" s="19" t="n">
        <v>3359</v>
      </c>
      <c r="C1033" s="20" t="n">
        <v>43375</v>
      </c>
      <c r="D1033" s="38" t="s">
        <v>22</v>
      </c>
      <c r="E1033" s="22" t="s">
        <v>1380</v>
      </c>
      <c r="F1033" s="34" t="s">
        <v>1381</v>
      </c>
      <c r="G1033" s="19" t="s">
        <v>1382</v>
      </c>
      <c r="H1033" s="19" t="n">
        <v>4</v>
      </c>
      <c r="I1033" s="19" t="s">
        <v>887</v>
      </c>
      <c r="J1033" s="19" t="n">
        <v>67.44</v>
      </c>
      <c r="K1033" s="39" t="n">
        <v>925000</v>
      </c>
      <c r="L1033" s="39" t="n">
        <f aca="false">K1033/J1033</f>
        <v>13715.8956109134</v>
      </c>
      <c r="M1033" s="34"/>
      <c r="N1033" s="40"/>
      <c r="O1033" s="30" t="n">
        <f aca="false">K1033+N1033</f>
        <v>925000</v>
      </c>
      <c r="P1033" s="39" t="n">
        <f aca="false">O1033/J1033</f>
        <v>13715.8956109134</v>
      </c>
      <c r="Q1033" s="19" t="s">
        <v>1383</v>
      </c>
      <c r="R1033" s="22"/>
      <c r="S1033" s="19" t="s">
        <v>29</v>
      </c>
      <c r="T1033" s="19" t="s">
        <v>30</v>
      </c>
      <c r="U1033" s="19" t="s">
        <v>31</v>
      </c>
      <c r="V1033" s="41" t="n">
        <v>43514</v>
      </c>
      <c r="W1033" s="34" t="s">
        <v>1384</v>
      </c>
      <c r="X1033" s="18"/>
    </row>
    <row r="1034" customFormat="false" ht="13.8" hidden="false" customHeight="false" outlineLevel="0" collapsed="false">
      <c r="A1034" s="18"/>
      <c r="B1034" s="19" t="n">
        <v>3359</v>
      </c>
      <c r="C1034" s="20" t="n">
        <v>43375</v>
      </c>
      <c r="D1034" s="38" t="s">
        <v>22</v>
      </c>
      <c r="E1034" s="22" t="s">
        <v>1380</v>
      </c>
      <c r="F1034" s="34" t="s">
        <v>1381</v>
      </c>
      <c r="G1034" s="19" t="s">
        <v>1382</v>
      </c>
      <c r="H1034" s="19" t="n">
        <v>4</v>
      </c>
      <c r="I1034" s="19" t="s">
        <v>887</v>
      </c>
      <c r="J1034" s="19" t="n">
        <v>67.44</v>
      </c>
      <c r="K1034" s="39" t="n">
        <v>925000</v>
      </c>
      <c r="L1034" s="39" t="n">
        <f aca="false">K1034/J1034</f>
        <v>13715.8956109134</v>
      </c>
      <c r="M1034" s="34"/>
      <c r="N1034" s="40"/>
      <c r="O1034" s="30" t="n">
        <f aca="false">K1034+N1034</f>
        <v>925000</v>
      </c>
      <c r="P1034" s="39" t="n">
        <f aca="false">O1034/J1034</f>
        <v>13715.8956109134</v>
      </c>
      <c r="Q1034" s="19" t="s">
        <v>1383</v>
      </c>
      <c r="R1034" s="22"/>
      <c r="S1034" s="19" t="s">
        <v>29</v>
      </c>
      <c r="T1034" s="19" t="s">
        <v>30</v>
      </c>
      <c r="U1034" s="19" t="s">
        <v>31</v>
      </c>
      <c r="V1034" s="41" t="n">
        <v>43514</v>
      </c>
      <c r="W1034" s="34" t="s">
        <v>1384</v>
      </c>
      <c r="X1034" s="34"/>
      <c r="Y1034" s="35"/>
      <c r="Z1034" s="43"/>
    </row>
    <row r="1035" customFormat="false" ht="13.8" hidden="false" customHeight="false" outlineLevel="0" collapsed="false">
      <c r="A1035" s="18"/>
      <c r="B1035" s="19" t="s">
        <v>887</v>
      </c>
      <c r="C1035" s="20" t="n">
        <v>43375</v>
      </c>
      <c r="D1035" s="38" t="s">
        <v>22</v>
      </c>
      <c r="E1035" s="22" t="s">
        <v>652</v>
      </c>
      <c r="F1035" s="45" t="s">
        <v>54</v>
      </c>
      <c r="G1035" s="19" t="n">
        <v>48</v>
      </c>
      <c r="H1035" s="19"/>
      <c r="I1035" s="19" t="n">
        <v>16</v>
      </c>
      <c r="J1035" s="25" t="n">
        <v>52.2</v>
      </c>
      <c r="K1035" s="39" t="n">
        <v>430000</v>
      </c>
      <c r="L1035" s="39" t="n">
        <f aca="false">K1035/J1035</f>
        <v>8237.54789272031</v>
      </c>
      <c r="M1035" s="34"/>
      <c r="N1035" s="40"/>
      <c r="O1035" s="30" t="n">
        <f aca="false">K1035+N1035</f>
        <v>430000</v>
      </c>
      <c r="P1035" s="39" t="n">
        <f aca="false">O1035/J1035</f>
        <v>8237.54789272031</v>
      </c>
      <c r="Q1035" s="19" t="s">
        <v>889</v>
      </c>
      <c r="R1035" s="19" t="n">
        <v>3</v>
      </c>
      <c r="S1035" s="19" t="s">
        <v>1141</v>
      </c>
      <c r="T1035" s="19"/>
      <c r="U1035" s="19" t="s">
        <v>31</v>
      </c>
      <c r="V1035" s="41" t="n">
        <v>43727</v>
      </c>
      <c r="W1035" s="34"/>
      <c r="X1035" s="34"/>
    </row>
    <row r="1036" customFormat="false" ht="13.8" hidden="false" customHeight="false" outlineLevel="0" collapsed="false">
      <c r="A1036" s="18"/>
      <c r="B1036" s="19" t="n">
        <v>13229</v>
      </c>
      <c r="C1036" s="20" t="n">
        <v>43376</v>
      </c>
      <c r="D1036" s="38" t="s">
        <v>22</v>
      </c>
      <c r="E1036" s="22" t="s">
        <v>80</v>
      </c>
      <c r="F1036" s="34" t="s">
        <v>162</v>
      </c>
      <c r="G1036" s="19" t="n">
        <v>3</v>
      </c>
      <c r="H1036" s="19" t="n">
        <v>58</v>
      </c>
      <c r="I1036" s="19" t="n">
        <v>2</v>
      </c>
      <c r="J1036" s="19" t="n">
        <v>74.26</v>
      </c>
      <c r="K1036" s="39" t="n">
        <v>562400</v>
      </c>
      <c r="L1036" s="39" t="n">
        <f aca="false">ROUND(K1036/J1036,2)</f>
        <v>7573.39</v>
      </c>
      <c r="M1036" s="34" t="s">
        <v>987</v>
      </c>
      <c r="N1036" s="40" t="n">
        <v>31600</v>
      </c>
      <c r="O1036" s="30" t="n">
        <f aca="false">K1036+N1036</f>
        <v>594000</v>
      </c>
      <c r="P1036" s="39" t="n">
        <f aca="false">O1036/J1036</f>
        <v>7998.92270401293</v>
      </c>
      <c r="Q1036" s="19" t="s">
        <v>1385</v>
      </c>
      <c r="R1036" s="22" t="s">
        <v>26</v>
      </c>
      <c r="S1036" s="19"/>
      <c r="T1036" s="19"/>
      <c r="U1036" s="19"/>
      <c r="V1036" s="19"/>
      <c r="W1036" s="34" t="s">
        <v>1386</v>
      </c>
      <c r="X1036" s="18"/>
    </row>
    <row r="1037" customFormat="false" ht="13.8" hidden="false" customHeight="false" outlineLevel="0" collapsed="false">
      <c r="A1037" s="18"/>
      <c r="B1037" s="19" t="n">
        <v>13229</v>
      </c>
      <c r="C1037" s="20" t="n">
        <v>43376</v>
      </c>
      <c r="D1037" s="38" t="s">
        <v>22</v>
      </c>
      <c r="E1037" s="22" t="s">
        <v>80</v>
      </c>
      <c r="F1037" s="34" t="s">
        <v>162</v>
      </c>
      <c r="G1037" s="19" t="n">
        <v>3</v>
      </c>
      <c r="H1037" s="19"/>
      <c r="I1037" s="19" t="n">
        <v>2</v>
      </c>
      <c r="J1037" s="25" t="n">
        <v>74.26</v>
      </c>
      <c r="K1037" s="39" t="n">
        <v>562400</v>
      </c>
      <c r="L1037" s="39" t="n">
        <v>7573.39</v>
      </c>
      <c r="M1037" s="34" t="s">
        <v>987</v>
      </c>
      <c r="N1037" s="40" t="n">
        <v>31600</v>
      </c>
      <c r="O1037" s="39" t="n">
        <v>594000</v>
      </c>
      <c r="P1037" s="39" t="n">
        <v>7998.92270401293</v>
      </c>
      <c r="Q1037" s="19" t="s">
        <v>1385</v>
      </c>
      <c r="R1037" s="22" t="s">
        <v>26</v>
      </c>
      <c r="S1037" s="19"/>
      <c r="T1037" s="19"/>
      <c r="U1037" s="19"/>
      <c r="V1037" s="19"/>
      <c r="W1037" s="34" t="s">
        <v>1386</v>
      </c>
      <c r="X1037" s="18"/>
      <c r="AMJ1037" s="32"/>
    </row>
    <row r="1038" s="32" customFormat="true" ht="13.8" hidden="false" customHeight="false" outlineLevel="0" collapsed="false">
      <c r="A1038" s="18"/>
      <c r="B1038" s="19" t="n">
        <v>15404</v>
      </c>
      <c r="C1038" s="20" t="n">
        <v>43376</v>
      </c>
      <c r="D1038" s="38" t="s">
        <v>22</v>
      </c>
      <c r="E1038" s="22" t="s">
        <v>80</v>
      </c>
      <c r="F1038" s="34" t="s">
        <v>162</v>
      </c>
      <c r="G1038" s="19" t="n">
        <v>1</v>
      </c>
      <c r="H1038" s="19" t="n">
        <v>83</v>
      </c>
      <c r="I1038" s="19" t="n">
        <v>6</v>
      </c>
      <c r="J1038" s="19" t="n">
        <v>132.21</v>
      </c>
      <c r="K1038" s="39" t="n">
        <f aca="false">554863.14+595805.3+39997.89</f>
        <v>1190666.33</v>
      </c>
      <c r="L1038" s="39" t="n">
        <f aca="false">K1038/J1038</f>
        <v>9005.87194614628</v>
      </c>
      <c r="M1038" s="34"/>
      <c r="N1038" s="40"/>
      <c r="O1038" s="30" t="n">
        <f aca="false">K1038+N1038</f>
        <v>1190666.33</v>
      </c>
      <c r="P1038" s="39" t="n">
        <f aca="false">O1038/J1038</f>
        <v>9005.87194614628</v>
      </c>
      <c r="Q1038" s="19" t="s">
        <v>1387</v>
      </c>
      <c r="R1038" s="22" t="s">
        <v>26</v>
      </c>
      <c r="S1038" s="19" t="s">
        <v>29</v>
      </c>
      <c r="T1038" s="19" t="s">
        <v>30</v>
      </c>
      <c r="U1038" s="19" t="s">
        <v>31</v>
      </c>
      <c r="V1038" s="41" t="n">
        <v>43514</v>
      </c>
      <c r="W1038" s="34" t="s">
        <v>1388</v>
      </c>
      <c r="X1038" s="18"/>
    </row>
    <row r="1039" s="32" customFormat="true" ht="13.8" hidden="false" customHeight="false" outlineLevel="0" collapsed="false">
      <c r="A1039" s="18"/>
      <c r="B1039" s="19" t="n">
        <v>15404</v>
      </c>
      <c r="C1039" s="20" t="n">
        <v>43376</v>
      </c>
      <c r="D1039" s="38" t="s">
        <v>22</v>
      </c>
      <c r="E1039" s="22" t="s">
        <v>80</v>
      </c>
      <c r="F1039" s="34" t="s">
        <v>162</v>
      </c>
      <c r="G1039" s="19" t="n">
        <v>1</v>
      </c>
      <c r="H1039" s="19" t="n">
        <v>83</v>
      </c>
      <c r="I1039" s="19" t="n">
        <v>6</v>
      </c>
      <c r="J1039" s="19" t="n">
        <v>132.21</v>
      </c>
      <c r="K1039" s="39" t="n">
        <f aca="false">554863.14+595805.3+39997.89</f>
        <v>1190666.33</v>
      </c>
      <c r="L1039" s="39" t="n">
        <f aca="false">K1039/J1039</f>
        <v>9005.87194614628</v>
      </c>
      <c r="M1039" s="34"/>
      <c r="N1039" s="40"/>
      <c r="O1039" s="30" t="n">
        <f aca="false">K1039+N1039</f>
        <v>1190666.33</v>
      </c>
      <c r="P1039" s="39" t="n">
        <f aca="false">O1039/J1039</f>
        <v>9005.87194614628</v>
      </c>
      <c r="Q1039" s="19" t="s">
        <v>1387</v>
      </c>
      <c r="R1039" s="22" t="s">
        <v>26</v>
      </c>
      <c r="S1039" s="19" t="s">
        <v>29</v>
      </c>
      <c r="T1039" s="19" t="s">
        <v>30</v>
      </c>
      <c r="U1039" s="19" t="s">
        <v>31</v>
      </c>
      <c r="V1039" s="41" t="n">
        <v>43514</v>
      </c>
      <c r="W1039" s="34" t="s">
        <v>1388</v>
      </c>
      <c r="X1039" s="18"/>
    </row>
    <row r="1040" s="32" customFormat="true" ht="13.8" hidden="false" customHeight="false" outlineLevel="0" collapsed="false">
      <c r="A1040" s="18"/>
      <c r="B1040" s="19" t="n">
        <v>3379</v>
      </c>
      <c r="C1040" s="20" t="n">
        <v>43376</v>
      </c>
      <c r="D1040" s="38" t="s">
        <v>22</v>
      </c>
      <c r="E1040" s="22" t="s">
        <v>190</v>
      </c>
      <c r="F1040" s="34" t="s">
        <v>386</v>
      </c>
      <c r="G1040" s="19" t="n">
        <v>7</v>
      </c>
      <c r="H1040" s="19" t="n">
        <v>13</v>
      </c>
      <c r="I1040" s="19" t="n">
        <v>1</v>
      </c>
      <c r="J1040" s="19" t="n">
        <v>63.62</v>
      </c>
      <c r="K1040" s="39" t="n">
        <v>350000</v>
      </c>
      <c r="L1040" s="39" t="n">
        <f aca="false">K1040/J1040</f>
        <v>5501.4146494813</v>
      </c>
      <c r="M1040" s="34"/>
      <c r="N1040" s="40"/>
      <c r="O1040" s="30" t="n">
        <f aca="false">K1040+N1040</f>
        <v>350000</v>
      </c>
      <c r="P1040" s="39" t="n">
        <f aca="false">O1040/J1040</f>
        <v>5501.4146494813</v>
      </c>
      <c r="Q1040" s="19" t="s">
        <v>1136</v>
      </c>
      <c r="R1040" s="22" t="s">
        <v>26</v>
      </c>
      <c r="S1040" s="19" t="s">
        <v>29</v>
      </c>
      <c r="T1040" s="19" t="s">
        <v>30</v>
      </c>
      <c r="U1040" s="19" t="s">
        <v>31</v>
      </c>
      <c r="V1040" s="41" t="n">
        <v>43514</v>
      </c>
      <c r="W1040" s="34" t="s">
        <v>1389</v>
      </c>
      <c r="X1040" s="34" t="s">
        <v>1390</v>
      </c>
      <c r="Y1040" s="35"/>
      <c r="Z1040" s="36"/>
    </row>
    <row r="1041" s="32" customFormat="true" ht="13.8" hidden="false" customHeight="false" outlineLevel="0" collapsed="false">
      <c r="A1041" s="18"/>
      <c r="B1041" s="19" t="n">
        <v>6405</v>
      </c>
      <c r="C1041" s="20" t="n">
        <v>43376</v>
      </c>
      <c r="D1041" s="38" t="s">
        <v>22</v>
      </c>
      <c r="E1041" s="22" t="s">
        <v>42</v>
      </c>
      <c r="F1041" s="34" t="s">
        <v>43</v>
      </c>
      <c r="G1041" s="19" t="n">
        <v>26</v>
      </c>
      <c r="H1041" s="19" t="n">
        <v>31</v>
      </c>
      <c r="I1041" s="19" t="n">
        <v>5</v>
      </c>
      <c r="J1041" s="19" t="n">
        <v>59.81</v>
      </c>
      <c r="K1041" s="39" t="n">
        <v>720000</v>
      </c>
      <c r="L1041" s="39" t="n">
        <f aca="false">K1041/J1041</f>
        <v>12038.1207155994</v>
      </c>
      <c r="M1041" s="18"/>
      <c r="N1041" s="40"/>
      <c r="O1041" s="30" t="n">
        <f aca="false">K1041+N1041</f>
        <v>720000</v>
      </c>
      <c r="P1041" s="39" t="n">
        <f aca="false">O1041/J1041</f>
        <v>12038.1207155994</v>
      </c>
      <c r="Q1041" s="19" t="s">
        <v>1391</v>
      </c>
      <c r="R1041" s="22" t="s">
        <v>36</v>
      </c>
      <c r="S1041" s="19" t="s">
        <v>29</v>
      </c>
      <c r="T1041" s="19" t="s">
        <v>30</v>
      </c>
      <c r="U1041" s="19" t="s">
        <v>31</v>
      </c>
      <c r="V1041" s="41" t="n">
        <v>43514</v>
      </c>
      <c r="W1041" s="34" t="s">
        <v>1392</v>
      </c>
      <c r="X1041" s="18"/>
      <c r="Y1041" s="1"/>
      <c r="Z1041" s="1"/>
    </row>
    <row r="1042" s="32" customFormat="true" ht="13.8" hidden="false" customHeight="false" outlineLevel="0" collapsed="false">
      <c r="A1042" s="18"/>
      <c r="B1042" s="19" t="n">
        <v>7196</v>
      </c>
      <c r="C1042" s="20" t="n">
        <v>43376</v>
      </c>
      <c r="D1042" s="38" t="s">
        <v>22</v>
      </c>
      <c r="E1042" s="22" t="s">
        <v>118</v>
      </c>
      <c r="F1042" s="34" t="s">
        <v>119</v>
      </c>
      <c r="G1042" s="19" t="n">
        <v>16</v>
      </c>
      <c r="H1042" s="19" t="n">
        <v>15</v>
      </c>
      <c r="I1042" s="19" t="n">
        <v>4</v>
      </c>
      <c r="J1042" s="19" t="n">
        <v>52.53</v>
      </c>
      <c r="K1042" s="39" t="n">
        <v>479000</v>
      </c>
      <c r="L1042" s="39" t="n">
        <f aca="false">K1042/J1042</f>
        <v>9118.59889586903</v>
      </c>
      <c r="M1042" s="18"/>
      <c r="N1042" s="40"/>
      <c r="O1042" s="30" t="n">
        <f aca="false">K1042+N1042</f>
        <v>479000</v>
      </c>
      <c r="P1042" s="39" t="n">
        <f aca="false">O1042/J1042</f>
        <v>9118.59889586903</v>
      </c>
      <c r="Q1042" s="19" t="s">
        <v>1136</v>
      </c>
      <c r="R1042" s="22" t="s">
        <v>26</v>
      </c>
      <c r="S1042" s="19" t="s">
        <v>29</v>
      </c>
      <c r="T1042" s="19" t="s">
        <v>30</v>
      </c>
      <c r="U1042" s="19" t="s">
        <v>31</v>
      </c>
      <c r="V1042" s="41" t="n">
        <v>43514</v>
      </c>
      <c r="W1042" s="34" t="s">
        <v>1393</v>
      </c>
      <c r="X1042" s="18"/>
      <c r="Y1042" s="1"/>
      <c r="Z1042" s="1"/>
    </row>
    <row r="1043" s="32" customFormat="true" ht="13.8" hidden="false" customHeight="false" outlineLevel="0" collapsed="false">
      <c r="A1043" s="18"/>
      <c r="B1043" s="19" t="n">
        <v>10855</v>
      </c>
      <c r="C1043" s="20" t="n">
        <v>43376</v>
      </c>
      <c r="D1043" s="38" t="s">
        <v>22</v>
      </c>
      <c r="E1043" s="22" t="s">
        <v>75</v>
      </c>
      <c r="F1043" s="34" t="s">
        <v>1394</v>
      </c>
      <c r="G1043" s="19" t="n">
        <v>2</v>
      </c>
      <c r="H1043" s="19" t="n">
        <v>41</v>
      </c>
      <c r="I1043" s="19" t="n">
        <v>1</v>
      </c>
      <c r="J1043" s="19" t="n">
        <v>65.05</v>
      </c>
      <c r="K1043" s="39" t="n">
        <v>540000</v>
      </c>
      <c r="L1043" s="39" t="n">
        <f aca="false">K1043/J1043</f>
        <v>8301.30668716372</v>
      </c>
      <c r="M1043" s="34"/>
      <c r="N1043" s="40"/>
      <c r="O1043" s="30" t="n">
        <f aca="false">K1043+N1043</f>
        <v>540000</v>
      </c>
      <c r="P1043" s="39" t="n">
        <f aca="false">O1043/J1043</f>
        <v>8301.30668716372</v>
      </c>
      <c r="Q1043" s="19" t="s">
        <v>1136</v>
      </c>
      <c r="R1043" s="22" t="s">
        <v>26</v>
      </c>
      <c r="S1043" s="19" t="s">
        <v>29</v>
      </c>
      <c r="T1043" s="19" t="s">
        <v>30</v>
      </c>
      <c r="U1043" s="19" t="s">
        <v>31</v>
      </c>
      <c r="V1043" s="41" t="n">
        <v>43514</v>
      </c>
      <c r="W1043" s="34" t="s">
        <v>1395</v>
      </c>
      <c r="X1043" s="18"/>
      <c r="Y1043" s="1"/>
      <c r="Z1043" s="1"/>
    </row>
    <row r="1044" s="32" customFormat="true" ht="13.8" hidden="false" customHeight="false" outlineLevel="0" collapsed="false">
      <c r="A1044" s="18"/>
      <c r="B1044" s="19" t="n">
        <v>5757</v>
      </c>
      <c r="C1044" s="20" t="n">
        <v>43377</v>
      </c>
      <c r="D1044" s="38" t="s">
        <v>22</v>
      </c>
      <c r="E1044" s="22" t="s">
        <v>229</v>
      </c>
      <c r="F1044" s="34" t="s">
        <v>1396</v>
      </c>
      <c r="G1044" s="19" t="n">
        <v>11</v>
      </c>
      <c r="H1044" s="19" t="n">
        <v>104</v>
      </c>
      <c r="I1044" s="19" t="n">
        <v>5</v>
      </c>
      <c r="J1044" s="19" t="n">
        <v>103.1</v>
      </c>
      <c r="K1044" s="39" t="n">
        <v>775000</v>
      </c>
      <c r="L1044" s="39" t="n">
        <f aca="false">K1044/J1044</f>
        <v>7516.97381183317</v>
      </c>
      <c r="M1044" s="34"/>
      <c r="N1044" s="40"/>
      <c r="O1044" s="30" t="n">
        <f aca="false">K1044+N1044</f>
        <v>775000</v>
      </c>
      <c r="P1044" s="39" t="n">
        <f aca="false">O1044/J1044</f>
        <v>7516.97381183317</v>
      </c>
      <c r="Q1044" s="19" t="s">
        <v>1397</v>
      </c>
      <c r="R1044" s="22" t="s">
        <v>49</v>
      </c>
      <c r="S1044" s="19" t="s">
        <v>29</v>
      </c>
      <c r="T1044" s="19" t="s">
        <v>30</v>
      </c>
      <c r="U1044" s="19" t="s">
        <v>31</v>
      </c>
      <c r="V1044" s="41" t="n">
        <v>43514</v>
      </c>
      <c r="W1044" s="34" t="s">
        <v>1398</v>
      </c>
      <c r="X1044" s="18"/>
      <c r="Y1044" s="1"/>
      <c r="Z1044" s="1"/>
    </row>
    <row r="1045" s="32" customFormat="true" ht="13.8" hidden="false" customHeight="false" outlineLevel="0" collapsed="false">
      <c r="A1045" s="18"/>
      <c r="B1045" s="19" t="n">
        <v>5757</v>
      </c>
      <c r="C1045" s="20" t="n">
        <v>43377</v>
      </c>
      <c r="D1045" s="38" t="s">
        <v>22</v>
      </c>
      <c r="E1045" s="22" t="s">
        <v>229</v>
      </c>
      <c r="F1045" s="34" t="s">
        <v>1396</v>
      </c>
      <c r="G1045" s="19" t="n">
        <v>11</v>
      </c>
      <c r="H1045" s="19" t="n">
        <v>104</v>
      </c>
      <c r="I1045" s="19" t="n">
        <v>5</v>
      </c>
      <c r="J1045" s="19" t="n">
        <v>103.1</v>
      </c>
      <c r="K1045" s="39" t="n">
        <v>775000</v>
      </c>
      <c r="L1045" s="39" t="n">
        <f aca="false">K1045/J1045</f>
        <v>7516.97381183317</v>
      </c>
      <c r="M1045" s="34"/>
      <c r="N1045" s="40"/>
      <c r="O1045" s="30" t="n">
        <f aca="false">K1045+N1045</f>
        <v>775000</v>
      </c>
      <c r="P1045" s="39" t="n">
        <f aca="false">O1045/J1045</f>
        <v>7516.97381183317</v>
      </c>
      <c r="Q1045" s="19" t="s">
        <v>1397</v>
      </c>
      <c r="R1045" s="22" t="s">
        <v>49</v>
      </c>
      <c r="S1045" s="19" t="s">
        <v>29</v>
      </c>
      <c r="T1045" s="19" t="s">
        <v>30</v>
      </c>
      <c r="U1045" s="19" t="s">
        <v>31</v>
      </c>
      <c r="V1045" s="41" t="n">
        <v>43514</v>
      </c>
      <c r="W1045" s="34" t="s">
        <v>1398</v>
      </c>
      <c r="X1045" s="18"/>
      <c r="Y1045" s="1"/>
      <c r="Z1045" s="1"/>
    </row>
    <row r="1046" s="32" customFormat="true" ht="13.8" hidden="false" customHeight="false" outlineLevel="0" collapsed="false">
      <c r="A1046" s="18"/>
      <c r="B1046" s="19" t="s">
        <v>887</v>
      </c>
      <c r="C1046" s="20" t="n">
        <v>43377</v>
      </c>
      <c r="D1046" s="38" t="s">
        <v>22</v>
      </c>
      <c r="E1046" s="22" t="s">
        <v>251</v>
      </c>
      <c r="F1046" s="45" t="s">
        <v>1399</v>
      </c>
      <c r="G1046" s="19" t="n">
        <v>3</v>
      </c>
      <c r="H1046" s="19"/>
      <c r="I1046" s="19" t="n">
        <v>4</v>
      </c>
      <c r="J1046" s="25" t="n">
        <v>30.94</v>
      </c>
      <c r="K1046" s="39" t="n">
        <v>295000</v>
      </c>
      <c r="L1046" s="39" t="n">
        <f aca="false">K1046/J1046</f>
        <v>9534.58306399483</v>
      </c>
      <c r="M1046" s="34"/>
      <c r="N1046" s="40"/>
      <c r="O1046" s="30" t="n">
        <f aca="false">K1046+N1046</f>
        <v>295000</v>
      </c>
      <c r="P1046" s="39" t="n">
        <f aca="false">O1046/J1046</f>
        <v>9534.58306399483</v>
      </c>
      <c r="Q1046" s="19" t="s">
        <v>889</v>
      </c>
      <c r="R1046" s="19" t="n">
        <v>2</v>
      </c>
      <c r="S1046" s="19" t="s">
        <v>1141</v>
      </c>
      <c r="T1046" s="19"/>
      <c r="U1046" s="19" t="s">
        <v>31</v>
      </c>
      <c r="V1046" s="41" t="n">
        <v>43727</v>
      </c>
      <c r="W1046" s="18"/>
      <c r="X1046" s="18"/>
      <c r="Y1046" s="1"/>
      <c r="Z1046" s="1"/>
    </row>
    <row r="1047" s="32" customFormat="true" ht="13.8" hidden="false" customHeight="false" outlineLevel="0" collapsed="false">
      <c r="A1047" s="18"/>
      <c r="B1047" s="19" t="s">
        <v>887</v>
      </c>
      <c r="C1047" s="20" t="n">
        <v>43377</v>
      </c>
      <c r="D1047" s="38" t="s">
        <v>22</v>
      </c>
      <c r="E1047" s="22" t="s">
        <v>251</v>
      </c>
      <c r="F1047" s="45" t="s">
        <v>1399</v>
      </c>
      <c r="G1047" s="19" t="n">
        <v>3</v>
      </c>
      <c r="H1047" s="19"/>
      <c r="I1047" s="19" t="n">
        <v>10</v>
      </c>
      <c r="J1047" s="25" t="n">
        <v>30.94</v>
      </c>
      <c r="K1047" s="39" t="n">
        <v>330000</v>
      </c>
      <c r="L1047" s="39" t="n">
        <f aca="false">K1047/J1047</f>
        <v>10665.8047834518</v>
      </c>
      <c r="M1047" s="34"/>
      <c r="N1047" s="40"/>
      <c r="O1047" s="30" t="n">
        <f aca="false">K1047+N1047</f>
        <v>330000</v>
      </c>
      <c r="P1047" s="39" t="n">
        <f aca="false">O1047/J1047</f>
        <v>10665.8047834518</v>
      </c>
      <c r="Q1047" s="19" t="s">
        <v>889</v>
      </c>
      <c r="R1047" s="19" t="n">
        <v>2</v>
      </c>
      <c r="S1047" s="19" t="s">
        <v>890</v>
      </c>
      <c r="T1047" s="19"/>
      <c r="U1047" s="19" t="s">
        <v>31</v>
      </c>
      <c r="V1047" s="41" t="n">
        <v>43727</v>
      </c>
      <c r="W1047" s="18"/>
      <c r="X1047" s="18"/>
      <c r="Y1047" s="1"/>
      <c r="Z1047" s="1"/>
    </row>
    <row r="1048" customFormat="false" ht="13.8" hidden="false" customHeight="false" outlineLevel="0" collapsed="false">
      <c r="A1048" s="18"/>
      <c r="B1048" s="19" t="n">
        <v>13309</v>
      </c>
      <c r="C1048" s="20" t="n">
        <v>43377</v>
      </c>
      <c r="D1048" s="38" t="s">
        <v>22</v>
      </c>
      <c r="E1048" s="22" t="s">
        <v>522</v>
      </c>
      <c r="F1048" s="34" t="s">
        <v>1400</v>
      </c>
      <c r="G1048" s="19" t="n">
        <v>5</v>
      </c>
      <c r="H1048" s="19" t="n">
        <v>39</v>
      </c>
      <c r="I1048" s="19" t="n">
        <v>2</v>
      </c>
      <c r="J1048" s="19" t="n">
        <v>52.06</v>
      </c>
      <c r="K1048" s="39" t="n">
        <v>600000</v>
      </c>
      <c r="L1048" s="39" t="n">
        <f aca="false">K1048/J1048</f>
        <v>11525.1632731464</v>
      </c>
      <c r="M1048" s="34"/>
      <c r="N1048" s="40"/>
      <c r="O1048" s="30" t="n">
        <f aca="false">K1048+N1048</f>
        <v>600000</v>
      </c>
      <c r="P1048" s="39" t="n">
        <f aca="false">O1048/J1048</f>
        <v>11525.1632731464</v>
      </c>
      <c r="Q1048" s="19" t="s">
        <v>1401</v>
      </c>
      <c r="R1048" s="22" t="s">
        <v>27</v>
      </c>
      <c r="S1048" s="19" t="s">
        <v>29</v>
      </c>
      <c r="T1048" s="19" t="s">
        <v>30</v>
      </c>
      <c r="U1048" s="19" t="s">
        <v>31</v>
      </c>
      <c r="V1048" s="41" t="n">
        <v>43514</v>
      </c>
      <c r="W1048" s="34" t="s">
        <v>1402</v>
      </c>
      <c r="X1048" s="34" t="s">
        <v>1403</v>
      </c>
    </row>
    <row r="1049" customFormat="false" ht="13.8" hidden="false" customHeight="false" outlineLevel="0" collapsed="false">
      <c r="A1049" s="18"/>
      <c r="B1049" s="19" t="n">
        <v>3319</v>
      </c>
      <c r="C1049" s="20" t="n">
        <v>43377</v>
      </c>
      <c r="D1049" s="38" t="s">
        <v>22</v>
      </c>
      <c r="E1049" s="22" t="s">
        <v>37</v>
      </c>
      <c r="F1049" s="34" t="s">
        <v>108</v>
      </c>
      <c r="G1049" s="19" t="n">
        <v>36</v>
      </c>
      <c r="H1049" s="19" t="n">
        <v>6</v>
      </c>
      <c r="I1049" s="19" t="n">
        <v>3</v>
      </c>
      <c r="J1049" s="19" t="n">
        <v>62.8</v>
      </c>
      <c r="K1049" s="39" t="n">
        <v>520000</v>
      </c>
      <c r="L1049" s="39" t="n">
        <f aca="false">K1049/J1049</f>
        <v>8280.25477707006</v>
      </c>
      <c r="M1049" s="34"/>
      <c r="N1049" s="40"/>
      <c r="O1049" s="30" t="n">
        <f aca="false">K1049+N1049</f>
        <v>520000</v>
      </c>
      <c r="P1049" s="39" t="n">
        <f aca="false">O1049/J1049</f>
        <v>8280.25477707006</v>
      </c>
      <c r="Q1049" s="19" t="s">
        <v>1404</v>
      </c>
      <c r="R1049" s="22" t="s">
        <v>49</v>
      </c>
      <c r="S1049" s="19" t="s">
        <v>29</v>
      </c>
      <c r="T1049" s="19" t="s">
        <v>30</v>
      </c>
      <c r="U1049" s="19" t="s">
        <v>31</v>
      </c>
      <c r="V1049" s="41" t="n">
        <v>43514</v>
      </c>
      <c r="W1049" s="34" t="s">
        <v>1405</v>
      </c>
      <c r="X1049" s="18"/>
    </row>
    <row r="1050" customFormat="false" ht="13.8" hidden="false" customHeight="false" outlineLevel="0" collapsed="false">
      <c r="A1050" s="18"/>
      <c r="B1050" s="19" t="n">
        <v>3319</v>
      </c>
      <c r="C1050" s="20" t="n">
        <v>43377</v>
      </c>
      <c r="D1050" s="38" t="s">
        <v>22</v>
      </c>
      <c r="E1050" s="22" t="s">
        <v>37</v>
      </c>
      <c r="F1050" s="34" t="s">
        <v>108</v>
      </c>
      <c r="G1050" s="19" t="n">
        <v>36</v>
      </c>
      <c r="H1050" s="19" t="n">
        <v>6</v>
      </c>
      <c r="I1050" s="19" t="n">
        <v>3</v>
      </c>
      <c r="J1050" s="19" t="n">
        <v>62.8</v>
      </c>
      <c r="K1050" s="39" t="n">
        <v>520000</v>
      </c>
      <c r="L1050" s="39" t="n">
        <f aca="false">K1050/J1050</f>
        <v>8280.25477707006</v>
      </c>
      <c r="M1050" s="34"/>
      <c r="N1050" s="40"/>
      <c r="O1050" s="30" t="n">
        <f aca="false">K1050+N1050</f>
        <v>520000</v>
      </c>
      <c r="P1050" s="39" t="n">
        <f aca="false">O1050/J1050</f>
        <v>8280.25477707006</v>
      </c>
      <c r="Q1050" s="19" t="s">
        <v>1404</v>
      </c>
      <c r="R1050" s="22" t="s">
        <v>49</v>
      </c>
      <c r="S1050" s="19" t="s">
        <v>29</v>
      </c>
      <c r="T1050" s="19" t="s">
        <v>30</v>
      </c>
      <c r="U1050" s="19" t="s">
        <v>31</v>
      </c>
      <c r="V1050" s="41" t="n">
        <v>43514</v>
      </c>
      <c r="W1050" s="34" t="s">
        <v>1405</v>
      </c>
      <c r="X1050" s="18"/>
    </row>
    <row r="1051" customFormat="false" ht="13.8" hidden="false" customHeight="false" outlineLevel="0" collapsed="false">
      <c r="A1051" s="18"/>
      <c r="B1051" s="19" t="n">
        <v>1862</v>
      </c>
      <c r="C1051" s="20" t="n">
        <v>43377</v>
      </c>
      <c r="D1051" s="38" t="s">
        <v>22</v>
      </c>
      <c r="E1051" s="22" t="s">
        <v>42</v>
      </c>
      <c r="F1051" s="34" t="s">
        <v>43</v>
      </c>
      <c r="G1051" s="19" t="s">
        <v>445</v>
      </c>
      <c r="H1051" s="19" t="n">
        <v>9</v>
      </c>
      <c r="I1051" s="19" t="n">
        <v>3</v>
      </c>
      <c r="J1051" s="19" t="n">
        <v>34.4</v>
      </c>
      <c r="K1051" s="39" t="n">
        <v>320000</v>
      </c>
      <c r="L1051" s="39" t="n">
        <f aca="false">K1051/J1051</f>
        <v>9302.32558139535</v>
      </c>
      <c r="M1051" s="34"/>
      <c r="N1051" s="40"/>
      <c r="O1051" s="30" t="n">
        <f aca="false">K1051+N1051</f>
        <v>320000</v>
      </c>
      <c r="P1051" s="39" t="n">
        <f aca="false">O1051/J1051</f>
        <v>9302.32558139535</v>
      </c>
      <c r="Q1051" s="19" t="s">
        <v>1406</v>
      </c>
      <c r="R1051" s="22" t="s">
        <v>36</v>
      </c>
      <c r="S1051" s="19" t="s">
        <v>29</v>
      </c>
      <c r="T1051" s="19" t="s">
        <v>30</v>
      </c>
      <c r="U1051" s="19" t="s">
        <v>31</v>
      </c>
      <c r="V1051" s="41" t="n">
        <v>43514</v>
      </c>
      <c r="W1051" s="34" t="s">
        <v>1407</v>
      </c>
      <c r="X1051" s="18"/>
    </row>
    <row r="1052" customFormat="false" ht="13.8" hidden="false" customHeight="false" outlineLevel="0" collapsed="false">
      <c r="A1052" s="18"/>
      <c r="B1052" s="19" t="n">
        <v>3373</v>
      </c>
      <c r="C1052" s="20" t="n">
        <v>43377</v>
      </c>
      <c r="D1052" s="38" t="s">
        <v>22</v>
      </c>
      <c r="E1052" s="22" t="s">
        <v>375</v>
      </c>
      <c r="F1052" s="34" t="s">
        <v>1029</v>
      </c>
      <c r="G1052" s="19" t="n">
        <v>29</v>
      </c>
      <c r="H1052" s="19" t="n">
        <v>1</v>
      </c>
      <c r="I1052" s="19" t="n">
        <v>1</v>
      </c>
      <c r="J1052" s="19" t="n">
        <v>105.9</v>
      </c>
      <c r="K1052" s="39" t="n">
        <v>1160000</v>
      </c>
      <c r="L1052" s="39" t="n">
        <f aca="false">K1052/J1052</f>
        <v>10953.7299338999</v>
      </c>
      <c r="M1052" s="34"/>
      <c r="N1052" s="40"/>
      <c r="O1052" s="30" t="n">
        <f aca="false">K1052+N1052</f>
        <v>1160000</v>
      </c>
      <c r="P1052" s="39" t="n">
        <f aca="false">O1052/J1052</f>
        <v>10953.7299338999</v>
      </c>
      <c r="Q1052" s="19" t="s">
        <v>1408</v>
      </c>
      <c r="R1052" s="22" t="s">
        <v>49</v>
      </c>
      <c r="S1052" s="19" t="s">
        <v>29</v>
      </c>
      <c r="T1052" s="19" t="s">
        <v>30</v>
      </c>
      <c r="U1052" s="19" t="s">
        <v>31</v>
      </c>
      <c r="V1052" s="41" t="n">
        <v>43514</v>
      </c>
      <c r="W1052" s="34" t="s">
        <v>1409</v>
      </c>
      <c r="X1052" s="18"/>
    </row>
    <row r="1053" customFormat="false" ht="13.8" hidden="false" customHeight="false" outlineLevel="0" collapsed="false">
      <c r="A1053" s="18"/>
      <c r="B1053" s="19" t="n">
        <v>5327</v>
      </c>
      <c r="C1053" s="20" t="n">
        <v>43377</v>
      </c>
      <c r="D1053" s="38" t="s">
        <v>22</v>
      </c>
      <c r="E1053" s="22" t="s">
        <v>118</v>
      </c>
      <c r="F1053" s="34" t="s">
        <v>361</v>
      </c>
      <c r="G1053" s="19" t="n">
        <v>26</v>
      </c>
      <c r="H1053" s="19" t="n">
        <v>15</v>
      </c>
      <c r="I1053" s="19" t="n">
        <v>3</v>
      </c>
      <c r="J1053" s="19" t="n">
        <v>94.8</v>
      </c>
      <c r="K1053" s="39" t="n">
        <v>1070000</v>
      </c>
      <c r="L1053" s="39" t="n">
        <f aca="false">K1053/J1053</f>
        <v>11286.9198312236</v>
      </c>
      <c r="M1053" s="34" t="s">
        <v>1410</v>
      </c>
      <c r="N1053" s="40" t="n">
        <v>30000</v>
      </c>
      <c r="O1053" s="30" t="n">
        <f aca="false">K1053+N1053</f>
        <v>1100000</v>
      </c>
      <c r="P1053" s="39" t="n">
        <f aca="false">O1053/J1053</f>
        <v>11603.3755274262</v>
      </c>
      <c r="Q1053" s="19" t="s">
        <v>1411</v>
      </c>
      <c r="R1053" s="22" t="s">
        <v>49</v>
      </c>
      <c r="S1053" s="19" t="s">
        <v>29</v>
      </c>
      <c r="T1053" s="19" t="s">
        <v>30</v>
      </c>
      <c r="U1053" s="19" t="s">
        <v>31</v>
      </c>
      <c r="V1053" s="41" t="n">
        <v>43514</v>
      </c>
      <c r="W1053" s="34" t="s">
        <v>1412</v>
      </c>
      <c r="X1053" s="18"/>
    </row>
    <row r="1054" customFormat="false" ht="13.8" hidden="false" customHeight="false" outlineLevel="0" collapsed="false">
      <c r="A1054" s="18"/>
      <c r="B1054" s="19" t="n">
        <v>6999</v>
      </c>
      <c r="C1054" s="20" t="n">
        <v>43377</v>
      </c>
      <c r="D1054" s="38" t="s">
        <v>22</v>
      </c>
      <c r="E1054" s="22" t="s">
        <v>375</v>
      </c>
      <c r="F1054" s="34" t="s">
        <v>560</v>
      </c>
      <c r="G1054" s="19" t="n">
        <v>17</v>
      </c>
      <c r="H1054" s="19" t="n">
        <v>4</v>
      </c>
      <c r="I1054" s="19" t="n">
        <v>1</v>
      </c>
      <c r="J1054" s="19" t="n">
        <v>34.08</v>
      </c>
      <c r="K1054" s="39" t="n">
        <v>415000</v>
      </c>
      <c r="L1054" s="39" t="n">
        <f aca="false">K1054/J1054</f>
        <v>12177.2300469484</v>
      </c>
      <c r="M1054" s="34"/>
      <c r="N1054" s="40"/>
      <c r="O1054" s="30" t="n">
        <f aca="false">K1054+N1054</f>
        <v>415000</v>
      </c>
      <c r="P1054" s="39" t="n">
        <f aca="false">O1054/J1054</f>
        <v>12177.2300469484</v>
      </c>
      <c r="Q1054" s="19" t="s">
        <v>1181</v>
      </c>
      <c r="R1054" s="22" t="s">
        <v>27</v>
      </c>
      <c r="S1054" s="19" t="s">
        <v>29</v>
      </c>
      <c r="T1054" s="19" t="s">
        <v>30</v>
      </c>
      <c r="U1054" s="19" t="s">
        <v>31</v>
      </c>
      <c r="V1054" s="41" t="n">
        <v>43514</v>
      </c>
      <c r="W1054" s="34" t="s">
        <v>1413</v>
      </c>
      <c r="X1054" s="18"/>
      <c r="Z1054" s="33"/>
      <c r="AMJ1054" s="32"/>
    </row>
    <row r="1055" s="32" customFormat="true" ht="13.8" hidden="false" customHeight="false" outlineLevel="0" collapsed="false">
      <c r="A1055" s="18"/>
      <c r="B1055" s="19" t="n">
        <v>11488</v>
      </c>
      <c r="C1055" s="20" t="n">
        <v>43377</v>
      </c>
      <c r="D1055" s="38" t="s">
        <v>22</v>
      </c>
      <c r="E1055" s="22" t="s">
        <v>399</v>
      </c>
      <c r="F1055" s="34" t="s">
        <v>549</v>
      </c>
      <c r="G1055" s="19" t="n">
        <v>3</v>
      </c>
      <c r="H1055" s="19" t="n">
        <v>35</v>
      </c>
      <c r="I1055" s="19" t="n">
        <v>6</v>
      </c>
      <c r="J1055" s="19" t="n">
        <v>68.7</v>
      </c>
      <c r="K1055" s="39" t="n">
        <v>615000</v>
      </c>
      <c r="L1055" s="39" t="n">
        <f aca="false">K1055/J1055</f>
        <v>8951.96506550218</v>
      </c>
      <c r="M1055" s="34" t="s">
        <v>987</v>
      </c>
      <c r="N1055" s="40" t="n">
        <v>40000</v>
      </c>
      <c r="O1055" s="30" t="n">
        <f aca="false">K1055+N1055</f>
        <v>655000</v>
      </c>
      <c r="P1055" s="39" t="n">
        <f aca="false">O1055/J1055</f>
        <v>9534.20669577875</v>
      </c>
      <c r="Q1055" s="19" t="s">
        <v>1414</v>
      </c>
      <c r="R1055" s="22" t="s">
        <v>49</v>
      </c>
      <c r="S1055" s="19" t="s">
        <v>29</v>
      </c>
      <c r="T1055" s="19" t="s">
        <v>30</v>
      </c>
      <c r="U1055" s="19" t="s">
        <v>31</v>
      </c>
      <c r="V1055" s="41" t="n">
        <v>43514</v>
      </c>
      <c r="W1055" s="34" t="s">
        <v>1415</v>
      </c>
      <c r="X1055" s="18"/>
    </row>
    <row r="1056" customFormat="false" ht="13.8" hidden="false" customHeight="false" outlineLevel="0" collapsed="false">
      <c r="A1056" s="18"/>
      <c r="B1056" s="19" t="n">
        <v>9889</v>
      </c>
      <c r="C1056" s="20" t="n">
        <v>43378</v>
      </c>
      <c r="D1056" s="38" t="s">
        <v>22</v>
      </c>
      <c r="E1056" s="22" t="s">
        <v>962</v>
      </c>
      <c r="F1056" s="34" t="s">
        <v>963</v>
      </c>
      <c r="G1056" s="19" t="n">
        <v>1</v>
      </c>
      <c r="H1056" s="19" t="n">
        <v>60</v>
      </c>
      <c r="I1056" s="19" t="n">
        <v>5</v>
      </c>
      <c r="J1056" s="19" t="n">
        <v>39.41</v>
      </c>
      <c r="K1056" s="39" t="n">
        <v>360000</v>
      </c>
      <c r="L1056" s="39" t="n">
        <f aca="false">K1056/J1056</f>
        <v>9134.73737630043</v>
      </c>
      <c r="M1056" s="34" t="s">
        <v>1416</v>
      </c>
      <c r="N1056" s="40"/>
      <c r="O1056" s="30" t="n">
        <f aca="false">K1056+N1056</f>
        <v>360000</v>
      </c>
      <c r="P1056" s="39" t="n">
        <f aca="false">O1056/J1056</f>
        <v>9134.73737630043</v>
      </c>
      <c r="Q1056" s="19" t="s">
        <v>1417</v>
      </c>
      <c r="R1056" s="22" t="s">
        <v>36</v>
      </c>
      <c r="S1056" s="19" t="s">
        <v>29</v>
      </c>
      <c r="T1056" s="19" t="s">
        <v>30</v>
      </c>
      <c r="U1056" s="19" t="s">
        <v>31</v>
      </c>
      <c r="V1056" s="41" t="n">
        <v>43514</v>
      </c>
      <c r="W1056" s="34" t="s">
        <v>1418</v>
      </c>
      <c r="X1056" s="34"/>
    </row>
    <row r="1057" customFormat="false" ht="13.8" hidden="false" customHeight="false" outlineLevel="0" collapsed="false">
      <c r="A1057" s="18"/>
      <c r="B1057" s="19" t="n">
        <v>9928</v>
      </c>
      <c r="C1057" s="20" t="n">
        <v>43378</v>
      </c>
      <c r="D1057" s="38" t="s">
        <v>22</v>
      </c>
      <c r="E1057" s="22" t="s">
        <v>962</v>
      </c>
      <c r="F1057" s="34" t="s">
        <v>963</v>
      </c>
      <c r="G1057" s="19" t="n">
        <v>1</v>
      </c>
      <c r="H1057" s="19" t="n">
        <v>50</v>
      </c>
      <c r="I1057" s="19" t="n">
        <v>4</v>
      </c>
      <c r="J1057" s="19" t="n">
        <v>39.46</v>
      </c>
      <c r="K1057" s="39" t="n">
        <v>490000</v>
      </c>
      <c r="L1057" s="39" t="n">
        <f aca="false">K1057/J1057</f>
        <v>12417.6381145464</v>
      </c>
      <c r="M1057" s="34"/>
      <c r="N1057" s="40"/>
      <c r="O1057" s="30" t="n">
        <f aca="false">K1057+N1057</f>
        <v>490000</v>
      </c>
      <c r="P1057" s="39" t="n">
        <f aca="false">O1057/J1057</f>
        <v>12417.6381145464</v>
      </c>
      <c r="Q1057" s="19" t="s">
        <v>1224</v>
      </c>
      <c r="R1057" s="22" t="s">
        <v>27</v>
      </c>
      <c r="S1057" s="19" t="s">
        <v>29</v>
      </c>
      <c r="T1057" s="19" t="s">
        <v>30</v>
      </c>
      <c r="U1057" s="19" t="s">
        <v>31</v>
      </c>
      <c r="V1057" s="41" t="n">
        <v>43514</v>
      </c>
      <c r="W1057" s="34" t="s">
        <v>1419</v>
      </c>
      <c r="X1057" s="34"/>
      <c r="Y1057" s="35"/>
      <c r="Z1057" s="36"/>
    </row>
    <row r="1058" customFormat="false" ht="13.8" hidden="false" customHeight="false" outlineLevel="0" collapsed="false">
      <c r="A1058" s="18"/>
      <c r="B1058" s="19" t="n">
        <v>9928</v>
      </c>
      <c r="C1058" s="20" t="n">
        <v>43378</v>
      </c>
      <c r="D1058" s="38" t="s">
        <v>22</v>
      </c>
      <c r="E1058" s="22" t="s">
        <v>962</v>
      </c>
      <c r="F1058" s="34" t="s">
        <v>963</v>
      </c>
      <c r="G1058" s="19" t="n">
        <v>1</v>
      </c>
      <c r="H1058" s="19" t="n">
        <v>50</v>
      </c>
      <c r="I1058" s="19" t="n">
        <v>4</v>
      </c>
      <c r="J1058" s="19" t="n">
        <v>39.46</v>
      </c>
      <c r="K1058" s="39" t="n">
        <v>490000</v>
      </c>
      <c r="L1058" s="39" t="n">
        <f aca="false">K1058/J1058</f>
        <v>12417.6381145464</v>
      </c>
      <c r="M1058" s="34"/>
      <c r="N1058" s="40"/>
      <c r="O1058" s="30" t="n">
        <f aca="false">K1058+N1058</f>
        <v>490000</v>
      </c>
      <c r="P1058" s="39" t="n">
        <f aca="false">O1058/J1058</f>
        <v>12417.6381145464</v>
      </c>
      <c r="Q1058" s="19" t="s">
        <v>1224</v>
      </c>
      <c r="R1058" s="22" t="s">
        <v>27</v>
      </c>
      <c r="S1058" s="19" t="s">
        <v>29</v>
      </c>
      <c r="T1058" s="19" t="s">
        <v>30</v>
      </c>
      <c r="U1058" s="19" t="s">
        <v>31</v>
      </c>
      <c r="V1058" s="41" t="n">
        <v>43514</v>
      </c>
      <c r="W1058" s="34" t="s">
        <v>1419</v>
      </c>
      <c r="X1058" s="34"/>
    </row>
    <row r="1059" customFormat="false" ht="13.8" hidden="false" customHeight="false" outlineLevel="0" collapsed="false">
      <c r="A1059" s="18"/>
      <c r="B1059" s="19" t="n">
        <v>2031</v>
      </c>
      <c r="C1059" s="20" t="n">
        <v>43378</v>
      </c>
      <c r="D1059" s="38" t="s">
        <v>22</v>
      </c>
      <c r="E1059" s="22" t="s">
        <v>137</v>
      </c>
      <c r="F1059" s="34" t="s">
        <v>138</v>
      </c>
      <c r="G1059" s="19" t="s">
        <v>139</v>
      </c>
      <c r="H1059" s="19" t="n">
        <v>5</v>
      </c>
      <c r="I1059" s="19" t="n">
        <v>1</v>
      </c>
      <c r="J1059" s="19" t="n">
        <v>47.86</v>
      </c>
      <c r="K1059" s="39" t="n">
        <v>440000</v>
      </c>
      <c r="L1059" s="39" t="n">
        <f aca="false">K1059/J1059</f>
        <v>9193.48098620978</v>
      </c>
      <c r="M1059" s="34"/>
      <c r="N1059" s="40"/>
      <c r="O1059" s="30" t="n">
        <f aca="false">K1059+N1059</f>
        <v>440000</v>
      </c>
      <c r="P1059" s="39" t="n">
        <f aca="false">O1059/J1059</f>
        <v>9193.48098620978</v>
      </c>
      <c r="Q1059" s="19" t="s">
        <v>861</v>
      </c>
      <c r="R1059" s="22" t="s">
        <v>26</v>
      </c>
      <c r="S1059" s="19" t="s">
        <v>29</v>
      </c>
      <c r="T1059" s="19" t="s">
        <v>30</v>
      </c>
      <c r="U1059" s="19" t="s">
        <v>31</v>
      </c>
      <c r="V1059" s="41" t="n">
        <v>43514</v>
      </c>
      <c r="W1059" s="34" t="s">
        <v>1420</v>
      </c>
      <c r="X1059" s="34"/>
    </row>
    <row r="1060" customFormat="false" ht="13.8" hidden="false" customHeight="false" outlineLevel="0" collapsed="false">
      <c r="A1060" s="18"/>
      <c r="B1060" s="19" t="n">
        <v>2031</v>
      </c>
      <c r="C1060" s="20" t="n">
        <v>43378</v>
      </c>
      <c r="D1060" s="38" t="s">
        <v>22</v>
      </c>
      <c r="E1060" s="22" t="s">
        <v>137</v>
      </c>
      <c r="F1060" s="34" t="s">
        <v>138</v>
      </c>
      <c r="G1060" s="19" t="s">
        <v>139</v>
      </c>
      <c r="H1060" s="19" t="n">
        <v>5</v>
      </c>
      <c r="I1060" s="19" t="n">
        <v>1</v>
      </c>
      <c r="J1060" s="19" t="n">
        <v>47.86</v>
      </c>
      <c r="K1060" s="39" t="n">
        <v>440000</v>
      </c>
      <c r="L1060" s="39" t="n">
        <f aca="false">K1060/J1060</f>
        <v>9193.48098620978</v>
      </c>
      <c r="M1060" s="34"/>
      <c r="N1060" s="40"/>
      <c r="O1060" s="30" t="n">
        <f aca="false">K1060+N1060</f>
        <v>440000</v>
      </c>
      <c r="P1060" s="39" t="n">
        <f aca="false">O1060/J1060</f>
        <v>9193.48098620978</v>
      </c>
      <c r="Q1060" s="19" t="s">
        <v>861</v>
      </c>
      <c r="R1060" s="22" t="s">
        <v>26</v>
      </c>
      <c r="S1060" s="19" t="s">
        <v>29</v>
      </c>
      <c r="T1060" s="19" t="s">
        <v>30</v>
      </c>
      <c r="U1060" s="19" t="s">
        <v>31</v>
      </c>
      <c r="V1060" s="41" t="n">
        <v>43514</v>
      </c>
      <c r="W1060" s="34" t="s">
        <v>1420</v>
      </c>
      <c r="X1060" s="34"/>
      <c r="AMJ1060" s="32"/>
    </row>
    <row r="1061" s="32" customFormat="true" ht="13.8" hidden="false" customHeight="false" outlineLevel="0" collapsed="false">
      <c r="A1061" s="18"/>
      <c r="B1061" s="19" t="n">
        <v>10347</v>
      </c>
      <c r="C1061" s="20" t="n">
        <v>43378</v>
      </c>
      <c r="D1061" s="38" t="s">
        <v>22</v>
      </c>
      <c r="E1061" s="22" t="s">
        <v>354</v>
      </c>
      <c r="F1061" s="34" t="s">
        <v>191</v>
      </c>
      <c r="G1061" s="19" t="s">
        <v>802</v>
      </c>
      <c r="H1061" s="19" t="n">
        <v>43</v>
      </c>
      <c r="I1061" s="19" t="n">
        <v>3</v>
      </c>
      <c r="J1061" s="19" t="n">
        <v>50.45</v>
      </c>
      <c r="K1061" s="39" t="n">
        <v>420000</v>
      </c>
      <c r="L1061" s="39" t="n">
        <f aca="false">K1061/J1061</f>
        <v>8325.07433102081</v>
      </c>
      <c r="M1061" s="34"/>
      <c r="N1061" s="40"/>
      <c r="O1061" s="30" t="n">
        <f aca="false">K1061+N1061</f>
        <v>420000</v>
      </c>
      <c r="P1061" s="39" t="n">
        <f aca="false">O1061/J1061</f>
        <v>8325.07433102081</v>
      </c>
      <c r="Q1061" s="19" t="s">
        <v>903</v>
      </c>
      <c r="R1061" s="22" t="s">
        <v>36</v>
      </c>
      <c r="S1061" s="19" t="s">
        <v>29</v>
      </c>
      <c r="T1061" s="19" t="s">
        <v>30</v>
      </c>
      <c r="U1061" s="19" t="s">
        <v>31</v>
      </c>
      <c r="V1061" s="41" t="n">
        <v>43514</v>
      </c>
      <c r="W1061" s="34" t="s">
        <v>1421</v>
      </c>
      <c r="X1061" s="34"/>
    </row>
    <row r="1062" customFormat="false" ht="13.8" hidden="false" customHeight="false" outlineLevel="0" collapsed="false">
      <c r="A1062" s="18"/>
      <c r="B1062" s="19" t="n">
        <v>10347</v>
      </c>
      <c r="C1062" s="20" t="n">
        <v>43378</v>
      </c>
      <c r="D1062" s="38" t="s">
        <v>22</v>
      </c>
      <c r="E1062" s="22" t="s">
        <v>354</v>
      </c>
      <c r="F1062" s="34" t="s">
        <v>191</v>
      </c>
      <c r="G1062" s="19" t="s">
        <v>802</v>
      </c>
      <c r="H1062" s="19" t="n">
        <v>43</v>
      </c>
      <c r="I1062" s="19" t="n">
        <v>3</v>
      </c>
      <c r="J1062" s="19" t="n">
        <v>50.45</v>
      </c>
      <c r="K1062" s="39" t="n">
        <v>420000</v>
      </c>
      <c r="L1062" s="39" t="n">
        <f aca="false">K1062/J1062</f>
        <v>8325.07433102081</v>
      </c>
      <c r="M1062" s="34"/>
      <c r="N1062" s="40"/>
      <c r="O1062" s="30" t="n">
        <f aca="false">K1062+N1062</f>
        <v>420000</v>
      </c>
      <c r="P1062" s="39" t="n">
        <f aca="false">O1062/J1062</f>
        <v>8325.07433102081</v>
      </c>
      <c r="Q1062" s="19" t="s">
        <v>903</v>
      </c>
      <c r="R1062" s="22" t="s">
        <v>36</v>
      </c>
      <c r="S1062" s="19" t="s">
        <v>29</v>
      </c>
      <c r="T1062" s="19" t="s">
        <v>30</v>
      </c>
      <c r="U1062" s="19" t="s">
        <v>31</v>
      </c>
      <c r="V1062" s="41" t="n">
        <v>43514</v>
      </c>
      <c r="W1062" s="34" t="s">
        <v>1421</v>
      </c>
      <c r="X1062" s="34"/>
    </row>
    <row r="1063" customFormat="false" ht="13.8" hidden="false" customHeight="false" outlineLevel="0" collapsed="false">
      <c r="A1063" s="18"/>
      <c r="B1063" s="19" t="n">
        <v>2924</v>
      </c>
      <c r="C1063" s="20" t="n">
        <v>43378</v>
      </c>
      <c r="D1063" s="38" t="s">
        <v>22</v>
      </c>
      <c r="E1063" s="22" t="s">
        <v>72</v>
      </c>
      <c r="F1063" s="34" t="s">
        <v>733</v>
      </c>
      <c r="G1063" s="19" t="n">
        <v>3</v>
      </c>
      <c r="H1063" s="19" t="n">
        <v>3</v>
      </c>
      <c r="I1063" s="19" t="n">
        <v>2</v>
      </c>
      <c r="J1063" s="19" t="n">
        <v>56.53</v>
      </c>
      <c r="K1063" s="39" t="n">
        <v>535000</v>
      </c>
      <c r="L1063" s="39" t="n">
        <f aca="false">K1063/J1063</f>
        <v>9464.00141517778</v>
      </c>
      <c r="M1063" s="34"/>
      <c r="N1063" s="40"/>
      <c r="O1063" s="30" t="n">
        <f aca="false">K1063+N1063</f>
        <v>535000</v>
      </c>
      <c r="P1063" s="39" t="n">
        <f aca="false">O1063/J1063</f>
        <v>9464.00141517778</v>
      </c>
      <c r="Q1063" s="19" t="s">
        <v>1369</v>
      </c>
      <c r="R1063" s="22" t="s">
        <v>26</v>
      </c>
      <c r="S1063" s="19" t="s">
        <v>29</v>
      </c>
      <c r="T1063" s="19" t="s">
        <v>30</v>
      </c>
      <c r="U1063" s="19" t="s">
        <v>31</v>
      </c>
      <c r="V1063" s="41" t="n">
        <v>43514</v>
      </c>
      <c r="W1063" s="34" t="s">
        <v>1422</v>
      </c>
      <c r="X1063" s="34"/>
    </row>
    <row r="1064" customFormat="false" ht="13.8" hidden="false" customHeight="false" outlineLevel="0" collapsed="false">
      <c r="A1064" s="18"/>
      <c r="B1064" s="19" t="n">
        <v>2924</v>
      </c>
      <c r="C1064" s="20" t="n">
        <v>43378</v>
      </c>
      <c r="D1064" s="38" t="s">
        <v>22</v>
      </c>
      <c r="E1064" s="22" t="s">
        <v>72</v>
      </c>
      <c r="F1064" s="34" t="s">
        <v>733</v>
      </c>
      <c r="G1064" s="19" t="n">
        <v>3</v>
      </c>
      <c r="H1064" s="19" t="n">
        <v>3</v>
      </c>
      <c r="I1064" s="19" t="n">
        <v>2</v>
      </c>
      <c r="J1064" s="19" t="n">
        <v>56.53</v>
      </c>
      <c r="K1064" s="39" t="n">
        <v>535000</v>
      </c>
      <c r="L1064" s="39" t="n">
        <f aca="false">K1064/J1064</f>
        <v>9464.00141517778</v>
      </c>
      <c r="M1064" s="34"/>
      <c r="N1064" s="40"/>
      <c r="O1064" s="30" t="n">
        <f aca="false">K1064+N1064</f>
        <v>535000</v>
      </c>
      <c r="P1064" s="39" t="n">
        <f aca="false">O1064/J1064</f>
        <v>9464.00141517778</v>
      </c>
      <c r="Q1064" s="19" t="s">
        <v>1369</v>
      </c>
      <c r="R1064" s="22" t="s">
        <v>26</v>
      </c>
      <c r="S1064" s="19" t="s">
        <v>29</v>
      </c>
      <c r="T1064" s="19" t="s">
        <v>30</v>
      </c>
      <c r="U1064" s="19" t="s">
        <v>31</v>
      </c>
      <c r="V1064" s="41" t="n">
        <v>43514</v>
      </c>
      <c r="W1064" s="34" t="s">
        <v>1422</v>
      </c>
      <c r="X1064" s="34"/>
      <c r="AMJ1064" s="32"/>
    </row>
    <row r="1065" s="32" customFormat="true" ht="13.8" hidden="false" customHeight="false" outlineLevel="0" collapsed="false">
      <c r="A1065" s="18"/>
      <c r="B1065" s="19" t="n">
        <v>17736</v>
      </c>
      <c r="C1065" s="20" t="n">
        <v>43378</v>
      </c>
      <c r="D1065" s="38" t="s">
        <v>22</v>
      </c>
      <c r="E1065" s="22" t="s">
        <v>206</v>
      </c>
      <c r="F1065" s="34" t="s">
        <v>1423</v>
      </c>
      <c r="G1065" s="19" t="s">
        <v>1424</v>
      </c>
      <c r="H1065" s="19" t="n">
        <v>247</v>
      </c>
      <c r="I1065" s="19" t="n">
        <v>7</v>
      </c>
      <c r="J1065" s="19" t="n">
        <v>66.46</v>
      </c>
      <c r="K1065" s="39" t="n">
        <v>630000</v>
      </c>
      <c r="L1065" s="39" t="n">
        <f aca="false">K1065/J1065</f>
        <v>9479.38609690039</v>
      </c>
      <c r="M1065" s="34"/>
      <c r="N1065" s="40"/>
      <c r="O1065" s="30" t="n">
        <f aca="false">K1065+N1065</f>
        <v>630000</v>
      </c>
      <c r="P1065" s="39" t="n">
        <f aca="false">O1065/J1065</f>
        <v>9479.38609690039</v>
      </c>
      <c r="Q1065" s="19" t="s">
        <v>1425</v>
      </c>
      <c r="R1065" s="22" t="s">
        <v>26</v>
      </c>
      <c r="S1065" s="19" t="s">
        <v>29</v>
      </c>
      <c r="T1065" s="19" t="s">
        <v>30</v>
      </c>
      <c r="U1065" s="19" t="s">
        <v>31</v>
      </c>
      <c r="V1065" s="41" t="n">
        <v>43514</v>
      </c>
      <c r="W1065" s="34" t="s">
        <v>1426</v>
      </c>
      <c r="X1065" s="34"/>
    </row>
    <row r="1066" customFormat="false" ht="13.8" hidden="false" customHeight="false" outlineLevel="0" collapsed="false">
      <c r="A1066" s="18"/>
      <c r="B1066" s="19" t="n">
        <v>3333</v>
      </c>
      <c r="C1066" s="20" t="n">
        <v>43378</v>
      </c>
      <c r="D1066" s="38" t="s">
        <v>22</v>
      </c>
      <c r="E1066" s="22" t="s">
        <v>652</v>
      </c>
      <c r="F1066" s="34" t="s">
        <v>669</v>
      </c>
      <c r="G1066" s="19" t="n">
        <v>1</v>
      </c>
      <c r="H1066" s="19" t="n">
        <v>1101</v>
      </c>
      <c r="I1066" s="19" t="n">
        <v>11</v>
      </c>
      <c r="J1066" s="19" t="n">
        <v>58.7</v>
      </c>
      <c r="K1066" s="39" t="n">
        <v>400000</v>
      </c>
      <c r="L1066" s="39" t="n">
        <f aca="false">K1066/J1066</f>
        <v>6814.31005110733</v>
      </c>
      <c r="M1066" s="34" t="s">
        <v>1427</v>
      </c>
      <c r="N1066" s="40"/>
      <c r="O1066" s="30" t="n">
        <f aca="false">K1066+N1066</f>
        <v>400000</v>
      </c>
      <c r="P1066" s="39" t="n">
        <f aca="false">O1066/J1066</f>
        <v>6814.31005110733</v>
      </c>
      <c r="Q1066" s="19" t="s">
        <v>1428</v>
      </c>
      <c r="R1066" s="22" t="s">
        <v>49</v>
      </c>
      <c r="S1066" s="19" t="s">
        <v>29</v>
      </c>
      <c r="T1066" s="19" t="s">
        <v>30</v>
      </c>
      <c r="U1066" s="19" t="s">
        <v>31</v>
      </c>
      <c r="V1066" s="41" t="n">
        <v>43514</v>
      </c>
      <c r="W1066" s="34" t="s">
        <v>1429</v>
      </c>
      <c r="X1066" s="18"/>
    </row>
    <row r="1067" customFormat="false" ht="13.8" hidden="false" customHeight="false" outlineLevel="0" collapsed="false">
      <c r="A1067" s="18"/>
      <c r="B1067" s="19" t="n">
        <v>7316</v>
      </c>
      <c r="C1067" s="20" t="n">
        <v>43378</v>
      </c>
      <c r="D1067" s="38" t="s">
        <v>22</v>
      </c>
      <c r="E1067" s="22" t="s">
        <v>322</v>
      </c>
      <c r="F1067" s="34" t="s">
        <v>351</v>
      </c>
      <c r="G1067" s="19" t="s">
        <v>525</v>
      </c>
      <c r="H1067" s="19" t="n">
        <v>55</v>
      </c>
      <c r="I1067" s="19" t="n">
        <v>9</v>
      </c>
      <c r="J1067" s="19" t="n">
        <v>74.85</v>
      </c>
      <c r="K1067" s="39" t="n">
        <v>775000</v>
      </c>
      <c r="L1067" s="39" t="n">
        <f aca="false">K1067/J1067</f>
        <v>10354.0414161657</v>
      </c>
      <c r="M1067" s="34" t="s">
        <v>1430</v>
      </c>
      <c r="N1067" s="40" t="n">
        <v>45000</v>
      </c>
      <c r="O1067" s="30" t="n">
        <f aca="false">K1067+N1067</f>
        <v>820000</v>
      </c>
      <c r="P1067" s="39" t="n">
        <f aca="false">O1067/J1067</f>
        <v>10955.2438209753</v>
      </c>
      <c r="Q1067" s="19" t="s">
        <v>1431</v>
      </c>
      <c r="R1067" s="22" t="s">
        <v>26</v>
      </c>
      <c r="S1067" s="19" t="s">
        <v>29</v>
      </c>
      <c r="T1067" s="19" t="s">
        <v>30</v>
      </c>
      <c r="U1067" s="19" t="s">
        <v>31</v>
      </c>
      <c r="V1067" s="41" t="n">
        <v>43514</v>
      </c>
      <c r="W1067" s="34" t="s">
        <v>1432</v>
      </c>
      <c r="X1067" s="18"/>
    </row>
    <row r="1068" customFormat="false" ht="13.8" hidden="false" customHeight="false" outlineLevel="0" collapsed="false">
      <c r="A1068" s="18"/>
      <c r="B1068" s="19" t="n">
        <v>7316</v>
      </c>
      <c r="C1068" s="20" t="n">
        <v>43378</v>
      </c>
      <c r="D1068" s="38" t="s">
        <v>22</v>
      </c>
      <c r="E1068" s="22" t="s">
        <v>322</v>
      </c>
      <c r="F1068" s="34" t="s">
        <v>351</v>
      </c>
      <c r="G1068" s="19" t="s">
        <v>525</v>
      </c>
      <c r="H1068" s="19" t="n">
        <v>55</v>
      </c>
      <c r="I1068" s="19" t="n">
        <v>9</v>
      </c>
      <c r="J1068" s="19" t="n">
        <v>74.85</v>
      </c>
      <c r="K1068" s="39" t="n">
        <v>775000</v>
      </c>
      <c r="L1068" s="39" t="n">
        <f aca="false">K1068/J1068</f>
        <v>10354.0414161657</v>
      </c>
      <c r="M1068" s="34" t="s">
        <v>1430</v>
      </c>
      <c r="N1068" s="40" t="n">
        <v>45000</v>
      </c>
      <c r="O1068" s="30" t="n">
        <f aca="false">K1068+N1068</f>
        <v>820000</v>
      </c>
      <c r="P1068" s="39" t="n">
        <f aca="false">O1068/J1068</f>
        <v>10955.2438209753</v>
      </c>
      <c r="Q1068" s="19" t="s">
        <v>1431</v>
      </c>
      <c r="R1068" s="22" t="s">
        <v>26</v>
      </c>
      <c r="S1068" s="19" t="s">
        <v>29</v>
      </c>
      <c r="T1068" s="19" t="s">
        <v>30</v>
      </c>
      <c r="U1068" s="19" t="s">
        <v>31</v>
      </c>
      <c r="V1068" s="41" t="n">
        <v>43514</v>
      </c>
      <c r="W1068" s="34" t="s">
        <v>1432</v>
      </c>
      <c r="X1068" s="18"/>
      <c r="AMJ1068" s="32"/>
    </row>
    <row r="1069" s="32" customFormat="true" ht="13.8" hidden="false" customHeight="false" outlineLevel="0" collapsed="false">
      <c r="A1069" s="18"/>
      <c r="B1069" s="19" t="n">
        <v>15961</v>
      </c>
      <c r="C1069" s="20" t="n">
        <v>43378</v>
      </c>
      <c r="D1069" s="38" t="s">
        <v>22</v>
      </c>
      <c r="E1069" s="22" t="s">
        <v>148</v>
      </c>
      <c r="F1069" s="34" t="s">
        <v>340</v>
      </c>
      <c r="G1069" s="19" t="n">
        <v>5</v>
      </c>
      <c r="H1069" s="19" t="n">
        <v>115</v>
      </c>
      <c r="I1069" s="19" t="n">
        <v>6</v>
      </c>
      <c r="J1069" s="19" t="n">
        <v>31.06</v>
      </c>
      <c r="K1069" s="39" t="n">
        <v>280000</v>
      </c>
      <c r="L1069" s="39" t="n">
        <f aca="false">K1069/J1069</f>
        <v>9014.81004507405</v>
      </c>
      <c r="M1069" s="18"/>
      <c r="N1069" s="40"/>
      <c r="O1069" s="30" t="n">
        <f aca="false">K1069+N1069</f>
        <v>280000</v>
      </c>
      <c r="P1069" s="39" t="n">
        <f aca="false">O1069/J1069</f>
        <v>9014.81004507405</v>
      </c>
      <c r="Q1069" s="19" t="s">
        <v>1433</v>
      </c>
      <c r="R1069" s="22" t="s">
        <v>27</v>
      </c>
      <c r="S1069" s="19" t="s">
        <v>29</v>
      </c>
      <c r="T1069" s="19" t="s">
        <v>30</v>
      </c>
      <c r="U1069" s="19" t="s">
        <v>31</v>
      </c>
      <c r="V1069" s="41" t="n">
        <v>43514</v>
      </c>
      <c r="W1069" s="34" t="s">
        <v>1434</v>
      </c>
      <c r="X1069" s="18"/>
    </row>
    <row r="1070" s="32" customFormat="true" ht="13.8" hidden="false" customHeight="false" outlineLevel="0" collapsed="false">
      <c r="A1070" s="18"/>
      <c r="B1070" s="19" t="n">
        <v>48851</v>
      </c>
      <c r="C1070" s="20" t="n">
        <v>43378</v>
      </c>
      <c r="D1070" s="38" t="s">
        <v>22</v>
      </c>
      <c r="E1070" s="22" t="s">
        <v>80</v>
      </c>
      <c r="F1070" s="34" t="s">
        <v>1435</v>
      </c>
      <c r="G1070" s="19" t="s">
        <v>910</v>
      </c>
      <c r="H1070" s="19" t="n">
        <v>3</v>
      </c>
      <c r="I1070" s="19" t="n">
        <v>1</v>
      </c>
      <c r="J1070" s="19" t="n">
        <v>34.16</v>
      </c>
      <c r="K1070" s="39" t="n">
        <v>420000</v>
      </c>
      <c r="L1070" s="39" t="n">
        <f aca="false">K1070/J1070</f>
        <v>12295.0819672131</v>
      </c>
      <c r="M1070" s="34"/>
      <c r="N1070" s="40"/>
      <c r="O1070" s="30" t="n">
        <f aca="false">K1070+N1070</f>
        <v>420000</v>
      </c>
      <c r="P1070" s="39" t="n">
        <f aca="false">O1070/J1070</f>
        <v>12295.0819672131</v>
      </c>
      <c r="Q1070" s="19" t="s">
        <v>1181</v>
      </c>
      <c r="R1070" s="22" t="s">
        <v>27</v>
      </c>
      <c r="S1070" s="19" t="s">
        <v>29</v>
      </c>
      <c r="T1070" s="19" t="s">
        <v>30</v>
      </c>
      <c r="U1070" s="19" t="s">
        <v>31</v>
      </c>
      <c r="V1070" s="41" t="n">
        <v>43514</v>
      </c>
      <c r="W1070" s="34" t="s">
        <v>1436</v>
      </c>
      <c r="X1070" s="18"/>
    </row>
    <row r="1071" s="32" customFormat="true" ht="13.8" hidden="false" customHeight="false" outlineLevel="0" collapsed="false">
      <c r="A1071" s="18"/>
      <c r="B1071" s="19" t="n">
        <v>48851</v>
      </c>
      <c r="C1071" s="20" t="n">
        <v>43378</v>
      </c>
      <c r="D1071" s="38" t="s">
        <v>22</v>
      </c>
      <c r="E1071" s="22" t="s">
        <v>80</v>
      </c>
      <c r="F1071" s="34" t="s">
        <v>1435</v>
      </c>
      <c r="G1071" s="19" t="n">
        <v>5</v>
      </c>
      <c r="H1071" s="19" t="n">
        <v>3</v>
      </c>
      <c r="I1071" s="19" t="n">
        <v>1</v>
      </c>
      <c r="J1071" s="19" t="n">
        <v>34.16</v>
      </c>
      <c r="K1071" s="39" t="n">
        <v>420000</v>
      </c>
      <c r="L1071" s="39" t="n">
        <f aca="false">K1071/J1071</f>
        <v>12295.0819672131</v>
      </c>
      <c r="M1071" s="34"/>
      <c r="N1071" s="40"/>
      <c r="O1071" s="30" t="n">
        <f aca="false">K1071+N1071</f>
        <v>420000</v>
      </c>
      <c r="P1071" s="39" t="n">
        <f aca="false">O1071/J1071</f>
        <v>12295.0819672131</v>
      </c>
      <c r="Q1071" s="19" t="s">
        <v>1287</v>
      </c>
      <c r="R1071" s="22" t="s">
        <v>27</v>
      </c>
      <c r="S1071" s="19" t="s">
        <v>29</v>
      </c>
      <c r="T1071" s="19" t="s">
        <v>30</v>
      </c>
      <c r="U1071" s="19" t="s">
        <v>31</v>
      </c>
      <c r="V1071" s="41" t="n">
        <v>43514</v>
      </c>
      <c r="W1071" s="34" t="s">
        <v>1437</v>
      </c>
      <c r="X1071" s="18"/>
    </row>
    <row r="1072" s="32" customFormat="true" ht="13.8" hidden="false" customHeight="false" outlineLevel="0" collapsed="false">
      <c r="A1072" s="18"/>
      <c r="B1072" s="19" t="n">
        <v>14189</v>
      </c>
      <c r="C1072" s="20" t="n">
        <v>43378</v>
      </c>
      <c r="D1072" s="38" t="s">
        <v>22</v>
      </c>
      <c r="E1072" s="22" t="s">
        <v>265</v>
      </c>
      <c r="F1072" s="34" t="s">
        <v>456</v>
      </c>
      <c r="G1072" s="19" t="s">
        <v>1438</v>
      </c>
      <c r="H1072" s="19" t="n">
        <v>14</v>
      </c>
      <c r="I1072" s="19" t="n">
        <v>2</v>
      </c>
      <c r="J1072" s="19" t="n">
        <v>38</v>
      </c>
      <c r="K1072" s="39" t="n">
        <v>410000</v>
      </c>
      <c r="L1072" s="39" t="n">
        <f aca="false">K1072/J1072</f>
        <v>10789.4736842105</v>
      </c>
      <c r="M1072" s="34"/>
      <c r="N1072" s="40"/>
      <c r="O1072" s="30" t="n">
        <f aca="false">K1072+N1072</f>
        <v>410000</v>
      </c>
      <c r="P1072" s="39" t="n">
        <f aca="false">O1072/J1072</f>
        <v>10789.4736842105</v>
      </c>
      <c r="Q1072" s="19" t="s">
        <v>1369</v>
      </c>
      <c r="R1072" s="22" t="s">
        <v>26</v>
      </c>
      <c r="S1072" s="19" t="s">
        <v>29</v>
      </c>
      <c r="T1072" s="19" t="s">
        <v>30</v>
      </c>
      <c r="U1072" s="19" t="s">
        <v>31</v>
      </c>
      <c r="V1072" s="41" t="n">
        <v>43514</v>
      </c>
      <c r="W1072" s="34" t="s">
        <v>1439</v>
      </c>
      <c r="X1072" s="18"/>
    </row>
    <row r="1073" s="32" customFormat="true" ht="13.8" hidden="false" customHeight="false" outlineLevel="0" collapsed="false">
      <c r="A1073" s="18"/>
      <c r="B1073" s="19" t="n">
        <v>5128</v>
      </c>
      <c r="C1073" s="20" t="n">
        <v>43380</v>
      </c>
      <c r="D1073" s="38" t="s">
        <v>22</v>
      </c>
      <c r="E1073" s="22" t="s">
        <v>148</v>
      </c>
      <c r="F1073" s="34" t="s">
        <v>149</v>
      </c>
      <c r="G1073" s="19" t="n">
        <v>5</v>
      </c>
      <c r="H1073" s="19" t="n">
        <v>4</v>
      </c>
      <c r="I1073" s="19" t="n">
        <v>1</v>
      </c>
      <c r="J1073" s="19" t="n">
        <v>64.46</v>
      </c>
      <c r="K1073" s="39" t="n">
        <v>675000</v>
      </c>
      <c r="L1073" s="39" t="n">
        <f aca="false">K1073/J1073</f>
        <v>10471.6103009618</v>
      </c>
      <c r="M1073" s="34"/>
      <c r="N1073" s="40"/>
      <c r="O1073" s="30" t="n">
        <f aca="false">K1073+N1073</f>
        <v>675000</v>
      </c>
      <c r="P1073" s="39" t="n">
        <f aca="false">O1073/J1073</f>
        <v>10471.6103009618</v>
      </c>
      <c r="Q1073" s="19" t="s">
        <v>1440</v>
      </c>
      <c r="R1073" s="22" t="s">
        <v>57</v>
      </c>
      <c r="S1073" s="19" t="s">
        <v>29</v>
      </c>
      <c r="T1073" s="19" t="s">
        <v>30</v>
      </c>
      <c r="U1073" s="19" t="s">
        <v>31</v>
      </c>
      <c r="V1073" s="41" t="n">
        <v>43514</v>
      </c>
      <c r="W1073" s="34" t="s">
        <v>1441</v>
      </c>
      <c r="X1073" s="18"/>
    </row>
    <row r="1074" customFormat="false" ht="13.8" hidden="false" customHeight="false" outlineLevel="0" collapsed="false">
      <c r="A1074" s="18"/>
      <c r="B1074" s="19" t="n">
        <v>5128</v>
      </c>
      <c r="C1074" s="20" t="n">
        <v>43380</v>
      </c>
      <c r="D1074" s="38" t="s">
        <v>22</v>
      </c>
      <c r="E1074" s="22" t="s">
        <v>148</v>
      </c>
      <c r="F1074" s="34" t="s">
        <v>149</v>
      </c>
      <c r="G1074" s="19" t="n">
        <v>5</v>
      </c>
      <c r="H1074" s="19" t="n">
        <v>4</v>
      </c>
      <c r="I1074" s="19" t="n">
        <v>1</v>
      </c>
      <c r="J1074" s="19" t="n">
        <v>64.46</v>
      </c>
      <c r="K1074" s="39" t="n">
        <v>675000</v>
      </c>
      <c r="L1074" s="39" t="n">
        <f aca="false">K1074/J1074</f>
        <v>10471.6103009618</v>
      </c>
      <c r="M1074" s="34"/>
      <c r="N1074" s="40"/>
      <c r="O1074" s="30" t="n">
        <f aca="false">K1074+N1074</f>
        <v>675000</v>
      </c>
      <c r="P1074" s="39" t="n">
        <f aca="false">O1074/J1074</f>
        <v>10471.6103009618</v>
      </c>
      <c r="Q1074" s="19" t="s">
        <v>1440</v>
      </c>
      <c r="R1074" s="22" t="s">
        <v>57</v>
      </c>
      <c r="S1074" s="19" t="s">
        <v>29</v>
      </c>
      <c r="T1074" s="19" t="s">
        <v>30</v>
      </c>
      <c r="U1074" s="19" t="s">
        <v>31</v>
      </c>
      <c r="V1074" s="41" t="n">
        <v>43514</v>
      </c>
      <c r="W1074" s="34" t="s">
        <v>1441</v>
      </c>
      <c r="X1074" s="34"/>
      <c r="Y1074" s="35"/>
      <c r="Z1074" s="36"/>
    </row>
    <row r="1075" customFormat="false" ht="13.8" hidden="false" customHeight="false" outlineLevel="0" collapsed="false">
      <c r="A1075" s="18"/>
      <c r="B1075" s="19" t="n">
        <v>11249</v>
      </c>
      <c r="C1075" s="20" t="n">
        <v>43381</v>
      </c>
      <c r="D1075" s="38" t="s">
        <v>22</v>
      </c>
      <c r="E1075" s="22" t="s">
        <v>322</v>
      </c>
      <c r="F1075" s="34" t="s">
        <v>323</v>
      </c>
      <c r="G1075" s="19" t="s">
        <v>674</v>
      </c>
      <c r="H1075" s="19" t="n">
        <v>112</v>
      </c>
      <c r="I1075" s="19" t="n">
        <v>3</v>
      </c>
      <c r="J1075" s="19" t="n">
        <v>52.85</v>
      </c>
      <c r="K1075" s="39" t="n">
        <v>468000</v>
      </c>
      <c r="L1075" s="39" t="n">
        <f aca="false">K1075/J1075</f>
        <v>8855.25070955534</v>
      </c>
      <c r="M1075" s="34" t="s">
        <v>987</v>
      </c>
      <c r="N1075" s="40" t="n">
        <v>38000</v>
      </c>
      <c r="O1075" s="30" t="n">
        <f aca="false">K1075+N1075</f>
        <v>506000</v>
      </c>
      <c r="P1075" s="39" t="n">
        <f aca="false">O1075/J1075</f>
        <v>9574.26679280984</v>
      </c>
      <c r="Q1075" s="19" t="s">
        <v>1442</v>
      </c>
      <c r="R1075" s="22" t="s">
        <v>36</v>
      </c>
      <c r="S1075" s="19" t="s">
        <v>29</v>
      </c>
      <c r="T1075" s="19" t="s">
        <v>30</v>
      </c>
      <c r="U1075" s="19" t="s">
        <v>31</v>
      </c>
      <c r="V1075" s="41" t="n">
        <v>43514</v>
      </c>
      <c r="W1075" s="34" t="s">
        <v>1443</v>
      </c>
      <c r="X1075" s="18"/>
    </row>
    <row r="1076" customFormat="false" ht="13.8" hidden="false" customHeight="false" outlineLevel="0" collapsed="false">
      <c r="A1076" s="18"/>
      <c r="B1076" s="19" t="n">
        <v>3499</v>
      </c>
      <c r="C1076" s="20" t="n">
        <v>43381</v>
      </c>
      <c r="D1076" s="38" t="s">
        <v>22</v>
      </c>
      <c r="E1076" s="22" t="s">
        <v>572</v>
      </c>
      <c r="F1076" s="34" t="s">
        <v>1444</v>
      </c>
      <c r="G1076" s="19" t="n">
        <v>10</v>
      </c>
      <c r="H1076" s="19" t="n">
        <v>906</v>
      </c>
      <c r="I1076" s="19" t="n">
        <v>9</v>
      </c>
      <c r="J1076" s="19" t="n">
        <v>47</v>
      </c>
      <c r="K1076" s="39" t="n">
        <v>430000</v>
      </c>
      <c r="L1076" s="39" t="n">
        <f aca="false">K1076/J1076</f>
        <v>9148.93617021277</v>
      </c>
      <c r="M1076" s="34" t="s">
        <v>1445</v>
      </c>
      <c r="N1076" s="40"/>
      <c r="O1076" s="30" t="n">
        <f aca="false">K1076+N1076</f>
        <v>430000</v>
      </c>
      <c r="P1076" s="39" t="n">
        <f aca="false">O1076/J1076</f>
        <v>9148.93617021277</v>
      </c>
      <c r="Q1076" s="19" t="s">
        <v>1446</v>
      </c>
      <c r="R1076" s="22" t="s">
        <v>26</v>
      </c>
      <c r="S1076" s="19" t="s">
        <v>29</v>
      </c>
      <c r="T1076" s="19" t="s">
        <v>30</v>
      </c>
      <c r="U1076" s="19" t="s">
        <v>31</v>
      </c>
      <c r="V1076" s="41" t="n">
        <v>43514</v>
      </c>
      <c r="W1076" s="34" t="s">
        <v>1447</v>
      </c>
      <c r="X1076" s="18"/>
    </row>
    <row r="1077" customFormat="false" ht="13.8" hidden="false" customHeight="false" outlineLevel="0" collapsed="false">
      <c r="A1077" s="18"/>
      <c r="B1077" s="19" t="n">
        <v>6380</v>
      </c>
      <c r="C1077" s="20" t="n">
        <v>43381</v>
      </c>
      <c r="D1077" s="38" t="s">
        <v>22</v>
      </c>
      <c r="E1077" s="22" t="s">
        <v>42</v>
      </c>
      <c r="F1077" s="34" t="s">
        <v>1187</v>
      </c>
      <c r="G1077" s="19" t="n">
        <v>23</v>
      </c>
      <c r="H1077" s="19" t="n">
        <v>29</v>
      </c>
      <c r="I1077" s="19" t="n">
        <v>2</v>
      </c>
      <c r="J1077" s="19" t="n">
        <v>51.9</v>
      </c>
      <c r="K1077" s="39" t="n">
        <v>460000</v>
      </c>
      <c r="L1077" s="39" t="n">
        <f aca="false">K1077/J1077</f>
        <v>8863.19845857418</v>
      </c>
      <c r="M1077" s="34" t="s">
        <v>1448</v>
      </c>
      <c r="N1077" s="40"/>
      <c r="O1077" s="30" t="n">
        <f aca="false">K1077+N1077</f>
        <v>460000</v>
      </c>
      <c r="P1077" s="39" t="n">
        <f aca="false">O1077/J1077</f>
        <v>8863.19845857418</v>
      </c>
      <c r="Q1077" s="19" t="s">
        <v>1449</v>
      </c>
      <c r="R1077" s="22" t="s">
        <v>49</v>
      </c>
      <c r="S1077" s="19" t="s">
        <v>29</v>
      </c>
      <c r="T1077" s="19" t="s">
        <v>30</v>
      </c>
      <c r="U1077" s="19" t="s">
        <v>31</v>
      </c>
      <c r="V1077" s="41" t="n">
        <v>43514</v>
      </c>
      <c r="W1077" s="34" t="s">
        <v>1450</v>
      </c>
      <c r="X1077" s="34"/>
      <c r="Y1077" s="47"/>
      <c r="Z1077" s="36"/>
    </row>
    <row r="1078" customFormat="false" ht="13.8" hidden="false" customHeight="false" outlineLevel="0" collapsed="false">
      <c r="A1078" s="18"/>
      <c r="B1078" s="19" t="n">
        <v>6380</v>
      </c>
      <c r="C1078" s="20" t="n">
        <v>43381</v>
      </c>
      <c r="D1078" s="38" t="s">
        <v>22</v>
      </c>
      <c r="E1078" s="22" t="s">
        <v>42</v>
      </c>
      <c r="F1078" s="34" t="s">
        <v>1187</v>
      </c>
      <c r="G1078" s="19" t="n">
        <v>23</v>
      </c>
      <c r="H1078" s="19" t="n">
        <v>29</v>
      </c>
      <c r="I1078" s="19" t="n">
        <v>2</v>
      </c>
      <c r="J1078" s="19" t="n">
        <v>51.9</v>
      </c>
      <c r="K1078" s="39" t="n">
        <v>460000</v>
      </c>
      <c r="L1078" s="39" t="n">
        <f aca="false">K1078/J1078</f>
        <v>8863.19845857418</v>
      </c>
      <c r="M1078" s="34" t="s">
        <v>1448</v>
      </c>
      <c r="N1078" s="40"/>
      <c r="O1078" s="30" t="n">
        <f aca="false">K1078+N1078</f>
        <v>460000</v>
      </c>
      <c r="P1078" s="39" t="n">
        <f aca="false">O1078/J1078</f>
        <v>8863.19845857418</v>
      </c>
      <c r="Q1078" s="19" t="s">
        <v>1449</v>
      </c>
      <c r="R1078" s="22" t="s">
        <v>49</v>
      </c>
      <c r="S1078" s="19" t="s">
        <v>29</v>
      </c>
      <c r="T1078" s="19" t="s">
        <v>30</v>
      </c>
      <c r="U1078" s="19" t="s">
        <v>31</v>
      </c>
      <c r="V1078" s="41" t="n">
        <v>43514</v>
      </c>
      <c r="W1078" s="34" t="s">
        <v>1450</v>
      </c>
      <c r="X1078" s="34"/>
      <c r="Y1078" s="35"/>
      <c r="Z1078" s="43"/>
    </row>
    <row r="1079" customFormat="false" ht="13.8" hidden="false" customHeight="false" outlineLevel="0" collapsed="false">
      <c r="A1079" s="18"/>
      <c r="B1079" s="19" t="n">
        <v>9807</v>
      </c>
      <c r="C1079" s="20" t="n">
        <v>43381</v>
      </c>
      <c r="D1079" s="38" t="s">
        <v>22</v>
      </c>
      <c r="E1079" s="22" t="s">
        <v>75</v>
      </c>
      <c r="F1079" s="34" t="s">
        <v>1107</v>
      </c>
      <c r="G1079" s="19" t="n">
        <v>5</v>
      </c>
      <c r="H1079" s="19" t="n">
        <v>24</v>
      </c>
      <c r="I1079" s="19" t="n">
        <v>4</v>
      </c>
      <c r="J1079" s="19" t="n">
        <v>58.8</v>
      </c>
      <c r="K1079" s="39" t="n">
        <v>440000</v>
      </c>
      <c r="L1079" s="39" t="n">
        <f aca="false">K1079/J1079</f>
        <v>7482.99319727891</v>
      </c>
      <c r="M1079" s="18"/>
      <c r="N1079" s="40"/>
      <c r="O1079" s="30" t="n">
        <f aca="false">K1079+N1079</f>
        <v>440000</v>
      </c>
      <c r="P1079" s="39" t="n">
        <f aca="false">O1079/J1079</f>
        <v>7482.99319727891</v>
      </c>
      <c r="Q1079" s="19" t="s">
        <v>1451</v>
      </c>
      <c r="R1079" s="22" t="s">
        <v>49</v>
      </c>
      <c r="S1079" s="19" t="s">
        <v>862</v>
      </c>
      <c r="T1079" s="19" t="s">
        <v>30</v>
      </c>
      <c r="U1079" s="19" t="s">
        <v>31</v>
      </c>
      <c r="V1079" s="41" t="n">
        <v>43514</v>
      </c>
      <c r="W1079" s="34" t="s">
        <v>1452</v>
      </c>
      <c r="X1079" s="34"/>
      <c r="AMJ1079" s="32"/>
    </row>
    <row r="1080" s="32" customFormat="true" ht="13.8" hidden="false" customHeight="false" outlineLevel="0" collapsed="false">
      <c r="A1080" s="18"/>
      <c r="B1080" s="19" t="n">
        <v>9807</v>
      </c>
      <c r="C1080" s="20" t="n">
        <v>43381</v>
      </c>
      <c r="D1080" s="38" t="s">
        <v>22</v>
      </c>
      <c r="E1080" s="22" t="s">
        <v>75</v>
      </c>
      <c r="F1080" s="34" t="s">
        <v>1107</v>
      </c>
      <c r="G1080" s="19" t="n">
        <v>5</v>
      </c>
      <c r="H1080" s="19" t="n">
        <v>24</v>
      </c>
      <c r="I1080" s="19" t="n">
        <v>4</v>
      </c>
      <c r="J1080" s="19" t="n">
        <v>58.8</v>
      </c>
      <c r="K1080" s="39" t="n">
        <v>440000</v>
      </c>
      <c r="L1080" s="39" t="n">
        <f aca="false">K1080/J1080</f>
        <v>7482.99319727891</v>
      </c>
      <c r="M1080" s="34"/>
      <c r="N1080" s="40"/>
      <c r="O1080" s="30" t="n">
        <f aca="false">K1080+N1080</f>
        <v>440000</v>
      </c>
      <c r="P1080" s="39" t="n">
        <f aca="false">O1080/J1080</f>
        <v>7482.99319727891</v>
      </c>
      <c r="Q1080" s="19" t="s">
        <v>1451</v>
      </c>
      <c r="R1080" s="22" t="s">
        <v>49</v>
      </c>
      <c r="S1080" s="19" t="s">
        <v>862</v>
      </c>
      <c r="T1080" s="19" t="s">
        <v>30</v>
      </c>
      <c r="U1080" s="19" t="s">
        <v>31</v>
      </c>
      <c r="V1080" s="41" t="n">
        <v>43514</v>
      </c>
      <c r="W1080" s="34" t="s">
        <v>1452</v>
      </c>
      <c r="X1080" s="34"/>
    </row>
    <row r="1081" s="32" customFormat="true" ht="13.8" hidden="false" customHeight="false" outlineLevel="0" collapsed="false">
      <c r="A1081" s="18"/>
      <c r="B1081" s="19" t="n">
        <v>4026</v>
      </c>
      <c r="C1081" s="20" t="n">
        <v>43381</v>
      </c>
      <c r="D1081" s="38" t="s">
        <v>22</v>
      </c>
      <c r="E1081" s="22" t="s">
        <v>652</v>
      </c>
      <c r="F1081" s="34" t="s">
        <v>46</v>
      </c>
      <c r="G1081" s="19" t="n">
        <v>233</v>
      </c>
      <c r="H1081" s="19" t="n">
        <v>20</v>
      </c>
      <c r="I1081" s="19" t="n">
        <v>3</v>
      </c>
      <c r="J1081" s="19" t="n">
        <v>52.14</v>
      </c>
      <c r="K1081" s="39" t="n">
        <v>605000</v>
      </c>
      <c r="L1081" s="39" t="n">
        <f aca="false">ROUND(K1081/J1081,2)</f>
        <v>11603.38</v>
      </c>
      <c r="M1081" s="48" t="s">
        <v>940</v>
      </c>
      <c r="N1081" s="40"/>
      <c r="O1081" s="30" t="n">
        <f aca="false">K1081+N1081</f>
        <v>605000</v>
      </c>
      <c r="P1081" s="39" t="n">
        <f aca="false">ROUND(O1081/J1081,2)</f>
        <v>11603.38</v>
      </c>
      <c r="Q1081" s="19" t="s">
        <v>1351</v>
      </c>
      <c r="R1081" s="22" t="s">
        <v>26</v>
      </c>
      <c r="S1081" s="19" t="s">
        <v>29</v>
      </c>
      <c r="T1081" s="19" t="s">
        <v>30</v>
      </c>
      <c r="U1081" s="31" t="s">
        <v>31</v>
      </c>
      <c r="V1081" s="41" t="n">
        <v>43514</v>
      </c>
      <c r="W1081" s="18"/>
      <c r="X1081" s="18"/>
    </row>
    <row r="1082" s="32" customFormat="true" ht="13.8" hidden="false" customHeight="false" outlineLevel="0" collapsed="false">
      <c r="A1082" s="18"/>
      <c r="B1082" s="19" t="n">
        <v>2407</v>
      </c>
      <c r="C1082" s="20" t="n">
        <v>43381</v>
      </c>
      <c r="D1082" s="38" t="s">
        <v>22</v>
      </c>
      <c r="E1082" s="22" t="s">
        <v>433</v>
      </c>
      <c r="F1082" s="34" t="s">
        <v>1072</v>
      </c>
      <c r="G1082" s="19" t="n">
        <v>4</v>
      </c>
      <c r="H1082" s="19" t="n">
        <v>15</v>
      </c>
      <c r="I1082" s="19" t="n">
        <v>2</v>
      </c>
      <c r="J1082" s="19" t="n">
        <v>53.95</v>
      </c>
      <c r="K1082" s="39" t="n">
        <v>465000</v>
      </c>
      <c r="L1082" s="39" t="n">
        <f aca="false">K1082/J1082</f>
        <v>8619.09175162187</v>
      </c>
      <c r="M1082" s="34"/>
      <c r="N1082" s="40"/>
      <c r="O1082" s="30" t="n">
        <f aca="false">K1082+N1082</f>
        <v>465000</v>
      </c>
      <c r="P1082" s="39" t="n">
        <f aca="false">O1082/J1082</f>
        <v>8619.09175162187</v>
      </c>
      <c r="Q1082" s="19" t="s">
        <v>1453</v>
      </c>
      <c r="R1082" s="22" t="s">
        <v>26</v>
      </c>
      <c r="S1082" s="19" t="s">
        <v>29</v>
      </c>
      <c r="T1082" s="19" t="s">
        <v>30</v>
      </c>
      <c r="U1082" s="19" t="s">
        <v>31</v>
      </c>
      <c r="V1082" s="41" t="n">
        <v>43514</v>
      </c>
      <c r="W1082" s="34" t="s">
        <v>1454</v>
      </c>
      <c r="X1082" s="18"/>
    </row>
    <row r="1083" s="32" customFormat="true" ht="13.8" hidden="false" customHeight="false" outlineLevel="0" collapsed="false">
      <c r="A1083" s="18"/>
      <c r="B1083" s="19" t="n">
        <v>4411</v>
      </c>
      <c r="C1083" s="20" t="n">
        <v>43381</v>
      </c>
      <c r="D1083" s="38" t="s">
        <v>22</v>
      </c>
      <c r="E1083" s="22" t="s">
        <v>80</v>
      </c>
      <c r="F1083" s="34" t="s">
        <v>754</v>
      </c>
      <c r="G1083" s="19" t="n">
        <v>3</v>
      </c>
      <c r="H1083" s="19" t="n">
        <v>10</v>
      </c>
      <c r="I1083" s="19" t="n">
        <v>4</v>
      </c>
      <c r="J1083" s="19" t="n">
        <v>100.9</v>
      </c>
      <c r="K1083" s="39" t="n">
        <v>1341000</v>
      </c>
      <c r="L1083" s="39" t="n">
        <f aca="false">K1083/J1083</f>
        <v>13290.3865213082</v>
      </c>
      <c r="M1083" s="34"/>
      <c r="N1083" s="40"/>
      <c r="O1083" s="30" t="n">
        <f aca="false">K1083+N1083</f>
        <v>1341000</v>
      </c>
      <c r="P1083" s="39" t="n">
        <f aca="false">O1083/J1083</f>
        <v>13290.3865213082</v>
      </c>
      <c r="Q1083" s="19" t="s">
        <v>1455</v>
      </c>
      <c r="R1083" s="22" t="s">
        <v>26</v>
      </c>
      <c r="S1083" s="19" t="s">
        <v>29</v>
      </c>
      <c r="T1083" s="19" t="s">
        <v>30</v>
      </c>
      <c r="U1083" s="19" t="s">
        <v>31</v>
      </c>
      <c r="V1083" s="41" t="n">
        <v>43514</v>
      </c>
      <c r="W1083" s="34" t="s">
        <v>1456</v>
      </c>
      <c r="X1083" s="18"/>
    </row>
    <row r="1084" s="32" customFormat="true" ht="13.8" hidden="false" customHeight="false" outlineLevel="0" collapsed="false">
      <c r="A1084" s="18"/>
      <c r="B1084" s="19" t="n">
        <v>7069</v>
      </c>
      <c r="C1084" s="20" t="n">
        <v>43382</v>
      </c>
      <c r="D1084" s="38" t="s">
        <v>22</v>
      </c>
      <c r="E1084" s="22" t="s">
        <v>23</v>
      </c>
      <c r="F1084" s="34" t="s">
        <v>955</v>
      </c>
      <c r="G1084" s="19" t="n">
        <v>67</v>
      </c>
      <c r="H1084" s="19" t="n">
        <v>58</v>
      </c>
      <c r="I1084" s="19" t="n">
        <v>5</v>
      </c>
      <c r="J1084" s="19" t="n">
        <v>37.8</v>
      </c>
      <c r="K1084" s="39" t="n">
        <v>335000</v>
      </c>
      <c r="L1084" s="39" t="n">
        <f aca="false">K1084/J1084</f>
        <v>8862.43386243386</v>
      </c>
      <c r="M1084" s="34"/>
      <c r="N1084" s="40"/>
      <c r="O1084" s="30" t="n">
        <f aca="false">K1084+N1084</f>
        <v>335000</v>
      </c>
      <c r="P1084" s="39" t="n">
        <f aca="false">O1084/J1084</f>
        <v>8862.43386243386</v>
      </c>
      <c r="Q1084" s="19" t="s">
        <v>1457</v>
      </c>
      <c r="R1084" s="22" t="s">
        <v>36</v>
      </c>
      <c r="S1084" s="19" t="s">
        <v>29</v>
      </c>
      <c r="T1084" s="19" t="s">
        <v>30</v>
      </c>
      <c r="U1084" s="19" t="s">
        <v>31</v>
      </c>
      <c r="V1084" s="41" t="n">
        <v>43514</v>
      </c>
      <c r="W1084" s="34" t="s">
        <v>1458</v>
      </c>
      <c r="X1084" s="34"/>
    </row>
    <row r="1085" customFormat="false" ht="13.8" hidden="false" customHeight="false" outlineLevel="0" collapsed="false">
      <c r="A1085" s="18"/>
      <c r="B1085" s="19" t="n">
        <v>7069</v>
      </c>
      <c r="C1085" s="20" t="n">
        <v>43382</v>
      </c>
      <c r="D1085" s="38" t="s">
        <v>22</v>
      </c>
      <c r="E1085" s="22" t="s">
        <v>23</v>
      </c>
      <c r="F1085" s="34" t="s">
        <v>1459</v>
      </c>
      <c r="G1085" s="19" t="n">
        <v>67</v>
      </c>
      <c r="H1085" s="19" t="n">
        <v>58</v>
      </c>
      <c r="I1085" s="19" t="n">
        <v>5</v>
      </c>
      <c r="J1085" s="19" t="n">
        <v>37.8</v>
      </c>
      <c r="K1085" s="39" t="n">
        <v>335000</v>
      </c>
      <c r="L1085" s="39" t="n">
        <f aca="false">K1085/J1085</f>
        <v>8862.43386243386</v>
      </c>
      <c r="M1085" s="34" t="s">
        <v>1460</v>
      </c>
      <c r="N1085" s="40"/>
      <c r="O1085" s="30" t="n">
        <f aca="false">K1085+N1085</f>
        <v>335000</v>
      </c>
      <c r="P1085" s="39" t="n">
        <f aca="false">O1085/J1085</f>
        <v>8862.43386243386</v>
      </c>
      <c r="Q1085" s="19" t="s">
        <v>1369</v>
      </c>
      <c r="R1085" s="22" t="s">
        <v>26</v>
      </c>
      <c r="S1085" s="19" t="s">
        <v>29</v>
      </c>
      <c r="T1085" s="19" t="s">
        <v>30</v>
      </c>
      <c r="U1085" s="19" t="s">
        <v>31</v>
      </c>
      <c r="V1085" s="41" t="n">
        <v>43514</v>
      </c>
      <c r="W1085" s="34" t="s">
        <v>1458</v>
      </c>
      <c r="X1085" s="34"/>
      <c r="Y1085" s="35"/>
      <c r="Z1085" s="36"/>
    </row>
    <row r="1086" customFormat="false" ht="13.8" hidden="false" customHeight="false" outlineLevel="0" collapsed="false">
      <c r="A1086" s="18"/>
      <c r="B1086" s="19" t="n">
        <v>9892</v>
      </c>
      <c r="C1086" s="20" t="n">
        <v>43382</v>
      </c>
      <c r="D1086" s="38" t="s">
        <v>22</v>
      </c>
      <c r="E1086" s="22" t="s">
        <v>203</v>
      </c>
      <c r="F1086" s="34" t="s">
        <v>138</v>
      </c>
      <c r="G1086" s="19" t="n">
        <v>12</v>
      </c>
      <c r="H1086" s="19" t="n">
        <v>814</v>
      </c>
      <c r="I1086" s="19" t="n">
        <v>9</v>
      </c>
      <c r="J1086" s="19" t="n">
        <v>77.57</v>
      </c>
      <c r="K1086" s="39" t="n">
        <v>750000</v>
      </c>
      <c r="L1086" s="39" t="n">
        <f aca="false">K1086/J1086</f>
        <v>9668.68634781488</v>
      </c>
      <c r="M1086" s="34" t="s">
        <v>1461</v>
      </c>
      <c r="N1086" s="40" t="n">
        <v>30000</v>
      </c>
      <c r="O1086" s="30" t="n">
        <f aca="false">K1086+N1086</f>
        <v>780000</v>
      </c>
      <c r="P1086" s="39" t="n">
        <f aca="false">O1086/J1086</f>
        <v>10055.4338017275</v>
      </c>
      <c r="Q1086" s="19" t="s">
        <v>1462</v>
      </c>
      <c r="R1086" s="22" t="s">
        <v>49</v>
      </c>
      <c r="S1086" s="19" t="s">
        <v>29</v>
      </c>
      <c r="T1086" s="19" t="s">
        <v>30</v>
      </c>
      <c r="U1086" s="19" t="s">
        <v>31</v>
      </c>
      <c r="V1086" s="41" t="n">
        <v>43514</v>
      </c>
      <c r="W1086" s="34" t="s">
        <v>1463</v>
      </c>
      <c r="X1086" s="34"/>
      <c r="Y1086" s="35"/>
      <c r="Z1086" s="43"/>
    </row>
    <row r="1087" customFormat="false" ht="13.8" hidden="false" customHeight="false" outlineLevel="0" collapsed="false">
      <c r="A1087" s="18"/>
      <c r="B1087" s="19" t="n">
        <v>9892</v>
      </c>
      <c r="C1087" s="20" t="n">
        <v>43382</v>
      </c>
      <c r="D1087" s="38" t="s">
        <v>22</v>
      </c>
      <c r="E1087" s="22" t="s">
        <v>203</v>
      </c>
      <c r="F1087" s="34" t="s">
        <v>138</v>
      </c>
      <c r="G1087" s="19" t="n">
        <v>12</v>
      </c>
      <c r="H1087" s="19" t="n">
        <v>814</v>
      </c>
      <c r="I1087" s="19" t="n">
        <v>9</v>
      </c>
      <c r="J1087" s="19" t="n">
        <v>77.57</v>
      </c>
      <c r="K1087" s="39" t="n">
        <v>750000</v>
      </c>
      <c r="L1087" s="39" t="n">
        <f aca="false">K1087/J1087</f>
        <v>9668.68634781488</v>
      </c>
      <c r="M1087" s="34" t="s">
        <v>1461</v>
      </c>
      <c r="N1087" s="40" t="n">
        <v>30000</v>
      </c>
      <c r="O1087" s="30" t="n">
        <f aca="false">K1087+N1087</f>
        <v>780000</v>
      </c>
      <c r="P1087" s="39" t="n">
        <f aca="false">O1087/J1087</f>
        <v>10055.4338017275</v>
      </c>
      <c r="Q1087" s="19" t="s">
        <v>1462</v>
      </c>
      <c r="R1087" s="22" t="s">
        <v>49</v>
      </c>
      <c r="S1087" s="19" t="s">
        <v>29</v>
      </c>
      <c r="T1087" s="19" t="s">
        <v>30</v>
      </c>
      <c r="U1087" s="19" t="s">
        <v>31</v>
      </c>
      <c r="V1087" s="41" t="n">
        <v>43514</v>
      </c>
      <c r="W1087" s="34" t="s">
        <v>1463</v>
      </c>
      <c r="X1087" s="34"/>
    </row>
    <row r="1088" customFormat="false" ht="13.8" hidden="false" customHeight="false" outlineLevel="0" collapsed="false">
      <c r="A1088" s="18"/>
      <c r="B1088" s="19" t="n">
        <v>6152</v>
      </c>
      <c r="C1088" s="20" t="n">
        <v>43382</v>
      </c>
      <c r="D1088" s="38" t="s">
        <v>22</v>
      </c>
      <c r="E1088" s="22" t="s">
        <v>42</v>
      </c>
      <c r="F1088" s="34" t="s">
        <v>263</v>
      </c>
      <c r="G1088" s="19" t="n">
        <v>4</v>
      </c>
      <c r="H1088" s="19" t="n">
        <v>14</v>
      </c>
      <c r="I1088" s="19" t="n">
        <v>1</v>
      </c>
      <c r="J1088" s="19" t="n">
        <v>23</v>
      </c>
      <c r="K1088" s="39" t="n">
        <v>275000</v>
      </c>
      <c r="L1088" s="39" t="n">
        <f aca="false">K1088/J1088</f>
        <v>11956.5217391304</v>
      </c>
      <c r="M1088" s="18"/>
      <c r="N1088" s="40"/>
      <c r="O1088" s="30" t="n">
        <f aca="false">K1088+N1088</f>
        <v>275000</v>
      </c>
      <c r="P1088" s="39" t="n">
        <f aca="false">O1088/J1088</f>
        <v>11956.5217391304</v>
      </c>
      <c r="Q1088" s="19" t="s">
        <v>1287</v>
      </c>
      <c r="R1088" s="22" t="s">
        <v>36</v>
      </c>
      <c r="S1088" s="19" t="s">
        <v>29</v>
      </c>
      <c r="T1088" s="19" t="s">
        <v>30</v>
      </c>
      <c r="U1088" s="19" t="s">
        <v>31</v>
      </c>
      <c r="V1088" s="41" t="n">
        <v>43514</v>
      </c>
      <c r="W1088" s="34" t="s">
        <v>1464</v>
      </c>
      <c r="X1088" s="34"/>
    </row>
    <row r="1089" customFormat="false" ht="13.8" hidden="false" customHeight="false" outlineLevel="0" collapsed="false">
      <c r="A1089" s="18"/>
      <c r="B1089" s="19" t="n">
        <v>3367</v>
      </c>
      <c r="C1089" s="20" t="n">
        <v>43382</v>
      </c>
      <c r="D1089" s="38" t="s">
        <v>22</v>
      </c>
      <c r="E1089" s="22" t="s">
        <v>268</v>
      </c>
      <c r="F1089" s="34" t="s">
        <v>87</v>
      </c>
      <c r="G1089" s="19" t="s">
        <v>1465</v>
      </c>
      <c r="H1089" s="19" t="n">
        <v>7</v>
      </c>
      <c r="I1089" s="19" t="n">
        <v>2</v>
      </c>
      <c r="J1089" s="19" t="n">
        <v>54.6</v>
      </c>
      <c r="K1089" s="39" t="n">
        <v>415000</v>
      </c>
      <c r="L1089" s="39" t="n">
        <f aca="false">K1089/J1089</f>
        <v>7600.7326007326</v>
      </c>
      <c r="M1089" s="34" t="s">
        <v>189</v>
      </c>
      <c r="N1089" s="40"/>
      <c r="O1089" s="30" t="n">
        <f aca="false">K1089+N1089</f>
        <v>415000</v>
      </c>
      <c r="P1089" s="39" t="n">
        <f aca="false">O1089/J1089</f>
        <v>7600.7326007326</v>
      </c>
      <c r="Q1089" s="19" t="s">
        <v>1466</v>
      </c>
      <c r="R1089" s="22" t="s">
        <v>49</v>
      </c>
      <c r="S1089" s="19" t="s">
        <v>29</v>
      </c>
      <c r="T1089" s="19" t="s">
        <v>30</v>
      </c>
      <c r="U1089" s="19" t="s">
        <v>31</v>
      </c>
      <c r="V1089" s="41" t="n">
        <v>43514</v>
      </c>
      <c r="W1089" s="34" t="s">
        <v>1467</v>
      </c>
      <c r="X1089" s="18"/>
      <c r="AMJ1089" s="32"/>
    </row>
    <row r="1090" s="32" customFormat="true" ht="13.8" hidden="false" customHeight="false" outlineLevel="0" collapsed="false">
      <c r="A1090" s="18"/>
      <c r="B1090" s="19" t="n">
        <v>8689</v>
      </c>
      <c r="C1090" s="20" t="n">
        <v>43382</v>
      </c>
      <c r="D1090" s="38" t="s">
        <v>22</v>
      </c>
      <c r="E1090" s="22" t="s">
        <v>45</v>
      </c>
      <c r="F1090" s="34" t="s">
        <v>46</v>
      </c>
      <c r="G1090" s="19" t="n">
        <v>20</v>
      </c>
      <c r="H1090" s="19" t="n">
        <v>8</v>
      </c>
      <c r="I1090" s="19" t="n">
        <v>5</v>
      </c>
      <c r="J1090" s="19" t="n">
        <v>64.68</v>
      </c>
      <c r="K1090" s="39" t="n">
        <v>685000</v>
      </c>
      <c r="L1090" s="39" t="n">
        <f aca="false">K1090/J1090</f>
        <v>10590.5998763142</v>
      </c>
      <c r="M1090" s="18"/>
      <c r="N1090" s="40"/>
      <c r="O1090" s="30" t="n">
        <f aca="false">K1090+N1090</f>
        <v>685000</v>
      </c>
      <c r="P1090" s="39" t="n">
        <f aca="false">O1090/J1090</f>
        <v>10590.5998763142</v>
      </c>
      <c r="Q1090" s="19" t="s">
        <v>1369</v>
      </c>
      <c r="R1090" s="22" t="s">
        <v>26</v>
      </c>
      <c r="S1090" s="19" t="s">
        <v>29</v>
      </c>
      <c r="T1090" s="19" t="s">
        <v>30</v>
      </c>
      <c r="U1090" s="19" t="s">
        <v>31</v>
      </c>
      <c r="V1090" s="41" t="n">
        <v>43514</v>
      </c>
      <c r="W1090" s="34" t="s">
        <v>1468</v>
      </c>
      <c r="X1090" s="18"/>
    </row>
    <row r="1091" customFormat="false" ht="13.8" hidden="false" customHeight="false" outlineLevel="0" collapsed="false">
      <c r="A1091" s="18"/>
      <c r="B1091" s="19" t="n">
        <v>8862</v>
      </c>
      <c r="C1091" s="20" t="n">
        <v>43382</v>
      </c>
      <c r="D1091" s="38" t="s">
        <v>22</v>
      </c>
      <c r="E1091" s="22" t="s">
        <v>118</v>
      </c>
      <c r="F1091" s="34" t="s">
        <v>462</v>
      </c>
      <c r="G1091" s="19" t="n">
        <v>2</v>
      </c>
      <c r="H1091" s="19" t="n">
        <v>123</v>
      </c>
      <c r="I1091" s="19" t="n">
        <v>11</v>
      </c>
      <c r="J1091" s="19" t="n">
        <v>45.6</v>
      </c>
      <c r="K1091" s="39" t="n">
        <v>330000</v>
      </c>
      <c r="L1091" s="39" t="n">
        <f aca="false">K1091/J1091</f>
        <v>7236.84210526316</v>
      </c>
      <c r="M1091" s="34"/>
      <c r="N1091" s="40"/>
      <c r="O1091" s="30" t="n">
        <f aca="false">K1091+N1091</f>
        <v>330000</v>
      </c>
      <c r="P1091" s="39" t="n">
        <f aca="false">O1091/J1091</f>
        <v>7236.84210526316</v>
      </c>
      <c r="Q1091" s="19" t="s">
        <v>1469</v>
      </c>
      <c r="R1091" s="22" t="s">
        <v>26</v>
      </c>
      <c r="S1091" s="19" t="s">
        <v>29</v>
      </c>
      <c r="T1091" s="19" t="s">
        <v>30</v>
      </c>
      <c r="U1091" s="19" t="s">
        <v>31</v>
      </c>
      <c r="V1091" s="41" t="n">
        <v>43514</v>
      </c>
      <c r="W1091" s="34" t="s">
        <v>1470</v>
      </c>
      <c r="X1091" s="18"/>
    </row>
    <row r="1092" customFormat="false" ht="13.8" hidden="false" customHeight="false" outlineLevel="0" collapsed="false">
      <c r="A1092" s="18"/>
      <c r="B1092" s="19" t="s">
        <v>887</v>
      </c>
      <c r="C1092" s="20" t="n">
        <v>43383</v>
      </c>
      <c r="D1092" s="38" t="s">
        <v>22</v>
      </c>
      <c r="E1092" s="22" t="s">
        <v>212</v>
      </c>
      <c r="F1092" s="45" t="s">
        <v>94</v>
      </c>
      <c r="G1092" s="19" t="n">
        <v>15</v>
      </c>
      <c r="H1092" s="19"/>
      <c r="I1092" s="19" t="n">
        <v>15</v>
      </c>
      <c r="J1092" s="25" t="n">
        <v>57.1</v>
      </c>
      <c r="K1092" s="39" t="n">
        <v>350000</v>
      </c>
      <c r="L1092" s="39" t="n">
        <f aca="false">K1092/J1092</f>
        <v>6129.59719789842</v>
      </c>
      <c r="M1092" s="34"/>
      <c r="N1092" s="40"/>
      <c r="O1092" s="30" t="n">
        <f aca="false">K1092+N1092</f>
        <v>350000</v>
      </c>
      <c r="P1092" s="39" t="n">
        <f aca="false">O1092/J1092</f>
        <v>6129.59719789842</v>
      </c>
      <c r="Q1092" s="19" t="s">
        <v>889</v>
      </c>
      <c r="R1092" s="19" t="n">
        <v>4</v>
      </c>
      <c r="S1092" s="19" t="s">
        <v>890</v>
      </c>
      <c r="T1092" s="19"/>
      <c r="U1092" s="19" t="s">
        <v>31</v>
      </c>
      <c r="V1092" s="41" t="n">
        <v>43727</v>
      </c>
      <c r="W1092" s="34"/>
      <c r="X1092" s="34"/>
      <c r="AMJ1092" s="32"/>
    </row>
    <row r="1093" s="32" customFormat="true" ht="13.8" hidden="false" customHeight="false" outlineLevel="0" collapsed="false">
      <c r="A1093" s="18"/>
      <c r="B1093" s="19" t="n">
        <v>6679</v>
      </c>
      <c r="C1093" s="20" t="n">
        <v>43383</v>
      </c>
      <c r="D1093" s="38" t="s">
        <v>22</v>
      </c>
      <c r="E1093" s="22" t="s">
        <v>212</v>
      </c>
      <c r="F1093" s="34" t="s">
        <v>1459</v>
      </c>
      <c r="G1093" s="19" t="n">
        <v>15</v>
      </c>
      <c r="H1093" s="19" t="n">
        <v>84</v>
      </c>
      <c r="I1093" s="19" t="n">
        <v>15</v>
      </c>
      <c r="J1093" s="19" t="n">
        <v>57.1</v>
      </c>
      <c r="K1093" s="39" t="n">
        <v>350000</v>
      </c>
      <c r="L1093" s="39" t="n">
        <f aca="false">K1093/J1093</f>
        <v>6129.59719789842</v>
      </c>
      <c r="M1093" s="34" t="s">
        <v>189</v>
      </c>
      <c r="N1093" s="40"/>
      <c r="O1093" s="30" t="n">
        <f aca="false">K1093+N1093</f>
        <v>350000</v>
      </c>
      <c r="P1093" s="39" t="n">
        <f aca="false">O1093/J1093</f>
        <v>6129.59719789842</v>
      </c>
      <c r="Q1093" s="19" t="s">
        <v>1471</v>
      </c>
      <c r="R1093" s="22" t="s">
        <v>49</v>
      </c>
      <c r="S1093" s="19" t="s">
        <v>29</v>
      </c>
      <c r="T1093" s="19" t="s">
        <v>30</v>
      </c>
      <c r="U1093" s="19" t="s">
        <v>31</v>
      </c>
      <c r="V1093" s="41" t="n">
        <v>43514</v>
      </c>
      <c r="W1093" s="34" t="s">
        <v>1472</v>
      </c>
      <c r="X1093" s="18"/>
    </row>
    <row r="1094" customFormat="false" ht="13.8" hidden="false" customHeight="false" outlineLevel="0" collapsed="false">
      <c r="A1094" s="18"/>
      <c r="B1094" s="19" t="n">
        <v>3312</v>
      </c>
      <c r="C1094" s="20" t="n">
        <v>43383</v>
      </c>
      <c r="D1094" s="38" t="s">
        <v>22</v>
      </c>
      <c r="E1094" s="22" t="s">
        <v>299</v>
      </c>
      <c r="F1094" s="34" t="s">
        <v>1459</v>
      </c>
      <c r="G1094" s="19" t="n">
        <v>88</v>
      </c>
      <c r="H1094" s="19" t="n">
        <v>31</v>
      </c>
      <c r="I1094" s="19" t="n">
        <v>6</v>
      </c>
      <c r="J1094" s="19" t="n">
        <v>24.46</v>
      </c>
      <c r="K1094" s="39" t="n">
        <v>340000</v>
      </c>
      <c r="L1094" s="39" t="n">
        <f aca="false">K1094/J1094</f>
        <v>13900.2452984464</v>
      </c>
      <c r="M1094" s="18"/>
      <c r="N1094" s="40"/>
      <c r="O1094" s="30" t="n">
        <f aca="false">K1094+N1094</f>
        <v>340000</v>
      </c>
      <c r="P1094" s="39" t="n">
        <f aca="false">O1094/J1094</f>
        <v>13900.2452984464</v>
      </c>
      <c r="Q1094" s="19" t="s">
        <v>1473</v>
      </c>
      <c r="R1094" s="22" t="s">
        <v>27</v>
      </c>
      <c r="S1094" s="19" t="s">
        <v>29</v>
      </c>
      <c r="T1094" s="19" t="s">
        <v>30</v>
      </c>
      <c r="U1094" s="19" t="s">
        <v>31</v>
      </c>
      <c r="V1094" s="41" t="n">
        <v>43514</v>
      </c>
      <c r="W1094" s="34" t="s">
        <v>1474</v>
      </c>
      <c r="X1094" s="18"/>
    </row>
    <row r="1095" customFormat="false" ht="13.8" hidden="false" customHeight="false" outlineLevel="0" collapsed="false">
      <c r="A1095" s="18"/>
      <c r="B1095" s="19" t="n">
        <v>3312</v>
      </c>
      <c r="C1095" s="20" t="n">
        <v>43383</v>
      </c>
      <c r="D1095" s="38" t="s">
        <v>22</v>
      </c>
      <c r="E1095" s="22" t="s">
        <v>299</v>
      </c>
      <c r="F1095" s="34" t="s">
        <v>1459</v>
      </c>
      <c r="G1095" s="19" t="n">
        <v>88</v>
      </c>
      <c r="H1095" s="19" t="n">
        <v>31</v>
      </c>
      <c r="I1095" s="19" t="n">
        <v>6</v>
      </c>
      <c r="J1095" s="19" t="n">
        <v>24.46</v>
      </c>
      <c r="K1095" s="39" t="n">
        <v>340000</v>
      </c>
      <c r="L1095" s="39" t="n">
        <f aca="false">K1095/J1095</f>
        <v>13900.2452984464</v>
      </c>
      <c r="M1095" s="18"/>
      <c r="N1095" s="40"/>
      <c r="O1095" s="30" t="n">
        <f aca="false">K1095+N1095</f>
        <v>340000</v>
      </c>
      <c r="P1095" s="39" t="n">
        <f aca="false">O1095/J1095</f>
        <v>13900.2452984464</v>
      </c>
      <c r="Q1095" s="19" t="s">
        <v>1473</v>
      </c>
      <c r="R1095" s="22" t="s">
        <v>27</v>
      </c>
      <c r="S1095" s="19" t="s">
        <v>29</v>
      </c>
      <c r="T1095" s="19" t="s">
        <v>30</v>
      </c>
      <c r="U1095" s="19" t="s">
        <v>31</v>
      </c>
      <c r="V1095" s="41" t="n">
        <v>43514</v>
      </c>
      <c r="W1095" s="34" t="s">
        <v>1474</v>
      </c>
      <c r="X1095" s="18"/>
    </row>
    <row r="1096" customFormat="false" ht="13.8" hidden="false" customHeight="false" outlineLevel="0" collapsed="false">
      <c r="A1096" s="18"/>
      <c r="B1096" s="19" t="n">
        <v>2202</v>
      </c>
      <c r="C1096" s="20" t="n">
        <v>43383</v>
      </c>
      <c r="D1096" s="38" t="s">
        <v>22</v>
      </c>
      <c r="E1096" s="22" t="s">
        <v>190</v>
      </c>
      <c r="F1096" s="34" t="s">
        <v>191</v>
      </c>
      <c r="G1096" s="19" t="s">
        <v>1475</v>
      </c>
      <c r="H1096" s="19" t="n">
        <v>7</v>
      </c>
      <c r="I1096" s="19" t="n">
        <v>2</v>
      </c>
      <c r="J1096" s="19" t="n">
        <v>56.6</v>
      </c>
      <c r="K1096" s="39" t="n">
        <v>400000</v>
      </c>
      <c r="L1096" s="39" t="n">
        <f aca="false">K1096/J1096</f>
        <v>7067.13780918728</v>
      </c>
      <c r="M1096" s="18"/>
      <c r="N1096" s="40"/>
      <c r="O1096" s="30" t="n">
        <f aca="false">K1096+N1096</f>
        <v>400000</v>
      </c>
      <c r="P1096" s="39" t="n">
        <f aca="false">O1096/J1096</f>
        <v>7067.13780918728</v>
      </c>
      <c r="Q1096" s="19" t="s">
        <v>1476</v>
      </c>
      <c r="R1096" s="22" t="s">
        <v>49</v>
      </c>
      <c r="S1096" s="19" t="s">
        <v>29</v>
      </c>
      <c r="T1096" s="19" t="s">
        <v>30</v>
      </c>
      <c r="U1096" s="19" t="s">
        <v>31</v>
      </c>
      <c r="V1096" s="41" t="n">
        <v>43514</v>
      </c>
      <c r="W1096" s="34" t="s">
        <v>1477</v>
      </c>
      <c r="X1096" s="18"/>
    </row>
    <row r="1097" customFormat="false" ht="13.8" hidden="false" customHeight="false" outlineLevel="0" collapsed="false">
      <c r="A1097" s="18"/>
      <c r="B1097" s="19" t="n">
        <v>2202</v>
      </c>
      <c r="C1097" s="20" t="n">
        <v>43383</v>
      </c>
      <c r="D1097" s="38" t="s">
        <v>22</v>
      </c>
      <c r="E1097" s="22" t="s">
        <v>190</v>
      </c>
      <c r="F1097" s="34" t="s">
        <v>191</v>
      </c>
      <c r="G1097" s="19" t="s">
        <v>1475</v>
      </c>
      <c r="H1097" s="19" t="n">
        <v>7</v>
      </c>
      <c r="I1097" s="19" t="n">
        <v>2</v>
      </c>
      <c r="J1097" s="19" t="n">
        <v>56.6</v>
      </c>
      <c r="K1097" s="39" t="n">
        <v>400000</v>
      </c>
      <c r="L1097" s="39" t="n">
        <f aca="false">K1097/J1097</f>
        <v>7067.13780918728</v>
      </c>
      <c r="M1097" s="18"/>
      <c r="N1097" s="40"/>
      <c r="O1097" s="30" t="n">
        <f aca="false">K1097+N1097</f>
        <v>400000</v>
      </c>
      <c r="P1097" s="39" t="n">
        <f aca="false">O1097/J1097</f>
        <v>7067.13780918728</v>
      </c>
      <c r="Q1097" s="19" t="s">
        <v>1476</v>
      </c>
      <c r="R1097" s="22" t="s">
        <v>49</v>
      </c>
      <c r="S1097" s="19" t="s">
        <v>29</v>
      </c>
      <c r="T1097" s="19" t="s">
        <v>30</v>
      </c>
      <c r="U1097" s="19" t="s">
        <v>31</v>
      </c>
      <c r="V1097" s="41" t="n">
        <v>43514</v>
      </c>
      <c r="W1097" s="34" t="s">
        <v>1477</v>
      </c>
      <c r="X1097" s="18"/>
    </row>
    <row r="1098" customFormat="false" ht="13.8" hidden="false" customHeight="false" outlineLevel="0" collapsed="false">
      <c r="A1098" s="18"/>
      <c r="B1098" s="19" t="n">
        <v>7078</v>
      </c>
      <c r="C1098" s="20" t="n">
        <v>43383</v>
      </c>
      <c r="D1098" s="38" t="s">
        <v>22</v>
      </c>
      <c r="E1098" s="22" t="s">
        <v>265</v>
      </c>
      <c r="F1098" s="34" t="s">
        <v>386</v>
      </c>
      <c r="G1098" s="19" t="n">
        <v>25</v>
      </c>
      <c r="H1098" s="19" t="n">
        <v>15</v>
      </c>
      <c r="I1098" s="19" t="n">
        <v>5</v>
      </c>
      <c r="J1098" s="19" t="n">
        <v>37.1</v>
      </c>
      <c r="K1098" s="39" t="n">
        <v>399000</v>
      </c>
      <c r="L1098" s="39" t="n">
        <f aca="false">K1098/J1098</f>
        <v>10754.7169811321</v>
      </c>
      <c r="M1098" s="34"/>
      <c r="N1098" s="40"/>
      <c r="O1098" s="30" t="n">
        <f aca="false">K1098+N1098</f>
        <v>399000</v>
      </c>
      <c r="P1098" s="39" t="n">
        <f aca="false">O1098/J1098</f>
        <v>10754.7169811321</v>
      </c>
      <c r="Q1098" s="19" t="s">
        <v>1287</v>
      </c>
      <c r="R1098" s="22" t="s">
        <v>36</v>
      </c>
      <c r="S1098" s="19" t="s">
        <v>29</v>
      </c>
      <c r="T1098" s="19" t="s">
        <v>30</v>
      </c>
      <c r="U1098" s="19" t="s">
        <v>31</v>
      </c>
      <c r="V1098" s="41" t="n">
        <v>43514</v>
      </c>
      <c r="W1098" s="34" t="s">
        <v>1478</v>
      </c>
      <c r="X1098" s="34"/>
    </row>
    <row r="1099" customFormat="false" ht="13.8" hidden="false" customHeight="false" outlineLevel="0" collapsed="false">
      <c r="A1099" s="18"/>
      <c r="B1099" s="19" t="n">
        <v>3735</v>
      </c>
      <c r="C1099" s="20" t="n">
        <v>43383</v>
      </c>
      <c r="D1099" s="38" t="s">
        <v>22</v>
      </c>
      <c r="E1099" s="22" t="s">
        <v>187</v>
      </c>
      <c r="F1099" s="34" t="s">
        <v>429</v>
      </c>
      <c r="G1099" s="19" t="n">
        <v>17</v>
      </c>
      <c r="H1099" s="19" t="n">
        <v>2</v>
      </c>
      <c r="I1099" s="19" t="n">
        <v>1</v>
      </c>
      <c r="J1099" s="19" t="n">
        <v>40.18</v>
      </c>
      <c r="K1099" s="39" t="n">
        <v>440000</v>
      </c>
      <c r="L1099" s="39" t="n">
        <f aca="false">K1099/J1099</f>
        <v>10950.7217521155</v>
      </c>
      <c r="M1099" s="34"/>
      <c r="N1099" s="40"/>
      <c r="O1099" s="30" t="n">
        <f aca="false">K1099+N1099</f>
        <v>440000</v>
      </c>
      <c r="P1099" s="39" t="n">
        <f aca="false">O1099/J1099</f>
        <v>10950.7217521155</v>
      </c>
      <c r="Q1099" s="19" t="s">
        <v>1479</v>
      </c>
      <c r="R1099" s="22" t="s">
        <v>36</v>
      </c>
      <c r="S1099" s="19" t="s">
        <v>29</v>
      </c>
      <c r="T1099" s="19" t="s">
        <v>30</v>
      </c>
      <c r="U1099" s="19" t="s">
        <v>31</v>
      </c>
      <c r="V1099" s="41" t="n">
        <v>43514</v>
      </c>
      <c r="W1099" s="34" t="s">
        <v>1480</v>
      </c>
      <c r="X1099" s="34"/>
      <c r="Z1099" s="33"/>
      <c r="AMJ1099" s="32"/>
    </row>
    <row r="1100" s="32" customFormat="true" ht="13.8" hidden="false" customHeight="false" outlineLevel="0" collapsed="false">
      <c r="A1100" s="18"/>
      <c r="B1100" s="19" t="n">
        <v>3735</v>
      </c>
      <c r="C1100" s="20" t="n">
        <v>43383</v>
      </c>
      <c r="D1100" s="38" t="s">
        <v>22</v>
      </c>
      <c r="E1100" s="22" t="s">
        <v>187</v>
      </c>
      <c r="F1100" s="34" t="s">
        <v>429</v>
      </c>
      <c r="G1100" s="19" t="n">
        <v>17</v>
      </c>
      <c r="H1100" s="19" t="n">
        <v>2</v>
      </c>
      <c r="I1100" s="19" t="n">
        <v>1</v>
      </c>
      <c r="J1100" s="19" t="n">
        <v>40.18</v>
      </c>
      <c r="K1100" s="39" t="n">
        <v>440000</v>
      </c>
      <c r="L1100" s="39" t="n">
        <f aca="false">K1100/J1100</f>
        <v>10950.7217521155</v>
      </c>
      <c r="M1100" s="34"/>
      <c r="N1100" s="40"/>
      <c r="O1100" s="30" t="n">
        <f aca="false">K1100+N1100</f>
        <v>440000</v>
      </c>
      <c r="P1100" s="39" t="n">
        <f aca="false">O1100/J1100</f>
        <v>10950.7217521155</v>
      </c>
      <c r="Q1100" s="19" t="s">
        <v>1479</v>
      </c>
      <c r="R1100" s="22" t="s">
        <v>36</v>
      </c>
      <c r="S1100" s="19" t="s">
        <v>29</v>
      </c>
      <c r="T1100" s="19" t="s">
        <v>30</v>
      </c>
      <c r="U1100" s="19" t="s">
        <v>31</v>
      </c>
      <c r="V1100" s="41" t="n">
        <v>43514</v>
      </c>
      <c r="W1100" s="34" t="s">
        <v>1480</v>
      </c>
      <c r="X1100" s="18"/>
    </row>
    <row r="1101" s="32" customFormat="true" ht="13.8" hidden="false" customHeight="false" outlineLevel="0" collapsed="false">
      <c r="A1101" s="18"/>
      <c r="B1101" s="19" t="n">
        <v>4037</v>
      </c>
      <c r="C1101" s="20" t="n">
        <v>43383</v>
      </c>
      <c r="D1101" s="38" t="s">
        <v>22</v>
      </c>
      <c r="E1101" s="22" t="s">
        <v>302</v>
      </c>
      <c r="F1101" s="34" t="s">
        <v>544</v>
      </c>
      <c r="G1101" s="19" t="s">
        <v>1165</v>
      </c>
      <c r="H1101" s="19" t="n">
        <v>6</v>
      </c>
      <c r="I1101" s="19" t="n">
        <v>2</v>
      </c>
      <c r="J1101" s="19" t="n">
        <v>34.36</v>
      </c>
      <c r="K1101" s="39" t="n">
        <v>379000</v>
      </c>
      <c r="L1101" s="39" t="n">
        <f aca="false">K1101/J1101</f>
        <v>11030.2677532014</v>
      </c>
      <c r="M1101" s="34"/>
      <c r="N1101" s="40"/>
      <c r="O1101" s="30" t="n">
        <f aca="false">K1101+N1101</f>
        <v>379000</v>
      </c>
      <c r="P1101" s="39" t="n">
        <f aca="false">O1101/J1101</f>
        <v>11030.2677532014</v>
      </c>
      <c r="Q1101" s="19" t="s">
        <v>1481</v>
      </c>
      <c r="R1101" s="22" t="s">
        <v>36</v>
      </c>
      <c r="S1101" s="19" t="s">
        <v>29</v>
      </c>
      <c r="T1101" s="19" t="s">
        <v>30</v>
      </c>
      <c r="U1101" s="19" t="s">
        <v>31</v>
      </c>
      <c r="V1101" s="41" t="n">
        <v>43514</v>
      </c>
      <c r="W1101" s="34" t="s">
        <v>1482</v>
      </c>
      <c r="X1101" s="18"/>
    </row>
    <row r="1102" s="32" customFormat="true" ht="13.8" hidden="false" customHeight="false" outlineLevel="0" collapsed="false">
      <c r="A1102" s="18"/>
      <c r="B1102" s="19" t="n">
        <v>2183</v>
      </c>
      <c r="C1102" s="20" t="n">
        <v>43383</v>
      </c>
      <c r="D1102" s="38" t="s">
        <v>22</v>
      </c>
      <c r="E1102" s="22" t="s">
        <v>103</v>
      </c>
      <c r="F1102" s="34" t="s">
        <v>240</v>
      </c>
      <c r="G1102" s="19" t="n">
        <v>1</v>
      </c>
      <c r="H1102" s="19" t="n">
        <v>41</v>
      </c>
      <c r="I1102" s="19" t="n">
        <v>7</v>
      </c>
      <c r="J1102" s="19" t="n">
        <v>109.7</v>
      </c>
      <c r="K1102" s="39" t="n">
        <v>695000</v>
      </c>
      <c r="L1102" s="39" t="n">
        <f aca="false">K1102/J1102</f>
        <v>6335.46034639927</v>
      </c>
      <c r="M1102" s="34" t="s">
        <v>1483</v>
      </c>
      <c r="N1102" s="40"/>
      <c r="O1102" s="30" t="n">
        <f aca="false">K1102+N1102</f>
        <v>695000</v>
      </c>
      <c r="P1102" s="39" t="n">
        <f aca="false">O1102/J1102</f>
        <v>6335.46034639927</v>
      </c>
      <c r="Q1102" s="19" t="s">
        <v>1484</v>
      </c>
      <c r="R1102" s="22" t="s">
        <v>49</v>
      </c>
      <c r="S1102" s="19" t="s">
        <v>29</v>
      </c>
      <c r="T1102" s="19" t="s">
        <v>30</v>
      </c>
      <c r="U1102" s="19" t="s">
        <v>31</v>
      </c>
      <c r="V1102" s="41" t="n">
        <v>43514</v>
      </c>
      <c r="W1102" s="34" t="s">
        <v>1485</v>
      </c>
      <c r="X1102" s="18"/>
    </row>
    <row r="1103" customFormat="false" ht="13.8" hidden="false" customHeight="false" outlineLevel="0" collapsed="false">
      <c r="A1103" s="18"/>
      <c r="B1103" s="19" t="n">
        <v>1760</v>
      </c>
      <c r="C1103" s="20" t="n">
        <v>43383</v>
      </c>
      <c r="D1103" s="38" t="s">
        <v>22</v>
      </c>
      <c r="E1103" s="22" t="s">
        <v>354</v>
      </c>
      <c r="F1103" s="34" t="s">
        <v>456</v>
      </c>
      <c r="G1103" s="19" t="s">
        <v>192</v>
      </c>
      <c r="H1103" s="19" t="n">
        <v>78</v>
      </c>
      <c r="I1103" s="19" t="n">
        <v>3</v>
      </c>
      <c r="J1103" s="19" t="n">
        <v>46.82</v>
      </c>
      <c r="K1103" s="39" t="n">
        <v>425000</v>
      </c>
      <c r="L1103" s="39" t="n">
        <f aca="false">K1103/J1103</f>
        <v>9077.31738573259</v>
      </c>
      <c r="M1103" s="34"/>
      <c r="N1103" s="40"/>
      <c r="O1103" s="30" t="n">
        <f aca="false">K1103+N1103</f>
        <v>425000</v>
      </c>
      <c r="P1103" s="39" t="n">
        <f aca="false">O1103/J1103</f>
        <v>9077.31738573259</v>
      </c>
      <c r="Q1103" s="19" t="s">
        <v>1486</v>
      </c>
      <c r="R1103" s="22" t="s">
        <v>26</v>
      </c>
      <c r="S1103" s="19" t="s">
        <v>29</v>
      </c>
      <c r="T1103" s="19" t="s">
        <v>30</v>
      </c>
      <c r="U1103" s="19" t="s">
        <v>31</v>
      </c>
      <c r="V1103" s="41" t="n">
        <v>43514</v>
      </c>
      <c r="W1103" s="34" t="s">
        <v>1487</v>
      </c>
      <c r="X1103" s="34"/>
    </row>
    <row r="1104" customFormat="false" ht="13.8" hidden="false" customHeight="false" outlineLevel="0" collapsed="false">
      <c r="A1104" s="18"/>
      <c r="B1104" s="19" t="n">
        <v>14265</v>
      </c>
      <c r="C1104" s="20" t="n">
        <v>43383</v>
      </c>
      <c r="D1104" s="38" t="s">
        <v>22</v>
      </c>
      <c r="E1104" s="22" t="s">
        <v>389</v>
      </c>
      <c r="F1104" s="34" t="s">
        <v>582</v>
      </c>
      <c r="G1104" s="19" t="n">
        <v>36</v>
      </c>
      <c r="H1104" s="19" t="n">
        <v>20</v>
      </c>
      <c r="I1104" s="19" t="n">
        <v>6</v>
      </c>
      <c r="J1104" s="19" t="n">
        <v>67.34</v>
      </c>
      <c r="K1104" s="39" t="n">
        <v>723000</v>
      </c>
      <c r="L1104" s="39" t="n">
        <f aca="false">K1104/J1104</f>
        <v>10736.5607365607</v>
      </c>
      <c r="M1104" s="34" t="s">
        <v>1488</v>
      </c>
      <c r="N1104" s="40"/>
      <c r="O1104" s="30" t="n">
        <f aca="false">K1104+N1104</f>
        <v>723000</v>
      </c>
      <c r="P1104" s="39" t="n">
        <f aca="false">O1104/J1104</f>
        <v>10736.5607365607</v>
      </c>
      <c r="Q1104" s="19" t="s">
        <v>1489</v>
      </c>
      <c r="R1104" s="22" t="s">
        <v>26</v>
      </c>
      <c r="S1104" s="19" t="s">
        <v>29</v>
      </c>
      <c r="T1104" s="19" t="s">
        <v>30</v>
      </c>
      <c r="U1104" s="19" t="s">
        <v>31</v>
      </c>
      <c r="V1104" s="41" t="n">
        <v>43514</v>
      </c>
      <c r="W1104" s="34" t="s">
        <v>1490</v>
      </c>
      <c r="X1104" s="18"/>
    </row>
    <row r="1105" customFormat="false" ht="13.8" hidden="false" customHeight="false" outlineLevel="0" collapsed="false">
      <c r="A1105" s="18"/>
      <c r="B1105" s="19" t="n">
        <v>8799</v>
      </c>
      <c r="C1105" s="20" t="n">
        <v>43383</v>
      </c>
      <c r="D1105" s="38" t="s">
        <v>22</v>
      </c>
      <c r="E1105" s="22" t="s">
        <v>399</v>
      </c>
      <c r="F1105" s="34" t="s">
        <v>272</v>
      </c>
      <c r="G1105" s="19" t="n">
        <v>78</v>
      </c>
      <c r="H1105" s="19" t="n">
        <v>8</v>
      </c>
      <c r="I1105" s="19" t="n">
        <v>4</v>
      </c>
      <c r="J1105" s="19" t="n">
        <v>66.6</v>
      </c>
      <c r="K1105" s="39" t="n">
        <f aca="false">610000-5000</f>
        <v>605000</v>
      </c>
      <c r="L1105" s="39" t="n">
        <f aca="false">K1105/J1105</f>
        <v>9084.08408408408</v>
      </c>
      <c r="M1105" s="34" t="s">
        <v>1461</v>
      </c>
      <c r="N1105" s="40" t="n">
        <v>5000</v>
      </c>
      <c r="O1105" s="30" t="n">
        <f aca="false">K1105+N1105</f>
        <v>610000</v>
      </c>
      <c r="P1105" s="39" t="n">
        <f aca="false">O1105/J1105</f>
        <v>9159.15915915916</v>
      </c>
      <c r="Q1105" s="19" t="s">
        <v>1491</v>
      </c>
      <c r="R1105" s="22" t="s">
        <v>26</v>
      </c>
      <c r="S1105" s="19" t="s">
        <v>29</v>
      </c>
      <c r="T1105" s="19" t="s">
        <v>30</v>
      </c>
      <c r="U1105" s="19" t="s">
        <v>31</v>
      </c>
      <c r="V1105" s="41" t="n">
        <v>43514</v>
      </c>
      <c r="W1105" s="34" t="s">
        <v>1492</v>
      </c>
      <c r="X1105" s="34"/>
      <c r="AMJ1105" s="32"/>
    </row>
    <row r="1106" s="32" customFormat="true" ht="13.8" hidden="false" customHeight="false" outlineLevel="0" collapsed="false">
      <c r="A1106" s="18"/>
      <c r="B1106" s="19" t="n">
        <v>35560</v>
      </c>
      <c r="C1106" s="20" t="n">
        <v>43384</v>
      </c>
      <c r="D1106" s="38" t="s">
        <v>22</v>
      </c>
      <c r="E1106" s="22" t="s">
        <v>129</v>
      </c>
      <c r="F1106" s="34" t="s">
        <v>1493</v>
      </c>
      <c r="G1106" s="19" t="n">
        <v>4</v>
      </c>
      <c r="H1106" s="19" t="s">
        <v>1494</v>
      </c>
      <c r="I1106" s="19" t="n">
        <v>13</v>
      </c>
      <c r="J1106" s="19" t="n">
        <v>83.83</v>
      </c>
      <c r="K1106" s="39" t="n">
        <v>580000</v>
      </c>
      <c r="L1106" s="39" t="n">
        <f aca="false">K1106/J1106</f>
        <v>6918.76416557318</v>
      </c>
      <c r="M1106" s="34" t="s">
        <v>1495</v>
      </c>
      <c r="N1106" s="40"/>
      <c r="O1106" s="30" t="n">
        <f aca="false">K1106+N1106</f>
        <v>580000</v>
      </c>
      <c r="P1106" s="39" t="n">
        <f aca="false">O1106/J1106</f>
        <v>6918.76416557318</v>
      </c>
      <c r="Q1106" s="19" t="s">
        <v>1496</v>
      </c>
      <c r="R1106" s="22" t="s">
        <v>49</v>
      </c>
      <c r="S1106" s="19" t="s">
        <v>29</v>
      </c>
      <c r="T1106" s="19" t="s">
        <v>30</v>
      </c>
      <c r="U1106" s="19" t="s">
        <v>31</v>
      </c>
      <c r="V1106" s="41" t="n">
        <v>43514</v>
      </c>
      <c r="W1106" s="34" t="s">
        <v>1497</v>
      </c>
      <c r="X1106" s="34"/>
    </row>
    <row r="1107" s="32" customFormat="true" ht="13.8" hidden="false" customHeight="false" outlineLevel="0" collapsed="false">
      <c r="A1107" s="18"/>
      <c r="B1107" s="19" t="n">
        <v>49533</v>
      </c>
      <c r="C1107" s="20" t="n">
        <v>43384</v>
      </c>
      <c r="D1107" s="38" t="s">
        <v>22</v>
      </c>
      <c r="E1107" s="22" t="s">
        <v>322</v>
      </c>
      <c r="F1107" s="34" t="s">
        <v>323</v>
      </c>
      <c r="G1107" s="19" t="s">
        <v>570</v>
      </c>
      <c r="H1107" s="19" t="n">
        <v>64</v>
      </c>
      <c r="I1107" s="19" t="n">
        <v>7</v>
      </c>
      <c r="J1107" s="19" t="n">
        <v>37.45</v>
      </c>
      <c r="K1107" s="39" t="n">
        <v>364000</v>
      </c>
      <c r="L1107" s="39" t="n">
        <f aca="false">K1107/J1107</f>
        <v>9719.6261682243</v>
      </c>
      <c r="M1107" s="34" t="s">
        <v>987</v>
      </c>
      <c r="N1107" s="40" t="n">
        <v>33000</v>
      </c>
      <c r="O1107" s="30" t="n">
        <f aca="false">K1107+N1107</f>
        <v>397000</v>
      </c>
      <c r="P1107" s="39" t="n">
        <f aca="false">O1107/J1107</f>
        <v>10600.8010680908</v>
      </c>
      <c r="Q1107" s="19" t="s">
        <v>1442</v>
      </c>
      <c r="R1107" s="22" t="s">
        <v>36</v>
      </c>
      <c r="S1107" s="19" t="s">
        <v>29</v>
      </c>
      <c r="T1107" s="19" t="s">
        <v>30</v>
      </c>
      <c r="U1107" s="19" t="s">
        <v>31</v>
      </c>
      <c r="V1107" s="41" t="n">
        <v>43514</v>
      </c>
      <c r="W1107" s="34" t="s">
        <v>1498</v>
      </c>
      <c r="X1107" s="18"/>
    </row>
    <row r="1108" customFormat="false" ht="13.8" hidden="false" customHeight="false" outlineLevel="0" collapsed="false">
      <c r="A1108" s="18"/>
      <c r="B1108" s="19" t="n">
        <v>11707</v>
      </c>
      <c r="C1108" s="20" t="n">
        <v>43384</v>
      </c>
      <c r="D1108" s="38" t="s">
        <v>22</v>
      </c>
      <c r="E1108" s="22" t="s">
        <v>42</v>
      </c>
      <c r="F1108" s="34" t="s">
        <v>1187</v>
      </c>
      <c r="G1108" s="19" t="n">
        <v>15</v>
      </c>
      <c r="H1108" s="19" t="n">
        <v>61</v>
      </c>
      <c r="I1108" s="19" t="n">
        <v>8</v>
      </c>
      <c r="J1108" s="19" t="n">
        <v>36</v>
      </c>
      <c r="K1108" s="39" t="n">
        <v>330000</v>
      </c>
      <c r="L1108" s="39" t="n">
        <f aca="false">K1108/J1108</f>
        <v>9166.66666666667</v>
      </c>
      <c r="M1108" s="34"/>
      <c r="N1108" s="40"/>
      <c r="O1108" s="30" t="n">
        <f aca="false">K1108+N1108</f>
        <v>330000</v>
      </c>
      <c r="P1108" s="39" t="n">
        <f aca="false">O1108/J1108</f>
        <v>9166.66666666667</v>
      </c>
      <c r="Q1108" s="19" t="s">
        <v>1486</v>
      </c>
      <c r="R1108" s="22" t="s">
        <v>26</v>
      </c>
      <c r="S1108" s="19" t="s">
        <v>29</v>
      </c>
      <c r="T1108" s="19" t="s">
        <v>30</v>
      </c>
      <c r="U1108" s="19" t="s">
        <v>31</v>
      </c>
      <c r="V1108" s="41" t="n">
        <v>43514</v>
      </c>
      <c r="W1108" s="34" t="s">
        <v>1499</v>
      </c>
      <c r="X1108" s="18"/>
    </row>
    <row r="1109" customFormat="false" ht="13.8" hidden="false" customHeight="false" outlineLevel="0" collapsed="false">
      <c r="A1109" s="18"/>
      <c r="B1109" s="19" t="n">
        <v>4916</v>
      </c>
      <c r="C1109" s="20" t="n">
        <v>43385</v>
      </c>
      <c r="D1109" s="38" t="s">
        <v>22</v>
      </c>
      <c r="E1109" s="22" t="s">
        <v>80</v>
      </c>
      <c r="F1109" s="34" t="s">
        <v>81</v>
      </c>
      <c r="G1109" s="19" t="n">
        <v>4</v>
      </c>
      <c r="H1109" s="19" t="n">
        <v>100</v>
      </c>
      <c r="I1109" s="19" t="n">
        <v>7</v>
      </c>
      <c r="J1109" s="19" t="n">
        <v>66.75</v>
      </c>
      <c r="K1109" s="39" t="n">
        <v>935000</v>
      </c>
      <c r="L1109" s="39" t="n">
        <f aca="false">K1109/J1109</f>
        <v>14007.4906367041</v>
      </c>
      <c r="M1109" s="34" t="s">
        <v>987</v>
      </c>
      <c r="N1109" s="40" t="n">
        <v>40000</v>
      </c>
      <c r="O1109" s="30" t="n">
        <f aca="false">K1109+N1109</f>
        <v>975000</v>
      </c>
      <c r="P1109" s="39" t="n">
        <f aca="false">O1109/J1109</f>
        <v>14606.7415730337</v>
      </c>
      <c r="Q1109" s="19" t="s">
        <v>1486</v>
      </c>
      <c r="R1109" s="22" t="s">
        <v>26</v>
      </c>
      <c r="S1109" s="19" t="s">
        <v>29</v>
      </c>
      <c r="T1109" s="19" t="s">
        <v>30</v>
      </c>
      <c r="U1109" s="19" t="s">
        <v>31</v>
      </c>
      <c r="V1109" s="41" t="n">
        <v>43514</v>
      </c>
      <c r="W1109" s="34" t="s">
        <v>1500</v>
      </c>
      <c r="X1109" s="18"/>
      <c r="AMJ1109" s="32"/>
    </row>
    <row r="1110" s="32" customFormat="true" ht="13.8" hidden="false" customHeight="false" outlineLevel="0" collapsed="false">
      <c r="A1110" s="18"/>
      <c r="B1110" s="19" t="n">
        <v>4121</v>
      </c>
      <c r="C1110" s="20" t="n">
        <v>43385</v>
      </c>
      <c r="D1110" s="38" t="s">
        <v>22</v>
      </c>
      <c r="E1110" s="22" t="s">
        <v>276</v>
      </c>
      <c r="F1110" s="34" t="s">
        <v>38</v>
      </c>
      <c r="G1110" s="19" t="n">
        <v>18</v>
      </c>
      <c r="H1110" s="19" t="n">
        <v>37</v>
      </c>
      <c r="I1110" s="19" t="n">
        <v>3</v>
      </c>
      <c r="J1110" s="19" t="n">
        <v>27.7</v>
      </c>
      <c r="K1110" s="39" t="n">
        <v>250000</v>
      </c>
      <c r="L1110" s="39" t="n">
        <f aca="false">K1110/J1110</f>
        <v>9025.27075812274</v>
      </c>
      <c r="M1110" s="18"/>
      <c r="N1110" s="40"/>
      <c r="O1110" s="30" t="n">
        <f aca="false">K1110+N1110</f>
        <v>250000</v>
      </c>
      <c r="P1110" s="39" t="n">
        <f aca="false">O1110/J1110</f>
        <v>9025.27075812274</v>
      </c>
      <c r="Q1110" s="19" t="s">
        <v>1501</v>
      </c>
      <c r="R1110" s="22" t="s">
        <v>27</v>
      </c>
      <c r="S1110" s="19" t="s">
        <v>29</v>
      </c>
      <c r="T1110" s="19" t="s">
        <v>30</v>
      </c>
      <c r="U1110" s="19" t="s">
        <v>31</v>
      </c>
      <c r="V1110" s="41" t="n">
        <v>43514</v>
      </c>
      <c r="W1110" s="34" t="s">
        <v>1502</v>
      </c>
      <c r="X1110" s="18"/>
    </row>
    <row r="1111" s="32" customFormat="true" ht="13.8" hidden="false" customHeight="false" outlineLevel="0" collapsed="false">
      <c r="A1111" s="18"/>
      <c r="B1111" s="19" t="n">
        <v>11793</v>
      </c>
      <c r="C1111" s="20" t="n">
        <v>43385</v>
      </c>
      <c r="D1111" s="38" t="s">
        <v>22</v>
      </c>
      <c r="E1111" s="22" t="s">
        <v>42</v>
      </c>
      <c r="F1111" s="34" t="s">
        <v>1028</v>
      </c>
      <c r="G1111" s="19" t="n">
        <v>3</v>
      </c>
      <c r="H1111" s="19" t="n">
        <v>46</v>
      </c>
      <c r="I1111" s="19" t="n">
        <v>4</v>
      </c>
      <c r="J1111" s="19" t="n">
        <v>37.05</v>
      </c>
      <c r="K1111" s="39" t="n">
        <v>347000</v>
      </c>
      <c r="L1111" s="39" t="n">
        <f aca="false">ROUND(K1111/J1111,2)</f>
        <v>9365.72</v>
      </c>
      <c r="M1111" s="18"/>
      <c r="N1111" s="40"/>
      <c r="O1111" s="30" t="n">
        <f aca="false">K1111+N1111</f>
        <v>347000</v>
      </c>
      <c r="P1111" s="39" t="n">
        <f aca="false">ROUND(O1111/J1111,2)</f>
        <v>9365.72</v>
      </c>
      <c r="Q1111" s="19" t="s">
        <v>1351</v>
      </c>
      <c r="R1111" s="22" t="s">
        <v>26</v>
      </c>
      <c r="S1111" s="19" t="s">
        <v>29</v>
      </c>
      <c r="T1111" s="19" t="s">
        <v>30</v>
      </c>
      <c r="U1111" s="31" t="s">
        <v>31</v>
      </c>
      <c r="V1111" s="41" t="n">
        <v>43514</v>
      </c>
      <c r="W1111" s="18"/>
      <c r="X1111" s="18"/>
    </row>
    <row r="1112" customFormat="false" ht="13.8" hidden="false" customHeight="false" outlineLevel="0" collapsed="false">
      <c r="A1112" s="18"/>
      <c r="B1112" s="19" t="s">
        <v>887</v>
      </c>
      <c r="C1112" s="20" t="n">
        <v>43385</v>
      </c>
      <c r="D1112" s="38" t="s">
        <v>22</v>
      </c>
      <c r="E1112" s="22" t="s">
        <v>477</v>
      </c>
      <c r="F1112" s="45" t="s">
        <v>1503</v>
      </c>
      <c r="G1112" s="19" t="n">
        <v>54</v>
      </c>
      <c r="H1112" s="19"/>
      <c r="I1112" s="19" t="n">
        <v>3</v>
      </c>
      <c r="J1112" s="25" t="n">
        <v>86.9</v>
      </c>
      <c r="K1112" s="39" t="n">
        <v>660000</v>
      </c>
      <c r="L1112" s="39" t="n">
        <f aca="false">K1112/J1112</f>
        <v>7594.93670886076</v>
      </c>
      <c r="M1112" s="18"/>
      <c r="N1112" s="40"/>
      <c r="O1112" s="30" t="n">
        <f aca="false">K1112+N1112</f>
        <v>660000</v>
      </c>
      <c r="P1112" s="39" t="n">
        <f aca="false">O1112/J1112</f>
        <v>7594.93670886076</v>
      </c>
      <c r="Q1112" s="19" t="s">
        <v>889</v>
      </c>
      <c r="R1112" s="19" t="n">
        <v>5</v>
      </c>
      <c r="S1112" s="19" t="s">
        <v>1141</v>
      </c>
      <c r="T1112" s="19"/>
      <c r="U1112" s="19" t="s">
        <v>31</v>
      </c>
      <c r="V1112" s="41" t="n">
        <v>43727</v>
      </c>
      <c r="W1112" s="18"/>
      <c r="X1112" s="18"/>
      <c r="AMJ1112" s="32"/>
    </row>
    <row r="1113" s="32" customFormat="true" ht="13.8" hidden="false" customHeight="false" outlineLevel="0" collapsed="false">
      <c r="A1113" s="18"/>
      <c r="B1113" s="19" t="n">
        <v>4846</v>
      </c>
      <c r="C1113" s="20" t="n">
        <v>43385</v>
      </c>
      <c r="D1113" s="38" t="s">
        <v>22</v>
      </c>
      <c r="E1113" s="22" t="s">
        <v>375</v>
      </c>
      <c r="F1113" s="34" t="s">
        <v>560</v>
      </c>
      <c r="G1113" s="19" t="n">
        <v>10</v>
      </c>
      <c r="H1113" s="19" t="n">
        <v>17</v>
      </c>
      <c r="I1113" s="19" t="n">
        <v>4</v>
      </c>
      <c r="J1113" s="19" t="n">
        <v>105.16</v>
      </c>
      <c r="K1113" s="39" t="n">
        <v>1120000</v>
      </c>
      <c r="L1113" s="39" t="n">
        <f aca="false">K1113/J1113</f>
        <v>10650.4374286801</v>
      </c>
      <c r="M1113" s="34"/>
      <c r="N1113" s="40"/>
      <c r="O1113" s="30" t="n">
        <f aca="false">K1113+N1113</f>
        <v>1120000</v>
      </c>
      <c r="P1113" s="39" t="n">
        <f aca="false">O1113/J1113</f>
        <v>10650.4374286801</v>
      </c>
      <c r="Q1113" s="19" t="s">
        <v>1504</v>
      </c>
      <c r="R1113" s="22" t="s">
        <v>49</v>
      </c>
      <c r="S1113" s="19" t="s">
        <v>29</v>
      </c>
      <c r="T1113" s="19" t="s">
        <v>30</v>
      </c>
      <c r="U1113" s="19" t="s">
        <v>31</v>
      </c>
      <c r="V1113" s="41" t="n">
        <v>43514</v>
      </c>
      <c r="W1113" s="34" t="s">
        <v>1505</v>
      </c>
      <c r="X1113" s="34"/>
    </row>
    <row r="1114" customFormat="false" ht="13.8" hidden="false" customHeight="false" outlineLevel="0" collapsed="false">
      <c r="A1114" s="18"/>
      <c r="B1114" s="19" t="n">
        <v>9734</v>
      </c>
      <c r="C1114" s="20" t="n">
        <v>43385</v>
      </c>
      <c r="D1114" s="38" t="s">
        <v>22</v>
      </c>
      <c r="E1114" s="22" t="s">
        <v>42</v>
      </c>
      <c r="F1114" s="34" t="s">
        <v>51</v>
      </c>
      <c r="G1114" s="19" t="n">
        <v>7</v>
      </c>
      <c r="H1114" s="19" t="n">
        <v>16</v>
      </c>
      <c r="I1114" s="19" t="n">
        <v>2</v>
      </c>
      <c r="J1114" s="19" t="n">
        <v>64.3</v>
      </c>
      <c r="K1114" s="39" t="n">
        <v>400000</v>
      </c>
      <c r="L1114" s="39" t="n">
        <f aca="false">K1114/J1114</f>
        <v>6220.83981337481</v>
      </c>
      <c r="M1114" s="34" t="s">
        <v>1506</v>
      </c>
      <c r="N1114" s="40"/>
      <c r="O1114" s="30" t="n">
        <f aca="false">K1114+N1114</f>
        <v>400000</v>
      </c>
      <c r="P1114" s="39" t="n">
        <f aca="false">O1114/J1114</f>
        <v>6220.83981337481</v>
      </c>
      <c r="Q1114" s="19" t="s">
        <v>1507</v>
      </c>
      <c r="R1114" s="22" t="s">
        <v>49</v>
      </c>
      <c r="S1114" s="19" t="s">
        <v>29</v>
      </c>
      <c r="T1114" s="19" t="s">
        <v>30</v>
      </c>
      <c r="U1114" s="19" t="s">
        <v>31</v>
      </c>
      <c r="V1114" s="41" t="n">
        <v>43514</v>
      </c>
      <c r="W1114" s="34" t="s">
        <v>1508</v>
      </c>
      <c r="X1114" s="18"/>
    </row>
    <row r="1115" customFormat="false" ht="13.8" hidden="false" customHeight="false" outlineLevel="0" collapsed="false">
      <c r="A1115" s="18"/>
      <c r="B1115" s="19" t="n">
        <v>9734</v>
      </c>
      <c r="C1115" s="20" t="n">
        <v>43385</v>
      </c>
      <c r="D1115" s="38" t="s">
        <v>22</v>
      </c>
      <c r="E1115" s="22" t="s">
        <v>42</v>
      </c>
      <c r="F1115" s="34" t="s">
        <v>51</v>
      </c>
      <c r="G1115" s="19" t="n">
        <v>7</v>
      </c>
      <c r="H1115" s="19" t="n">
        <v>16</v>
      </c>
      <c r="I1115" s="19" t="n">
        <v>2</v>
      </c>
      <c r="J1115" s="19" t="n">
        <v>64.3</v>
      </c>
      <c r="K1115" s="39" t="n">
        <v>400000</v>
      </c>
      <c r="L1115" s="39" t="n">
        <f aca="false">K1115/J1115</f>
        <v>6220.83981337481</v>
      </c>
      <c r="M1115" s="34" t="s">
        <v>1506</v>
      </c>
      <c r="N1115" s="40"/>
      <c r="O1115" s="30" t="n">
        <f aca="false">K1115+N1115</f>
        <v>400000</v>
      </c>
      <c r="P1115" s="39" t="n">
        <f aca="false">O1115/J1115</f>
        <v>6220.83981337481</v>
      </c>
      <c r="Q1115" s="19" t="s">
        <v>1507</v>
      </c>
      <c r="R1115" s="22" t="s">
        <v>49</v>
      </c>
      <c r="S1115" s="19" t="s">
        <v>29</v>
      </c>
      <c r="T1115" s="19" t="s">
        <v>30</v>
      </c>
      <c r="U1115" s="19" t="s">
        <v>31</v>
      </c>
      <c r="V1115" s="41" t="n">
        <v>43514</v>
      </c>
      <c r="W1115" s="34" t="s">
        <v>1508</v>
      </c>
      <c r="X1115" s="18"/>
    </row>
    <row r="1116" customFormat="false" ht="13.8" hidden="false" customHeight="false" outlineLevel="0" collapsed="false">
      <c r="A1116" s="18"/>
      <c r="B1116" s="19" t="n">
        <v>13626</v>
      </c>
      <c r="C1116" s="20" t="n">
        <v>43385</v>
      </c>
      <c r="D1116" s="38" t="s">
        <v>22</v>
      </c>
      <c r="E1116" s="22" t="s">
        <v>399</v>
      </c>
      <c r="F1116" s="34" t="s">
        <v>549</v>
      </c>
      <c r="G1116" s="19" t="n">
        <v>3</v>
      </c>
      <c r="H1116" s="19" t="n">
        <v>95</v>
      </c>
      <c r="I1116" s="19" t="n">
        <v>6</v>
      </c>
      <c r="J1116" s="19" t="n">
        <v>110.6</v>
      </c>
      <c r="K1116" s="39" t="n">
        <v>1052800</v>
      </c>
      <c r="L1116" s="39" t="n">
        <f aca="false">K1116/J1116</f>
        <v>9518.98734177215</v>
      </c>
      <c r="M1116" s="34" t="s">
        <v>1509</v>
      </c>
      <c r="N1116" s="40"/>
      <c r="O1116" s="30" t="n">
        <f aca="false">K1116+N1116</f>
        <v>1052800</v>
      </c>
      <c r="P1116" s="39" t="n">
        <f aca="false">O1116/J1116</f>
        <v>9518.98734177215</v>
      </c>
      <c r="Q1116" s="19" t="s">
        <v>1510</v>
      </c>
      <c r="R1116" s="22" t="s">
        <v>57</v>
      </c>
      <c r="S1116" s="19" t="s">
        <v>29</v>
      </c>
      <c r="T1116" s="19" t="s">
        <v>30</v>
      </c>
      <c r="U1116" s="19" t="s">
        <v>31</v>
      </c>
      <c r="V1116" s="41" t="n">
        <v>43514</v>
      </c>
      <c r="W1116" s="34" t="s">
        <v>1511</v>
      </c>
      <c r="X1116" s="18"/>
      <c r="AMJ1116" s="32"/>
    </row>
    <row r="1117" s="32" customFormat="true" ht="13.8" hidden="false" customHeight="false" outlineLevel="0" collapsed="false">
      <c r="A1117" s="18"/>
      <c r="B1117" s="19" t="n">
        <v>13626</v>
      </c>
      <c r="C1117" s="20" t="n">
        <v>43385</v>
      </c>
      <c r="D1117" s="38" t="s">
        <v>22</v>
      </c>
      <c r="E1117" s="22" t="s">
        <v>399</v>
      </c>
      <c r="F1117" s="34" t="s">
        <v>549</v>
      </c>
      <c r="G1117" s="19" t="n">
        <v>3</v>
      </c>
      <c r="H1117" s="19" t="n">
        <v>95</v>
      </c>
      <c r="I1117" s="19" t="n">
        <v>6</v>
      </c>
      <c r="J1117" s="19" t="n">
        <v>110.6</v>
      </c>
      <c r="K1117" s="39" t="n">
        <v>1052800</v>
      </c>
      <c r="L1117" s="39" t="n">
        <f aca="false">K1117/J1117</f>
        <v>9518.98734177215</v>
      </c>
      <c r="M1117" s="34" t="s">
        <v>1509</v>
      </c>
      <c r="N1117" s="40"/>
      <c r="O1117" s="30" t="n">
        <f aca="false">K1117+N1117</f>
        <v>1052800</v>
      </c>
      <c r="P1117" s="39" t="n">
        <f aca="false">O1117/J1117</f>
        <v>9518.98734177215</v>
      </c>
      <c r="Q1117" s="19" t="s">
        <v>1510</v>
      </c>
      <c r="R1117" s="22" t="s">
        <v>57</v>
      </c>
      <c r="S1117" s="19" t="s">
        <v>29</v>
      </c>
      <c r="T1117" s="19" t="s">
        <v>30</v>
      </c>
      <c r="U1117" s="19" t="s">
        <v>31</v>
      </c>
      <c r="V1117" s="41" t="n">
        <v>43514</v>
      </c>
      <c r="W1117" s="34" t="s">
        <v>1511</v>
      </c>
      <c r="X1117" s="18"/>
    </row>
    <row r="1118" customFormat="false" ht="13.8" hidden="false" customHeight="false" outlineLevel="0" collapsed="false">
      <c r="A1118" s="18"/>
      <c r="B1118" s="19" t="n">
        <v>8947</v>
      </c>
      <c r="C1118" s="20" t="n">
        <v>43385</v>
      </c>
      <c r="D1118" s="38" t="s">
        <v>22</v>
      </c>
      <c r="E1118" s="22" t="s">
        <v>109</v>
      </c>
      <c r="F1118" s="34" t="s">
        <v>127</v>
      </c>
      <c r="G1118" s="19" t="n">
        <v>24</v>
      </c>
      <c r="H1118" s="19" t="n">
        <v>10</v>
      </c>
      <c r="I1118" s="19" t="n">
        <v>2</v>
      </c>
      <c r="J1118" s="19" t="n">
        <v>55.4</v>
      </c>
      <c r="K1118" s="39" t="n">
        <v>570000</v>
      </c>
      <c r="L1118" s="39" t="n">
        <f aca="false">K1118/J1118</f>
        <v>10288.8086642599</v>
      </c>
      <c r="M1118" s="34"/>
      <c r="N1118" s="40"/>
      <c r="O1118" s="30" t="n">
        <f aca="false">K1118+N1118</f>
        <v>570000</v>
      </c>
      <c r="P1118" s="39" t="n">
        <f aca="false">O1118/J1118</f>
        <v>10288.8086642599</v>
      </c>
      <c r="Q1118" s="19" t="s">
        <v>1486</v>
      </c>
      <c r="R1118" s="22" t="s">
        <v>26</v>
      </c>
      <c r="S1118" s="19" t="s">
        <v>29</v>
      </c>
      <c r="T1118" s="19" t="s">
        <v>30</v>
      </c>
      <c r="U1118" s="19" t="s">
        <v>31</v>
      </c>
      <c r="V1118" s="41" t="n">
        <v>43514</v>
      </c>
      <c r="W1118" s="34" t="s">
        <v>1512</v>
      </c>
      <c r="X1118" s="18"/>
    </row>
    <row r="1119" customFormat="false" ht="13.8" hidden="false" customHeight="false" outlineLevel="0" collapsed="false">
      <c r="A1119" s="18"/>
      <c r="B1119" s="19" t="n">
        <v>8947</v>
      </c>
      <c r="C1119" s="20" t="n">
        <v>43385</v>
      </c>
      <c r="D1119" s="38" t="s">
        <v>22</v>
      </c>
      <c r="E1119" s="22" t="s">
        <v>109</v>
      </c>
      <c r="F1119" s="34" t="s">
        <v>127</v>
      </c>
      <c r="G1119" s="19" t="n">
        <v>24</v>
      </c>
      <c r="H1119" s="19" t="n">
        <v>10</v>
      </c>
      <c r="I1119" s="19" t="n">
        <v>2</v>
      </c>
      <c r="J1119" s="19" t="n">
        <v>55.4</v>
      </c>
      <c r="K1119" s="39" t="n">
        <v>570000</v>
      </c>
      <c r="L1119" s="39" t="n">
        <f aca="false">K1119/J1119</f>
        <v>10288.8086642599</v>
      </c>
      <c r="M1119" s="34"/>
      <c r="N1119" s="40"/>
      <c r="O1119" s="30" t="n">
        <f aca="false">K1119+N1119</f>
        <v>570000</v>
      </c>
      <c r="P1119" s="39" t="n">
        <f aca="false">O1119/J1119</f>
        <v>10288.8086642599</v>
      </c>
      <c r="Q1119" s="19" t="s">
        <v>1486</v>
      </c>
      <c r="R1119" s="22" t="s">
        <v>26</v>
      </c>
      <c r="S1119" s="19" t="s">
        <v>29</v>
      </c>
      <c r="T1119" s="19" t="s">
        <v>30</v>
      </c>
      <c r="U1119" s="19" t="s">
        <v>31</v>
      </c>
      <c r="V1119" s="41" t="n">
        <v>43514</v>
      </c>
      <c r="W1119" s="34" t="s">
        <v>1512</v>
      </c>
      <c r="X1119" s="18"/>
    </row>
    <row r="1120" customFormat="false" ht="13.8" hidden="false" customHeight="false" outlineLevel="0" collapsed="false">
      <c r="A1120" s="18"/>
      <c r="B1120" s="19" t="n">
        <v>5908</v>
      </c>
      <c r="C1120" s="20" t="n">
        <v>43385</v>
      </c>
      <c r="D1120" s="38" t="s">
        <v>22</v>
      </c>
      <c r="E1120" s="22" t="s">
        <v>354</v>
      </c>
      <c r="F1120" s="34" t="s">
        <v>355</v>
      </c>
      <c r="G1120" s="19" t="n">
        <v>10</v>
      </c>
      <c r="H1120" s="19" t="s">
        <v>168</v>
      </c>
      <c r="I1120" s="19" t="n">
        <v>5</v>
      </c>
      <c r="J1120" s="19" t="n">
        <v>63.1</v>
      </c>
      <c r="K1120" s="39" t="n">
        <v>685000</v>
      </c>
      <c r="L1120" s="39" t="n">
        <f aca="false">K1120/J1120</f>
        <v>10855.7844690967</v>
      </c>
      <c r="M1120" s="34"/>
      <c r="N1120" s="40"/>
      <c r="O1120" s="30" t="n">
        <f aca="false">K1120+N1120</f>
        <v>685000</v>
      </c>
      <c r="P1120" s="39" t="n">
        <f aca="false">O1120/J1120</f>
        <v>10855.7844690967</v>
      </c>
      <c r="Q1120" s="19" t="s">
        <v>1513</v>
      </c>
      <c r="R1120" s="22" t="s">
        <v>26</v>
      </c>
      <c r="S1120" s="19" t="s">
        <v>29</v>
      </c>
      <c r="T1120" s="19" t="s">
        <v>30</v>
      </c>
      <c r="U1120" s="19" t="s">
        <v>31</v>
      </c>
      <c r="V1120" s="41" t="n">
        <v>43514</v>
      </c>
      <c r="W1120" s="34" t="s">
        <v>1514</v>
      </c>
      <c r="X1120" s="18"/>
    </row>
    <row r="1121" customFormat="false" ht="13.8" hidden="false" customHeight="false" outlineLevel="0" collapsed="false">
      <c r="A1121" s="18"/>
      <c r="B1121" s="19" t="n">
        <v>5908</v>
      </c>
      <c r="C1121" s="20" t="n">
        <v>43385</v>
      </c>
      <c r="D1121" s="38" t="s">
        <v>22</v>
      </c>
      <c r="E1121" s="22" t="s">
        <v>354</v>
      </c>
      <c r="F1121" s="34" t="s">
        <v>355</v>
      </c>
      <c r="G1121" s="19" t="n">
        <v>10</v>
      </c>
      <c r="H1121" s="19" t="s">
        <v>168</v>
      </c>
      <c r="I1121" s="19" t="n">
        <v>5</v>
      </c>
      <c r="J1121" s="19" t="n">
        <v>63.1</v>
      </c>
      <c r="K1121" s="39" t="n">
        <v>685000</v>
      </c>
      <c r="L1121" s="39" t="n">
        <f aca="false">K1121/J1121</f>
        <v>10855.7844690967</v>
      </c>
      <c r="M1121" s="34"/>
      <c r="N1121" s="40"/>
      <c r="O1121" s="30" t="n">
        <f aca="false">K1121+N1121</f>
        <v>685000</v>
      </c>
      <c r="P1121" s="39" t="n">
        <f aca="false">O1121/J1121</f>
        <v>10855.7844690967</v>
      </c>
      <c r="Q1121" s="19" t="s">
        <v>1513</v>
      </c>
      <c r="R1121" s="22" t="s">
        <v>26</v>
      </c>
      <c r="S1121" s="19" t="s">
        <v>29</v>
      </c>
      <c r="T1121" s="19" t="s">
        <v>30</v>
      </c>
      <c r="U1121" s="19" t="s">
        <v>31</v>
      </c>
      <c r="V1121" s="41" t="n">
        <v>43514</v>
      </c>
      <c r="W1121" s="34" t="s">
        <v>1514</v>
      </c>
      <c r="X1121" s="34"/>
      <c r="AMJ1121" s="32"/>
    </row>
    <row r="1122" s="32" customFormat="true" ht="13.8" hidden="false" customHeight="false" outlineLevel="0" collapsed="false">
      <c r="A1122" s="18"/>
      <c r="B1122" s="19" t="n">
        <v>4061</v>
      </c>
      <c r="C1122" s="20" t="n">
        <v>43386</v>
      </c>
      <c r="D1122" s="38" t="s">
        <v>22</v>
      </c>
      <c r="E1122" s="22" t="s">
        <v>399</v>
      </c>
      <c r="F1122" s="34" t="s">
        <v>272</v>
      </c>
      <c r="G1122" s="19" t="n">
        <v>76</v>
      </c>
      <c r="H1122" s="19" t="n">
        <v>28</v>
      </c>
      <c r="I1122" s="19" t="n">
        <v>11</v>
      </c>
      <c r="J1122" s="19" t="n">
        <v>122.3</v>
      </c>
      <c r="K1122" s="39" t="n">
        <v>890000</v>
      </c>
      <c r="L1122" s="39" t="n">
        <f aca="false">K1122/J1122</f>
        <v>7277.18724448078</v>
      </c>
      <c r="M1122" s="34" t="s">
        <v>987</v>
      </c>
      <c r="N1122" s="40" t="n">
        <v>15000</v>
      </c>
      <c r="O1122" s="30" t="n">
        <f aca="false">K1122+N1122</f>
        <v>905000</v>
      </c>
      <c r="P1122" s="39" t="n">
        <f aca="false">O1122/J1122</f>
        <v>7399.83646770237</v>
      </c>
      <c r="Q1122" s="19" t="s">
        <v>1515</v>
      </c>
      <c r="R1122" s="22" t="s">
        <v>49</v>
      </c>
      <c r="S1122" s="19" t="s">
        <v>29</v>
      </c>
      <c r="T1122" s="19" t="s">
        <v>30</v>
      </c>
      <c r="U1122" s="19" t="s">
        <v>31</v>
      </c>
      <c r="V1122" s="41" t="n">
        <v>43514</v>
      </c>
      <c r="W1122" s="34" t="s">
        <v>1516</v>
      </c>
      <c r="X1122" s="34"/>
    </row>
    <row r="1123" customFormat="false" ht="13.8" hidden="false" customHeight="false" outlineLevel="0" collapsed="false">
      <c r="A1123" s="18"/>
      <c r="B1123" s="19" t="n">
        <v>3936</v>
      </c>
      <c r="C1123" s="20" t="n">
        <v>43388</v>
      </c>
      <c r="D1123" s="38" t="s">
        <v>22</v>
      </c>
      <c r="E1123" s="22" t="s">
        <v>32</v>
      </c>
      <c r="F1123" s="34" t="s">
        <v>1459</v>
      </c>
      <c r="G1123" s="19" t="s">
        <v>683</v>
      </c>
      <c r="H1123" s="19" t="n">
        <v>84</v>
      </c>
      <c r="I1123" s="19" t="n">
        <v>4</v>
      </c>
      <c r="J1123" s="19" t="n">
        <v>41.22</v>
      </c>
      <c r="K1123" s="39" t="n">
        <v>400000</v>
      </c>
      <c r="L1123" s="39" t="n">
        <f aca="false">K1123/J1123</f>
        <v>9704.02717127608</v>
      </c>
      <c r="M1123" s="18"/>
      <c r="N1123" s="40"/>
      <c r="O1123" s="30" t="n">
        <f aca="false">K1123+N1123</f>
        <v>400000</v>
      </c>
      <c r="P1123" s="39" t="n">
        <f aca="false">O1123/J1123</f>
        <v>9704.02717127608</v>
      </c>
      <c r="Q1123" s="19" t="s">
        <v>1517</v>
      </c>
      <c r="R1123" s="22" t="s">
        <v>36</v>
      </c>
      <c r="S1123" s="19" t="s">
        <v>29</v>
      </c>
      <c r="T1123" s="19" t="s">
        <v>30</v>
      </c>
      <c r="U1123" s="19" t="s">
        <v>31</v>
      </c>
      <c r="V1123" s="41" t="n">
        <v>43514</v>
      </c>
      <c r="W1123" s="34" t="s">
        <v>1518</v>
      </c>
      <c r="X1123" s="18"/>
    </row>
    <row r="1124" customFormat="false" ht="13.8" hidden="false" customHeight="false" outlineLevel="0" collapsed="false">
      <c r="A1124" s="18"/>
      <c r="B1124" s="19" t="n">
        <v>2213</v>
      </c>
      <c r="C1124" s="20" t="n">
        <v>43388</v>
      </c>
      <c r="D1124" s="38" t="s">
        <v>22</v>
      </c>
      <c r="E1124" s="22" t="s">
        <v>572</v>
      </c>
      <c r="F1124" s="34" t="s">
        <v>366</v>
      </c>
      <c r="G1124" s="19" t="n">
        <v>12</v>
      </c>
      <c r="H1124" s="19" t="n">
        <v>303</v>
      </c>
      <c r="I1124" s="19" t="n">
        <v>3</v>
      </c>
      <c r="J1124" s="19" t="n">
        <v>87.9</v>
      </c>
      <c r="K1124" s="39" t="n">
        <v>680000</v>
      </c>
      <c r="L1124" s="39" t="n">
        <f aca="false">K1124/J1124</f>
        <v>7736.06370875995</v>
      </c>
      <c r="M1124" s="34" t="s">
        <v>1519</v>
      </c>
      <c r="N1124" s="40"/>
      <c r="O1124" s="30" t="n">
        <f aca="false">K1124+N1124</f>
        <v>680000</v>
      </c>
      <c r="P1124" s="39" t="n">
        <f aca="false">O1124/J1124</f>
        <v>7736.06370875995</v>
      </c>
      <c r="Q1124" s="19" t="s">
        <v>1520</v>
      </c>
      <c r="R1124" s="22" t="s">
        <v>57</v>
      </c>
      <c r="S1124" s="19" t="s">
        <v>29</v>
      </c>
      <c r="T1124" s="19" t="s">
        <v>30</v>
      </c>
      <c r="U1124" s="19" t="s">
        <v>31</v>
      </c>
      <c r="V1124" s="41" t="n">
        <v>43514</v>
      </c>
      <c r="W1124" s="34" t="s">
        <v>1521</v>
      </c>
      <c r="X1124" s="18"/>
    </row>
    <row r="1125" customFormat="false" ht="13.8" hidden="false" customHeight="false" outlineLevel="0" collapsed="false">
      <c r="A1125" s="18"/>
      <c r="B1125" s="19" t="n">
        <v>2213</v>
      </c>
      <c r="C1125" s="20" t="n">
        <v>43388</v>
      </c>
      <c r="D1125" s="38" t="s">
        <v>22</v>
      </c>
      <c r="E1125" s="22" t="s">
        <v>572</v>
      </c>
      <c r="F1125" s="34" t="s">
        <v>366</v>
      </c>
      <c r="G1125" s="19" t="n">
        <v>12</v>
      </c>
      <c r="H1125" s="19" t="n">
        <v>303</v>
      </c>
      <c r="I1125" s="19" t="n">
        <v>3</v>
      </c>
      <c r="J1125" s="19" t="n">
        <v>87.9</v>
      </c>
      <c r="K1125" s="39" t="n">
        <v>680000</v>
      </c>
      <c r="L1125" s="39" t="n">
        <f aca="false">K1125/J1125</f>
        <v>7736.06370875995</v>
      </c>
      <c r="M1125" s="34" t="s">
        <v>1519</v>
      </c>
      <c r="N1125" s="40"/>
      <c r="O1125" s="30" t="n">
        <f aca="false">K1125+N1125</f>
        <v>680000</v>
      </c>
      <c r="P1125" s="39" t="n">
        <f aca="false">O1125/J1125</f>
        <v>7736.06370875995</v>
      </c>
      <c r="Q1125" s="19" t="s">
        <v>1520</v>
      </c>
      <c r="R1125" s="22" t="s">
        <v>57</v>
      </c>
      <c r="S1125" s="19" t="s">
        <v>29</v>
      </c>
      <c r="T1125" s="19" t="s">
        <v>30</v>
      </c>
      <c r="U1125" s="19" t="s">
        <v>31</v>
      </c>
      <c r="V1125" s="41" t="n">
        <v>43514</v>
      </c>
      <c r="W1125" s="34" t="s">
        <v>1521</v>
      </c>
      <c r="X1125" s="18"/>
    </row>
    <row r="1126" customFormat="false" ht="13.8" hidden="false" customHeight="false" outlineLevel="0" collapsed="false">
      <c r="A1126" s="18"/>
      <c r="B1126" s="19" t="n">
        <v>1335</v>
      </c>
      <c r="C1126" s="20" t="n">
        <v>43388</v>
      </c>
      <c r="D1126" s="38" t="s">
        <v>22</v>
      </c>
      <c r="E1126" s="22" t="s">
        <v>369</v>
      </c>
      <c r="F1126" s="34" t="s">
        <v>285</v>
      </c>
      <c r="G1126" s="19" t="n">
        <v>20</v>
      </c>
      <c r="H1126" s="19" t="n">
        <v>11</v>
      </c>
      <c r="I1126" s="19" t="n">
        <v>4</v>
      </c>
      <c r="J1126" s="19" t="n">
        <v>69.25</v>
      </c>
      <c r="K1126" s="39" t="n">
        <v>700000</v>
      </c>
      <c r="L1126" s="39" t="n">
        <f aca="false">K1126/J1126</f>
        <v>10108.3032490975</v>
      </c>
      <c r="M1126" s="18"/>
      <c r="N1126" s="40"/>
      <c r="O1126" s="30" t="n">
        <f aca="false">K1126+N1126</f>
        <v>700000</v>
      </c>
      <c r="P1126" s="39" t="n">
        <f aca="false">O1126/J1126</f>
        <v>10108.3032490975</v>
      </c>
      <c r="Q1126" s="19" t="s">
        <v>1486</v>
      </c>
      <c r="R1126" s="22" t="s">
        <v>26</v>
      </c>
      <c r="S1126" s="19" t="s">
        <v>29</v>
      </c>
      <c r="T1126" s="19" t="s">
        <v>30</v>
      </c>
      <c r="U1126" s="19" t="s">
        <v>31</v>
      </c>
      <c r="V1126" s="41" t="n">
        <v>43514</v>
      </c>
      <c r="W1126" s="34" t="s">
        <v>1522</v>
      </c>
      <c r="X1126" s="18"/>
    </row>
    <row r="1127" customFormat="false" ht="13.8" hidden="false" customHeight="false" outlineLevel="0" collapsed="false">
      <c r="A1127" s="18"/>
      <c r="B1127" s="19" t="n">
        <v>2210</v>
      </c>
      <c r="C1127" s="20" t="n">
        <v>43388</v>
      </c>
      <c r="D1127" s="38" t="s">
        <v>22</v>
      </c>
      <c r="E1127" s="22" t="s">
        <v>322</v>
      </c>
      <c r="F1127" s="34" t="s">
        <v>323</v>
      </c>
      <c r="G1127" s="19" t="s">
        <v>674</v>
      </c>
      <c r="H1127" s="19" t="n">
        <v>129</v>
      </c>
      <c r="I1127" s="19" t="n">
        <v>5</v>
      </c>
      <c r="J1127" s="19" t="n">
        <v>30.78</v>
      </c>
      <c r="K1127" s="39" t="n">
        <v>330000</v>
      </c>
      <c r="L1127" s="39" t="n">
        <f aca="false">K1127/J1127</f>
        <v>10721.2475633528</v>
      </c>
      <c r="M1127" s="34" t="s">
        <v>1461</v>
      </c>
      <c r="N1127" s="40" t="n">
        <v>30000</v>
      </c>
      <c r="O1127" s="30" t="n">
        <f aca="false">K1127+N1127</f>
        <v>360000</v>
      </c>
      <c r="P1127" s="39" t="n">
        <f aca="false">O1127/J1127</f>
        <v>11695.9064327485</v>
      </c>
      <c r="Q1127" s="19" t="s">
        <v>1523</v>
      </c>
      <c r="R1127" s="22" t="s">
        <v>36</v>
      </c>
      <c r="S1127" s="19" t="s">
        <v>29</v>
      </c>
      <c r="T1127" s="19" t="s">
        <v>30</v>
      </c>
      <c r="U1127" s="19" t="s">
        <v>31</v>
      </c>
      <c r="V1127" s="41" t="n">
        <v>43514</v>
      </c>
      <c r="W1127" s="34" t="s">
        <v>1524</v>
      </c>
      <c r="X1127" s="18"/>
    </row>
    <row r="1128" customFormat="false" ht="13.8" hidden="false" customHeight="false" outlineLevel="0" collapsed="false">
      <c r="A1128" s="18"/>
      <c r="B1128" s="19" t="n">
        <v>5815</v>
      </c>
      <c r="C1128" s="20" t="n">
        <v>43388</v>
      </c>
      <c r="D1128" s="38" t="s">
        <v>22</v>
      </c>
      <c r="E1128" s="22" t="s">
        <v>65</v>
      </c>
      <c r="F1128" s="34" t="s">
        <v>764</v>
      </c>
      <c r="G1128" s="19" t="n">
        <v>3</v>
      </c>
      <c r="H1128" s="19" t="n">
        <v>32</v>
      </c>
      <c r="I1128" s="19" t="n">
        <v>1</v>
      </c>
      <c r="J1128" s="19" t="n">
        <v>63.5</v>
      </c>
      <c r="K1128" s="39" t="n">
        <v>490000</v>
      </c>
      <c r="L1128" s="39" t="n">
        <f aca="false">K1128/J1128</f>
        <v>7716.53543307087</v>
      </c>
      <c r="M1128" s="18"/>
      <c r="N1128" s="40"/>
      <c r="O1128" s="30" t="n">
        <f aca="false">K1128+N1128</f>
        <v>490000</v>
      </c>
      <c r="P1128" s="39" t="n">
        <f aca="false">O1128/J1128</f>
        <v>7716.53543307087</v>
      </c>
      <c r="Q1128" s="19" t="s">
        <v>1525</v>
      </c>
      <c r="R1128" s="22" t="s">
        <v>57</v>
      </c>
      <c r="S1128" s="19" t="s">
        <v>29</v>
      </c>
      <c r="T1128" s="19" t="s">
        <v>30</v>
      </c>
      <c r="U1128" s="19" t="s">
        <v>31</v>
      </c>
      <c r="V1128" s="41" t="n">
        <v>43514</v>
      </c>
      <c r="W1128" s="34" t="s">
        <v>1526</v>
      </c>
      <c r="X1128" s="18"/>
    </row>
    <row r="1129" customFormat="false" ht="13.8" hidden="false" customHeight="false" outlineLevel="0" collapsed="false">
      <c r="A1129" s="18"/>
      <c r="B1129" s="19" t="n">
        <v>5815</v>
      </c>
      <c r="C1129" s="20" t="n">
        <v>43388</v>
      </c>
      <c r="D1129" s="38" t="s">
        <v>22</v>
      </c>
      <c r="E1129" s="22" t="s">
        <v>65</v>
      </c>
      <c r="F1129" s="34" t="s">
        <v>764</v>
      </c>
      <c r="G1129" s="19" t="n">
        <v>3</v>
      </c>
      <c r="H1129" s="19" t="n">
        <v>32</v>
      </c>
      <c r="I1129" s="19" t="n">
        <v>1</v>
      </c>
      <c r="J1129" s="19" t="n">
        <v>63.5</v>
      </c>
      <c r="K1129" s="39" t="n">
        <v>490000</v>
      </c>
      <c r="L1129" s="39" t="n">
        <f aca="false">K1129/J1129</f>
        <v>7716.53543307087</v>
      </c>
      <c r="M1129" s="18"/>
      <c r="N1129" s="40"/>
      <c r="O1129" s="30" t="n">
        <f aca="false">K1129+N1129</f>
        <v>490000</v>
      </c>
      <c r="P1129" s="39" t="n">
        <f aca="false">O1129/J1129</f>
        <v>7716.53543307087</v>
      </c>
      <c r="Q1129" s="19" t="s">
        <v>1525</v>
      </c>
      <c r="R1129" s="22" t="s">
        <v>57</v>
      </c>
      <c r="S1129" s="19" t="s">
        <v>29</v>
      </c>
      <c r="T1129" s="19" t="s">
        <v>30</v>
      </c>
      <c r="U1129" s="19" t="s">
        <v>31</v>
      </c>
      <c r="V1129" s="41" t="n">
        <v>43514</v>
      </c>
      <c r="W1129" s="34" t="s">
        <v>1526</v>
      </c>
      <c r="X1129" s="18"/>
      <c r="AMJ1129" s="32"/>
    </row>
    <row r="1130" s="32" customFormat="true" ht="13.8" hidden="false" customHeight="false" outlineLevel="0" collapsed="false">
      <c r="A1130" s="18"/>
      <c r="B1130" s="19" t="n">
        <v>2796</v>
      </c>
      <c r="C1130" s="20" t="n">
        <v>43388</v>
      </c>
      <c r="D1130" s="38" t="s">
        <v>22</v>
      </c>
      <c r="E1130" s="22" t="s">
        <v>113</v>
      </c>
      <c r="F1130" s="34" t="s">
        <v>1527</v>
      </c>
      <c r="G1130" s="19" t="n">
        <v>46</v>
      </c>
      <c r="H1130" s="19" t="n">
        <v>97</v>
      </c>
      <c r="I1130" s="19" t="n">
        <v>11</v>
      </c>
      <c r="J1130" s="19" t="n">
        <f aca="false">39.09-0.79</f>
        <v>38.3</v>
      </c>
      <c r="K1130" s="39" t="n">
        <v>310000</v>
      </c>
      <c r="L1130" s="39" t="n">
        <f aca="false">K1130/J1130</f>
        <v>8093.99477806788</v>
      </c>
      <c r="M1130" s="34" t="s">
        <v>1528</v>
      </c>
      <c r="N1130" s="40"/>
      <c r="O1130" s="30" t="n">
        <f aca="false">K1130+N1130</f>
        <v>310000</v>
      </c>
      <c r="P1130" s="39" t="n">
        <f aca="false">O1130/J1130</f>
        <v>8093.99477806788</v>
      </c>
      <c r="Q1130" s="19" t="s">
        <v>1486</v>
      </c>
      <c r="R1130" s="22" t="s">
        <v>26</v>
      </c>
      <c r="S1130" s="19" t="s">
        <v>29</v>
      </c>
      <c r="T1130" s="19" t="s">
        <v>30</v>
      </c>
      <c r="U1130" s="19" t="s">
        <v>31</v>
      </c>
      <c r="V1130" s="41" t="n">
        <v>43514</v>
      </c>
      <c r="W1130" s="34" t="s">
        <v>1529</v>
      </c>
      <c r="X1130" s="34"/>
    </row>
    <row r="1131" s="32" customFormat="true" ht="13.8" hidden="false" customHeight="false" outlineLevel="0" collapsed="false">
      <c r="A1131" s="18"/>
      <c r="B1131" s="19" t="n">
        <v>2796</v>
      </c>
      <c r="C1131" s="20" t="n">
        <v>43388</v>
      </c>
      <c r="D1131" s="38" t="s">
        <v>22</v>
      </c>
      <c r="E1131" s="22" t="s">
        <v>113</v>
      </c>
      <c r="F1131" s="34" t="s">
        <v>1527</v>
      </c>
      <c r="G1131" s="19" t="n">
        <v>46</v>
      </c>
      <c r="H1131" s="19" t="n">
        <v>97</v>
      </c>
      <c r="I1131" s="19" t="n">
        <v>11</v>
      </c>
      <c r="J1131" s="19" t="n">
        <f aca="false">39.09-0.79</f>
        <v>38.3</v>
      </c>
      <c r="K1131" s="39" t="n">
        <v>310000</v>
      </c>
      <c r="L1131" s="39" t="n">
        <f aca="false">K1131/J1131</f>
        <v>8093.99477806788</v>
      </c>
      <c r="M1131" s="34" t="s">
        <v>1528</v>
      </c>
      <c r="N1131" s="40"/>
      <c r="O1131" s="30" t="n">
        <f aca="false">K1131+N1131</f>
        <v>310000</v>
      </c>
      <c r="P1131" s="39" t="n">
        <f aca="false">O1131/J1131</f>
        <v>8093.99477806788</v>
      </c>
      <c r="Q1131" s="19" t="s">
        <v>1486</v>
      </c>
      <c r="R1131" s="22" t="s">
        <v>26</v>
      </c>
      <c r="S1131" s="19" t="s">
        <v>29</v>
      </c>
      <c r="T1131" s="19" t="s">
        <v>30</v>
      </c>
      <c r="U1131" s="19" t="s">
        <v>31</v>
      </c>
      <c r="V1131" s="41" t="n">
        <v>43514</v>
      </c>
      <c r="W1131" s="34" t="s">
        <v>1529</v>
      </c>
      <c r="X1131" s="18"/>
    </row>
    <row r="1132" customFormat="false" ht="13.8" hidden="false" customHeight="false" outlineLevel="0" collapsed="false">
      <c r="A1132" s="18"/>
      <c r="B1132" s="19" t="n">
        <v>2696</v>
      </c>
      <c r="C1132" s="20" t="n">
        <v>43388</v>
      </c>
      <c r="D1132" s="38" t="s">
        <v>22</v>
      </c>
      <c r="E1132" s="22" t="s">
        <v>235</v>
      </c>
      <c r="F1132" s="34" t="s">
        <v>236</v>
      </c>
      <c r="G1132" s="19" t="s">
        <v>563</v>
      </c>
      <c r="H1132" s="19" t="n">
        <v>29</v>
      </c>
      <c r="I1132" s="19" t="n">
        <v>7</v>
      </c>
      <c r="J1132" s="19" t="n">
        <v>45.78</v>
      </c>
      <c r="K1132" s="39" t="n">
        <v>415000</v>
      </c>
      <c r="L1132" s="39" t="n">
        <f aca="false">ROUND(K1132/J1132,2)</f>
        <v>9065.09</v>
      </c>
      <c r="M1132" s="34"/>
      <c r="N1132" s="40"/>
      <c r="O1132" s="30" t="n">
        <f aca="false">K1132+N1132</f>
        <v>415000</v>
      </c>
      <c r="P1132" s="39" t="n">
        <f aca="false">O1132/J1132</f>
        <v>9065.09392747925</v>
      </c>
      <c r="Q1132" s="19" t="s">
        <v>1369</v>
      </c>
      <c r="R1132" s="22" t="s">
        <v>26</v>
      </c>
      <c r="S1132" s="19" t="s">
        <v>29</v>
      </c>
      <c r="T1132" s="19" t="s">
        <v>30</v>
      </c>
      <c r="U1132" s="31" t="s">
        <v>31</v>
      </c>
      <c r="V1132" s="41" t="n">
        <v>43598</v>
      </c>
      <c r="W1132" s="34" t="s">
        <v>1530</v>
      </c>
      <c r="X1132" s="34"/>
    </row>
    <row r="1133" customFormat="false" ht="13.8" hidden="false" customHeight="false" outlineLevel="0" collapsed="false">
      <c r="A1133" s="18"/>
      <c r="B1133" s="19" t="n">
        <v>3459</v>
      </c>
      <c r="C1133" s="20" t="n">
        <v>43388</v>
      </c>
      <c r="D1133" s="38" t="s">
        <v>22</v>
      </c>
      <c r="E1133" s="22" t="s">
        <v>278</v>
      </c>
      <c r="F1133" s="34" t="s">
        <v>338</v>
      </c>
      <c r="G1133" s="19" t="n">
        <v>53</v>
      </c>
      <c r="H1133" s="19" t="n">
        <v>99</v>
      </c>
      <c r="I1133" s="19" t="n">
        <v>4</v>
      </c>
      <c r="J1133" s="19" t="n">
        <v>41.14</v>
      </c>
      <c r="K1133" s="39" t="n">
        <v>389000</v>
      </c>
      <c r="L1133" s="39" t="n">
        <f aca="false">K1133/J1133</f>
        <v>9455.5177442878</v>
      </c>
      <c r="M1133" s="18"/>
      <c r="N1133" s="40"/>
      <c r="O1133" s="30" t="n">
        <f aca="false">K1133+N1133</f>
        <v>389000</v>
      </c>
      <c r="P1133" s="39" t="n">
        <f aca="false">O1133/J1133</f>
        <v>9455.5177442878</v>
      </c>
      <c r="Q1133" s="19" t="s">
        <v>1446</v>
      </c>
      <c r="R1133" s="22" t="s">
        <v>26</v>
      </c>
      <c r="S1133" s="19" t="s">
        <v>29</v>
      </c>
      <c r="T1133" s="19" t="s">
        <v>30</v>
      </c>
      <c r="U1133" s="19" t="s">
        <v>31</v>
      </c>
      <c r="V1133" s="41" t="n">
        <v>43514</v>
      </c>
      <c r="W1133" s="34" t="s">
        <v>1531</v>
      </c>
      <c r="X1133" s="18"/>
    </row>
    <row r="1134" customFormat="false" ht="13.8" hidden="false" customHeight="false" outlineLevel="0" collapsed="false">
      <c r="A1134" s="18"/>
      <c r="B1134" s="19" t="n">
        <v>3459</v>
      </c>
      <c r="C1134" s="20" t="n">
        <v>43388</v>
      </c>
      <c r="D1134" s="38" t="s">
        <v>22</v>
      </c>
      <c r="E1134" s="22" t="s">
        <v>278</v>
      </c>
      <c r="F1134" s="34" t="s">
        <v>338</v>
      </c>
      <c r="G1134" s="19" t="n">
        <v>53</v>
      </c>
      <c r="H1134" s="19" t="n">
        <v>99</v>
      </c>
      <c r="I1134" s="19" t="n">
        <v>4</v>
      </c>
      <c r="J1134" s="19" t="n">
        <v>41.14</v>
      </c>
      <c r="K1134" s="39" t="n">
        <v>389000</v>
      </c>
      <c r="L1134" s="39" t="n">
        <f aca="false">K1134/J1134</f>
        <v>9455.5177442878</v>
      </c>
      <c r="M1134" s="18"/>
      <c r="N1134" s="40"/>
      <c r="O1134" s="30" t="n">
        <f aca="false">K1134+N1134</f>
        <v>389000</v>
      </c>
      <c r="P1134" s="39" t="n">
        <f aca="false">O1134/J1134</f>
        <v>9455.5177442878</v>
      </c>
      <c r="Q1134" s="19" t="s">
        <v>1446</v>
      </c>
      <c r="R1134" s="22" t="s">
        <v>26</v>
      </c>
      <c r="S1134" s="19" t="s">
        <v>29</v>
      </c>
      <c r="T1134" s="19" t="s">
        <v>30</v>
      </c>
      <c r="U1134" s="19" t="s">
        <v>31</v>
      </c>
      <c r="V1134" s="41" t="n">
        <v>43514</v>
      </c>
      <c r="W1134" s="34" t="s">
        <v>1531</v>
      </c>
      <c r="X1134" s="18"/>
    </row>
    <row r="1135" customFormat="false" ht="13.8" hidden="false" customHeight="false" outlineLevel="0" collapsed="false">
      <c r="A1135" s="18"/>
      <c r="B1135" s="19" t="n">
        <v>10004</v>
      </c>
      <c r="C1135" s="20" t="n">
        <v>43388</v>
      </c>
      <c r="D1135" s="38" t="s">
        <v>22</v>
      </c>
      <c r="E1135" s="22" t="s">
        <v>637</v>
      </c>
      <c r="F1135" s="34" t="s">
        <v>1532</v>
      </c>
      <c r="G1135" s="19" t="n">
        <v>9</v>
      </c>
      <c r="H1135" s="19" t="n">
        <v>11</v>
      </c>
      <c r="I1135" s="19" t="n">
        <v>2</v>
      </c>
      <c r="J1135" s="19" t="n">
        <v>77.4</v>
      </c>
      <c r="K1135" s="39" t="n">
        <v>1090000</v>
      </c>
      <c r="L1135" s="39" t="n">
        <f aca="false">K1135/J1135</f>
        <v>14082.6873385013</v>
      </c>
      <c r="M1135" s="34" t="s">
        <v>1533</v>
      </c>
      <c r="N1135" s="40"/>
      <c r="O1135" s="30" t="n">
        <f aca="false">K1135+N1135</f>
        <v>1090000</v>
      </c>
      <c r="P1135" s="39" t="n">
        <f aca="false">O1135/J1135</f>
        <v>14082.6873385013</v>
      </c>
      <c r="Q1135" s="19" t="s">
        <v>1534</v>
      </c>
      <c r="R1135" s="22" t="s">
        <v>49</v>
      </c>
      <c r="S1135" s="19" t="s">
        <v>29</v>
      </c>
      <c r="T1135" s="19" t="s">
        <v>30</v>
      </c>
      <c r="U1135" s="19" t="s">
        <v>31</v>
      </c>
      <c r="V1135" s="41" t="n">
        <v>43514</v>
      </c>
      <c r="W1135" s="34" t="s">
        <v>1535</v>
      </c>
      <c r="X1135" s="18"/>
    </row>
    <row r="1136" customFormat="false" ht="13.8" hidden="false" customHeight="false" outlineLevel="0" collapsed="false">
      <c r="A1136" s="18"/>
      <c r="B1136" s="19" t="n">
        <v>7126</v>
      </c>
      <c r="C1136" s="20" t="n">
        <v>43388</v>
      </c>
      <c r="D1136" s="38" t="s">
        <v>22</v>
      </c>
      <c r="E1136" s="22" t="s">
        <v>265</v>
      </c>
      <c r="F1136" s="34" t="s">
        <v>565</v>
      </c>
      <c r="G1136" s="19" t="n">
        <v>52</v>
      </c>
      <c r="H1136" s="19" t="n">
        <v>98</v>
      </c>
      <c r="I1136" s="19" t="n">
        <v>4</v>
      </c>
      <c r="J1136" s="19" t="n">
        <v>36.93</v>
      </c>
      <c r="K1136" s="39" t="n">
        <v>320000</v>
      </c>
      <c r="L1136" s="39" t="n">
        <f aca="false">K1136/J1136</f>
        <v>8665.04197129705</v>
      </c>
      <c r="M1136" s="18"/>
      <c r="N1136" s="40"/>
      <c r="O1136" s="30" t="n">
        <f aca="false">K1136+N1136</f>
        <v>320000</v>
      </c>
      <c r="P1136" s="39" t="n">
        <f aca="false">O1136/J1136</f>
        <v>8665.04197129705</v>
      </c>
      <c r="Q1136" s="19" t="s">
        <v>1481</v>
      </c>
      <c r="R1136" s="22" t="s">
        <v>36</v>
      </c>
      <c r="S1136" s="19" t="s">
        <v>29</v>
      </c>
      <c r="T1136" s="19" t="s">
        <v>30</v>
      </c>
      <c r="U1136" s="19" t="s">
        <v>31</v>
      </c>
      <c r="V1136" s="41" t="n">
        <v>43514</v>
      </c>
      <c r="W1136" s="34" t="s">
        <v>1536</v>
      </c>
      <c r="X1136" s="18"/>
      <c r="Y1136" s="35"/>
      <c r="Z1136" s="43"/>
    </row>
    <row r="1137" customFormat="false" ht="13.8" hidden="false" customHeight="false" outlineLevel="0" collapsed="false">
      <c r="A1137" s="18"/>
      <c r="B1137" s="19" t="n">
        <v>711</v>
      </c>
      <c r="C1137" s="20" t="n">
        <v>43389</v>
      </c>
      <c r="D1137" s="38" t="s">
        <v>22</v>
      </c>
      <c r="E1137" s="22" t="s">
        <v>203</v>
      </c>
      <c r="F1137" s="34" t="s">
        <v>138</v>
      </c>
      <c r="G1137" s="19" t="n">
        <v>8</v>
      </c>
      <c r="H1137" s="19" t="n">
        <v>1201</v>
      </c>
      <c r="I1137" s="19" t="n">
        <v>12</v>
      </c>
      <c r="J1137" s="19" t="n">
        <v>43.41</v>
      </c>
      <c r="K1137" s="39" t="n">
        <v>410000</v>
      </c>
      <c r="L1137" s="39" t="n">
        <f aca="false">K1137/J1137</f>
        <v>9444.82838055748</v>
      </c>
      <c r="M1137" s="34" t="s">
        <v>987</v>
      </c>
      <c r="N1137" s="40"/>
      <c r="O1137" s="30" t="n">
        <f aca="false">K1137+N1137</f>
        <v>410000</v>
      </c>
      <c r="P1137" s="39" t="n">
        <f aca="false">O1137/J1137</f>
        <v>9444.82838055748</v>
      </c>
      <c r="Q1137" s="19" t="s">
        <v>1479</v>
      </c>
      <c r="R1137" s="22" t="s">
        <v>36</v>
      </c>
      <c r="S1137" s="19" t="s">
        <v>29</v>
      </c>
      <c r="T1137" s="19" t="s">
        <v>30</v>
      </c>
      <c r="U1137" s="19" t="s">
        <v>31</v>
      </c>
      <c r="V1137" s="41" t="n">
        <v>43514</v>
      </c>
      <c r="W1137" s="34" t="s">
        <v>1537</v>
      </c>
      <c r="X1137" s="34"/>
    </row>
    <row r="1138" customFormat="false" ht="13.8" hidden="false" customHeight="false" outlineLevel="0" collapsed="false">
      <c r="A1138" s="18"/>
      <c r="B1138" s="19" t="n">
        <v>711</v>
      </c>
      <c r="C1138" s="20" t="n">
        <v>43389</v>
      </c>
      <c r="D1138" s="38" t="s">
        <v>22</v>
      </c>
      <c r="E1138" s="22" t="s">
        <v>203</v>
      </c>
      <c r="F1138" s="34" t="s">
        <v>138</v>
      </c>
      <c r="G1138" s="19" t="n">
        <v>8</v>
      </c>
      <c r="H1138" s="19" t="n">
        <v>1201</v>
      </c>
      <c r="I1138" s="19" t="n">
        <v>12</v>
      </c>
      <c r="J1138" s="19" t="n">
        <v>43.41</v>
      </c>
      <c r="K1138" s="39" t="n">
        <v>410000</v>
      </c>
      <c r="L1138" s="39" t="n">
        <f aca="false">K1138/J1138</f>
        <v>9444.82838055748</v>
      </c>
      <c r="M1138" s="34" t="s">
        <v>987</v>
      </c>
      <c r="N1138" s="40"/>
      <c r="O1138" s="30" t="n">
        <f aca="false">K1138+N1138</f>
        <v>410000</v>
      </c>
      <c r="P1138" s="39" t="n">
        <f aca="false">O1138/J1138</f>
        <v>9444.82838055748</v>
      </c>
      <c r="Q1138" s="19" t="s">
        <v>1479</v>
      </c>
      <c r="R1138" s="22" t="s">
        <v>36</v>
      </c>
      <c r="S1138" s="19" t="s">
        <v>29</v>
      </c>
      <c r="T1138" s="19" t="s">
        <v>30</v>
      </c>
      <c r="U1138" s="19" t="s">
        <v>31</v>
      </c>
      <c r="V1138" s="41" t="n">
        <v>43514</v>
      </c>
      <c r="W1138" s="34" t="s">
        <v>1537</v>
      </c>
      <c r="X1138" s="18"/>
      <c r="Z1138" s="33"/>
      <c r="AMJ1138" s="32"/>
    </row>
    <row r="1139" s="32" customFormat="true" ht="13.8" hidden="false" customHeight="false" outlineLevel="0" collapsed="false">
      <c r="A1139" s="18"/>
      <c r="B1139" s="19" t="n">
        <v>2296</v>
      </c>
      <c r="C1139" s="20" t="n">
        <v>43390</v>
      </c>
      <c r="D1139" s="38" t="s">
        <v>22</v>
      </c>
      <c r="E1139" s="22" t="s">
        <v>644</v>
      </c>
      <c r="F1139" s="34" t="s">
        <v>94</v>
      </c>
      <c r="G1139" s="19" t="s">
        <v>1538</v>
      </c>
      <c r="H1139" s="19" t="n">
        <v>114</v>
      </c>
      <c r="I1139" s="19" t="n">
        <v>2</v>
      </c>
      <c r="J1139" s="19" t="n">
        <v>36.92</v>
      </c>
      <c r="K1139" s="39" t="n">
        <v>342500</v>
      </c>
      <c r="L1139" s="39" t="n">
        <f aca="false">K1139/J1139</f>
        <v>9276.81473456121</v>
      </c>
      <c r="M1139" s="34"/>
      <c r="N1139" s="40"/>
      <c r="O1139" s="30" t="n">
        <f aca="false">K1139+N1139</f>
        <v>342500</v>
      </c>
      <c r="P1139" s="39" t="n">
        <f aca="false">O1139/J1139</f>
        <v>9276.81473456121</v>
      </c>
      <c r="Q1139" s="19" t="s">
        <v>1320</v>
      </c>
      <c r="R1139" s="22" t="s">
        <v>27</v>
      </c>
      <c r="S1139" s="19" t="s">
        <v>29</v>
      </c>
      <c r="T1139" s="19" t="s">
        <v>30</v>
      </c>
      <c r="U1139" s="31" t="s">
        <v>31</v>
      </c>
      <c r="V1139" s="41" t="n">
        <v>43691</v>
      </c>
      <c r="W1139" s="34" t="s">
        <v>1539</v>
      </c>
      <c r="X1139" s="18"/>
    </row>
    <row r="1140" customFormat="false" ht="13.8" hidden="false" customHeight="false" outlineLevel="0" collapsed="false">
      <c r="A1140" s="18"/>
      <c r="B1140" s="19" t="s">
        <v>887</v>
      </c>
      <c r="C1140" s="20" t="n">
        <v>43390</v>
      </c>
      <c r="D1140" s="38" t="s">
        <v>22</v>
      </c>
      <c r="E1140" s="22" t="s">
        <v>212</v>
      </c>
      <c r="F1140" s="45" t="s">
        <v>528</v>
      </c>
      <c r="G1140" s="19" t="s">
        <v>1540</v>
      </c>
      <c r="H1140" s="19"/>
      <c r="I1140" s="19" t="n">
        <v>6</v>
      </c>
      <c r="J1140" s="25" t="n">
        <v>74</v>
      </c>
      <c r="K1140" s="39" t="n">
        <v>675000</v>
      </c>
      <c r="L1140" s="39" t="n">
        <f aca="false">K1140/J1140</f>
        <v>9121.62162162162</v>
      </c>
      <c r="M1140" s="34" t="s">
        <v>1541</v>
      </c>
      <c r="N1140" s="40"/>
      <c r="O1140" s="30" t="n">
        <f aca="false">K1140+N1140</f>
        <v>675000</v>
      </c>
      <c r="P1140" s="39" t="n">
        <f aca="false">O1140/J1140</f>
        <v>9121.62162162162</v>
      </c>
      <c r="Q1140" s="19" t="s">
        <v>889</v>
      </c>
      <c r="R1140" s="19" t="n">
        <v>4</v>
      </c>
      <c r="S1140" s="19" t="s">
        <v>1141</v>
      </c>
      <c r="T1140" s="19"/>
      <c r="U1140" s="19" t="s">
        <v>31</v>
      </c>
      <c r="V1140" s="41" t="n">
        <v>43727</v>
      </c>
      <c r="W1140" s="18"/>
      <c r="X1140" s="18"/>
      <c r="AMJ1140" s="32"/>
    </row>
    <row r="1141" s="32" customFormat="true" ht="13.8" hidden="false" customHeight="false" outlineLevel="0" collapsed="false">
      <c r="A1141" s="18"/>
      <c r="B1141" s="19" t="n">
        <v>1794</v>
      </c>
      <c r="C1141" s="20" t="n">
        <v>43390</v>
      </c>
      <c r="D1141" s="38" t="s">
        <v>22</v>
      </c>
      <c r="E1141" s="22" t="s">
        <v>175</v>
      </c>
      <c r="F1141" s="34" t="s">
        <v>176</v>
      </c>
      <c r="G1141" s="19" t="s">
        <v>636</v>
      </c>
      <c r="H1141" s="19" t="n">
        <v>59</v>
      </c>
      <c r="I1141" s="19" t="n">
        <v>1</v>
      </c>
      <c r="J1141" s="19" t="n">
        <v>45.92</v>
      </c>
      <c r="K1141" s="39" t="n">
        <v>440000</v>
      </c>
      <c r="L1141" s="39" t="n">
        <f aca="false">K1141/J1141</f>
        <v>9581.88153310105</v>
      </c>
      <c r="M1141" s="34"/>
      <c r="N1141" s="40"/>
      <c r="O1141" s="30" t="n">
        <f aca="false">K1141+N1141</f>
        <v>440000</v>
      </c>
      <c r="P1141" s="39" t="n">
        <f aca="false">O1141/J1141</f>
        <v>9581.88153310105</v>
      </c>
      <c r="Q1141" s="19" t="s">
        <v>1486</v>
      </c>
      <c r="R1141" s="22" t="s">
        <v>26</v>
      </c>
      <c r="S1141" s="19" t="s">
        <v>29</v>
      </c>
      <c r="T1141" s="19" t="s">
        <v>30</v>
      </c>
      <c r="U1141" s="19" t="s">
        <v>31</v>
      </c>
      <c r="V1141" s="41" t="n">
        <v>43514</v>
      </c>
      <c r="W1141" s="34" t="s">
        <v>1542</v>
      </c>
      <c r="X1141" s="18"/>
      <c r="Z1141" s="33"/>
    </row>
    <row r="1142" customFormat="false" ht="13.8" hidden="false" customHeight="false" outlineLevel="0" collapsed="false">
      <c r="A1142" s="18"/>
      <c r="B1142" s="19" t="n">
        <v>1794</v>
      </c>
      <c r="C1142" s="20" t="n">
        <v>43390</v>
      </c>
      <c r="D1142" s="38" t="s">
        <v>22</v>
      </c>
      <c r="E1142" s="22" t="s">
        <v>175</v>
      </c>
      <c r="F1142" s="34" t="s">
        <v>176</v>
      </c>
      <c r="G1142" s="19" t="s">
        <v>636</v>
      </c>
      <c r="H1142" s="19" t="n">
        <v>59</v>
      </c>
      <c r="I1142" s="19" t="n">
        <v>1</v>
      </c>
      <c r="J1142" s="19" t="n">
        <v>45.92</v>
      </c>
      <c r="K1142" s="39" t="n">
        <v>440000</v>
      </c>
      <c r="L1142" s="39" t="n">
        <f aca="false">K1142/J1142</f>
        <v>9581.88153310105</v>
      </c>
      <c r="M1142" s="34"/>
      <c r="N1142" s="40"/>
      <c r="O1142" s="30" t="n">
        <f aca="false">K1142+N1142</f>
        <v>440000</v>
      </c>
      <c r="P1142" s="39" t="n">
        <f aca="false">O1142/J1142</f>
        <v>9581.88153310105</v>
      </c>
      <c r="Q1142" s="19" t="s">
        <v>1486</v>
      </c>
      <c r="R1142" s="22" t="s">
        <v>26</v>
      </c>
      <c r="S1142" s="19" t="s">
        <v>29</v>
      </c>
      <c r="T1142" s="19" t="s">
        <v>30</v>
      </c>
      <c r="U1142" s="19" t="s">
        <v>31</v>
      </c>
      <c r="V1142" s="41" t="n">
        <v>43514</v>
      </c>
      <c r="W1142" s="34" t="s">
        <v>1542</v>
      </c>
      <c r="X1142" s="18"/>
    </row>
    <row r="1143" customFormat="false" ht="13.8" hidden="false" customHeight="false" outlineLevel="0" collapsed="false">
      <c r="A1143" s="18"/>
      <c r="B1143" s="19" t="n">
        <v>15969</v>
      </c>
      <c r="C1143" s="20" t="n">
        <v>43390</v>
      </c>
      <c r="D1143" s="38" t="s">
        <v>22</v>
      </c>
      <c r="E1143" s="22" t="s">
        <v>375</v>
      </c>
      <c r="F1143" s="34" t="s">
        <v>560</v>
      </c>
      <c r="G1143" s="19" t="s">
        <v>1023</v>
      </c>
      <c r="H1143" s="19" t="n">
        <v>8</v>
      </c>
      <c r="I1143" s="19" t="n">
        <v>3</v>
      </c>
      <c r="J1143" s="19" t="n">
        <v>66.46</v>
      </c>
      <c r="K1143" s="39" t="n">
        <v>650000</v>
      </c>
      <c r="L1143" s="39" t="n">
        <f aca="false">K1143/J1143</f>
        <v>9780.31898886548</v>
      </c>
      <c r="M1143" s="34"/>
      <c r="N1143" s="40"/>
      <c r="O1143" s="30" t="n">
        <f aca="false">K1143+N1143</f>
        <v>650000</v>
      </c>
      <c r="P1143" s="39" t="n">
        <f aca="false">O1143/J1143</f>
        <v>9780.31898886548</v>
      </c>
      <c r="Q1143" s="19" t="s">
        <v>1486</v>
      </c>
      <c r="R1143" s="22" t="s">
        <v>36</v>
      </c>
      <c r="S1143" s="19" t="s">
        <v>29</v>
      </c>
      <c r="T1143" s="19" t="s">
        <v>30</v>
      </c>
      <c r="U1143" s="19" t="s">
        <v>31</v>
      </c>
      <c r="V1143" s="41" t="n">
        <v>43514</v>
      </c>
      <c r="W1143" s="34" t="s">
        <v>1543</v>
      </c>
      <c r="X1143" s="18"/>
    </row>
    <row r="1144" customFormat="false" ht="13.8" hidden="false" customHeight="false" outlineLevel="0" collapsed="false">
      <c r="A1144" s="18"/>
      <c r="B1144" s="19" t="n">
        <v>15969</v>
      </c>
      <c r="C1144" s="20" t="n">
        <v>43390</v>
      </c>
      <c r="D1144" s="38" t="s">
        <v>22</v>
      </c>
      <c r="E1144" s="22" t="s">
        <v>375</v>
      </c>
      <c r="F1144" s="34" t="s">
        <v>560</v>
      </c>
      <c r="G1144" s="19" t="s">
        <v>1023</v>
      </c>
      <c r="H1144" s="19" t="n">
        <v>8</v>
      </c>
      <c r="I1144" s="19" t="n">
        <v>3</v>
      </c>
      <c r="J1144" s="19" t="n">
        <v>66.46</v>
      </c>
      <c r="K1144" s="39" t="n">
        <v>650000</v>
      </c>
      <c r="L1144" s="39" t="n">
        <f aca="false">K1144/J1144</f>
        <v>9780.31898886548</v>
      </c>
      <c r="M1144" s="34"/>
      <c r="N1144" s="40"/>
      <c r="O1144" s="30" t="n">
        <f aca="false">K1144+N1144</f>
        <v>650000</v>
      </c>
      <c r="P1144" s="39" t="n">
        <f aca="false">O1144/J1144</f>
        <v>9780.31898886548</v>
      </c>
      <c r="Q1144" s="19" t="s">
        <v>1486</v>
      </c>
      <c r="R1144" s="22" t="s">
        <v>36</v>
      </c>
      <c r="S1144" s="19" t="s">
        <v>29</v>
      </c>
      <c r="T1144" s="19" t="s">
        <v>30</v>
      </c>
      <c r="U1144" s="19" t="s">
        <v>31</v>
      </c>
      <c r="V1144" s="41" t="n">
        <v>43514</v>
      </c>
      <c r="W1144" s="34" t="s">
        <v>1543</v>
      </c>
      <c r="X1144" s="18"/>
    </row>
    <row r="1145" customFormat="false" ht="13.8" hidden="false" customHeight="false" outlineLevel="0" collapsed="false">
      <c r="A1145" s="18"/>
      <c r="B1145" s="19" t="n">
        <v>50981</v>
      </c>
      <c r="C1145" s="20" t="n">
        <v>43390</v>
      </c>
      <c r="D1145" s="38" t="s">
        <v>22</v>
      </c>
      <c r="E1145" s="22" t="s">
        <v>268</v>
      </c>
      <c r="F1145" s="34" t="s">
        <v>87</v>
      </c>
      <c r="G1145" s="19" t="n">
        <v>75</v>
      </c>
      <c r="H1145" s="19" t="n">
        <v>105</v>
      </c>
      <c r="I1145" s="19" t="n">
        <v>5</v>
      </c>
      <c r="J1145" s="19" t="n">
        <v>56.39</v>
      </c>
      <c r="K1145" s="39" t="n">
        <v>510000</v>
      </c>
      <c r="L1145" s="39" t="n">
        <f aca="false">K1145/J1145</f>
        <v>9044.15676538393</v>
      </c>
      <c r="M1145" s="34" t="s">
        <v>1544</v>
      </c>
      <c r="N1145" s="40" t="n">
        <v>45000</v>
      </c>
      <c r="O1145" s="30" t="n">
        <f aca="false">K1145+N1145</f>
        <v>555000</v>
      </c>
      <c r="P1145" s="39" t="n">
        <f aca="false">O1145/J1145</f>
        <v>9842.17059762369</v>
      </c>
      <c r="Q1145" s="19" t="s">
        <v>1486</v>
      </c>
      <c r="R1145" s="22" t="s">
        <v>26</v>
      </c>
      <c r="S1145" s="19" t="s">
        <v>29</v>
      </c>
      <c r="T1145" s="19" t="s">
        <v>30</v>
      </c>
      <c r="U1145" s="19" t="s">
        <v>31</v>
      </c>
      <c r="V1145" s="41" t="n">
        <v>43514</v>
      </c>
      <c r="W1145" s="34" t="s">
        <v>1545</v>
      </c>
      <c r="X1145" s="18"/>
    </row>
    <row r="1146" customFormat="false" ht="13.8" hidden="false" customHeight="false" outlineLevel="0" collapsed="false">
      <c r="A1146" s="18"/>
      <c r="B1146" s="19" t="n">
        <v>50981</v>
      </c>
      <c r="C1146" s="20" t="n">
        <v>43390</v>
      </c>
      <c r="D1146" s="38" t="s">
        <v>22</v>
      </c>
      <c r="E1146" s="22" t="s">
        <v>268</v>
      </c>
      <c r="F1146" s="34" t="s">
        <v>87</v>
      </c>
      <c r="G1146" s="19" t="n">
        <v>75</v>
      </c>
      <c r="H1146" s="19" t="n">
        <v>105</v>
      </c>
      <c r="I1146" s="19" t="n">
        <v>5</v>
      </c>
      <c r="J1146" s="19" t="n">
        <v>56.39</v>
      </c>
      <c r="K1146" s="39" t="n">
        <v>510000</v>
      </c>
      <c r="L1146" s="39" t="n">
        <f aca="false">K1146/J1146</f>
        <v>9044.15676538393</v>
      </c>
      <c r="M1146" s="34" t="s">
        <v>1544</v>
      </c>
      <c r="N1146" s="40" t="n">
        <v>45000</v>
      </c>
      <c r="O1146" s="30" t="n">
        <f aca="false">K1146+N1146</f>
        <v>555000</v>
      </c>
      <c r="P1146" s="39" t="n">
        <f aca="false">O1146/J1146</f>
        <v>9842.17059762369</v>
      </c>
      <c r="Q1146" s="19" t="s">
        <v>1486</v>
      </c>
      <c r="R1146" s="22" t="s">
        <v>26</v>
      </c>
      <c r="S1146" s="19" t="s">
        <v>29</v>
      </c>
      <c r="T1146" s="19" t="s">
        <v>30</v>
      </c>
      <c r="U1146" s="19" t="s">
        <v>31</v>
      </c>
      <c r="V1146" s="41" t="n">
        <v>43514</v>
      </c>
      <c r="W1146" s="34" t="s">
        <v>1545</v>
      </c>
      <c r="X1146" s="18"/>
      <c r="AMJ1146" s="32"/>
    </row>
    <row r="1147" s="32" customFormat="true" ht="13.8" hidden="false" customHeight="false" outlineLevel="0" collapsed="false">
      <c r="A1147" s="18"/>
      <c r="B1147" s="19" t="n">
        <v>5902</v>
      </c>
      <c r="C1147" s="20" t="n">
        <v>43390</v>
      </c>
      <c r="D1147" s="38" t="s">
        <v>22</v>
      </c>
      <c r="E1147" s="22" t="s">
        <v>459</v>
      </c>
      <c r="F1147" s="34" t="s">
        <v>240</v>
      </c>
      <c r="G1147" s="19" t="n">
        <v>114</v>
      </c>
      <c r="H1147" s="19" t="n">
        <v>43</v>
      </c>
      <c r="I1147" s="19" t="n">
        <v>9</v>
      </c>
      <c r="J1147" s="19" t="n">
        <v>33.7</v>
      </c>
      <c r="K1147" s="39" t="n">
        <v>280000</v>
      </c>
      <c r="L1147" s="39" t="n">
        <f aca="false">K1147/J1147</f>
        <v>8308.60534124629</v>
      </c>
      <c r="M1147" s="34"/>
      <c r="N1147" s="40"/>
      <c r="O1147" s="30" t="n">
        <f aca="false">K1147+N1147</f>
        <v>280000</v>
      </c>
      <c r="P1147" s="39" t="n">
        <f aca="false">O1147/J1147</f>
        <v>8308.60534124629</v>
      </c>
      <c r="Q1147" s="19" t="s">
        <v>1479</v>
      </c>
      <c r="R1147" s="22" t="s">
        <v>36</v>
      </c>
      <c r="S1147" s="19" t="s">
        <v>29</v>
      </c>
      <c r="T1147" s="19" t="s">
        <v>30</v>
      </c>
      <c r="U1147" s="19" t="s">
        <v>31</v>
      </c>
      <c r="V1147" s="41" t="n">
        <v>43514</v>
      </c>
      <c r="W1147" s="34" t="s">
        <v>1546</v>
      </c>
      <c r="X1147" s="18"/>
    </row>
    <row r="1148" customFormat="false" ht="13.8" hidden="false" customHeight="false" outlineLevel="0" collapsed="false">
      <c r="A1148" s="18"/>
      <c r="B1148" s="19" t="n">
        <v>10060</v>
      </c>
      <c r="C1148" s="20" t="n">
        <v>43390</v>
      </c>
      <c r="D1148" s="38" t="s">
        <v>22</v>
      </c>
      <c r="E1148" s="22" t="s">
        <v>215</v>
      </c>
      <c r="F1148" s="34" t="s">
        <v>216</v>
      </c>
      <c r="G1148" s="19" t="n">
        <v>2</v>
      </c>
      <c r="H1148" s="19" t="n">
        <v>43</v>
      </c>
      <c r="I1148" s="19" t="n">
        <v>9</v>
      </c>
      <c r="J1148" s="19" t="n">
        <v>64.76</v>
      </c>
      <c r="K1148" s="39" t="n">
        <v>760000</v>
      </c>
      <c r="L1148" s="39" t="n">
        <f aca="false">K1148/J1148</f>
        <v>11735.6392835083</v>
      </c>
      <c r="M1148" s="34" t="s">
        <v>1547</v>
      </c>
      <c r="N1148" s="40" t="n">
        <v>60000</v>
      </c>
      <c r="O1148" s="30" t="n">
        <f aca="false">K1148+N1148</f>
        <v>820000</v>
      </c>
      <c r="P1148" s="39" t="n">
        <f aca="false">O1148/J1148</f>
        <v>12662.13712168</v>
      </c>
      <c r="Q1148" s="19" t="s">
        <v>1548</v>
      </c>
      <c r="R1148" s="22" t="s">
        <v>26</v>
      </c>
      <c r="S1148" s="19" t="s">
        <v>29</v>
      </c>
      <c r="T1148" s="19" t="s">
        <v>30</v>
      </c>
      <c r="U1148" s="19" t="s">
        <v>31</v>
      </c>
      <c r="V1148" s="41" t="n">
        <v>43514</v>
      </c>
      <c r="W1148" s="34" t="s">
        <v>1549</v>
      </c>
      <c r="X1148" s="18"/>
    </row>
    <row r="1149" customFormat="false" ht="13.8" hidden="false" customHeight="false" outlineLevel="0" collapsed="false">
      <c r="A1149" s="18"/>
      <c r="B1149" s="19" t="n">
        <v>14694</v>
      </c>
      <c r="C1149" s="20" t="n">
        <v>43390</v>
      </c>
      <c r="D1149" s="38" t="s">
        <v>22</v>
      </c>
      <c r="E1149" s="22" t="s">
        <v>433</v>
      </c>
      <c r="F1149" s="34" t="s">
        <v>1072</v>
      </c>
      <c r="G1149" s="19" t="n">
        <v>4</v>
      </c>
      <c r="H1149" s="19" t="s">
        <v>1550</v>
      </c>
      <c r="I1149" s="19" t="n">
        <v>3</v>
      </c>
      <c r="J1149" s="19" t="n">
        <v>37.28</v>
      </c>
      <c r="K1149" s="39" t="n">
        <v>395000</v>
      </c>
      <c r="L1149" s="39" t="n">
        <f aca="false">K1149/J1149</f>
        <v>10595.4935622318</v>
      </c>
      <c r="M1149" s="34"/>
      <c r="N1149" s="40"/>
      <c r="O1149" s="30" t="n">
        <f aca="false">K1149+N1149</f>
        <v>395000</v>
      </c>
      <c r="P1149" s="39" t="n">
        <f aca="false">O1149/J1149</f>
        <v>10595.4935622318</v>
      </c>
      <c r="Q1149" s="19" t="s">
        <v>1551</v>
      </c>
      <c r="R1149" s="22" t="s">
        <v>27</v>
      </c>
      <c r="S1149" s="19" t="s">
        <v>29</v>
      </c>
      <c r="T1149" s="19" t="s">
        <v>30</v>
      </c>
      <c r="U1149" s="19" t="s">
        <v>31</v>
      </c>
      <c r="V1149" s="41" t="n">
        <v>43514</v>
      </c>
      <c r="W1149" s="34" t="s">
        <v>1552</v>
      </c>
      <c r="X1149" s="34"/>
    </row>
    <row r="1150" customFormat="false" ht="13.8" hidden="false" customHeight="false" outlineLevel="0" collapsed="false">
      <c r="A1150" s="18"/>
      <c r="B1150" s="19" t="n">
        <v>9443</v>
      </c>
      <c r="C1150" s="20" t="n">
        <v>43391</v>
      </c>
      <c r="D1150" s="38" t="s">
        <v>22</v>
      </c>
      <c r="E1150" s="22" t="s">
        <v>171</v>
      </c>
      <c r="F1150" s="34" t="s">
        <v>221</v>
      </c>
      <c r="G1150" s="19" t="n">
        <v>5</v>
      </c>
      <c r="H1150" s="19" t="n">
        <v>64</v>
      </c>
      <c r="I1150" s="19" t="n">
        <v>2</v>
      </c>
      <c r="J1150" s="19" t="n">
        <v>46.7</v>
      </c>
      <c r="K1150" s="39" t="n">
        <v>389000</v>
      </c>
      <c r="L1150" s="39" t="n">
        <f aca="false">K1150/J1150</f>
        <v>8329.76445396146</v>
      </c>
      <c r="M1150" s="18"/>
      <c r="N1150" s="40"/>
      <c r="O1150" s="30" t="n">
        <f aca="false">K1150+N1150</f>
        <v>389000</v>
      </c>
      <c r="P1150" s="39" t="n">
        <f aca="false">O1150/J1150</f>
        <v>8329.76445396146</v>
      </c>
      <c r="Q1150" s="19" t="s">
        <v>1471</v>
      </c>
      <c r="R1150" s="22" t="s">
        <v>49</v>
      </c>
      <c r="S1150" s="19" t="s">
        <v>29</v>
      </c>
      <c r="T1150" s="19" t="s">
        <v>30</v>
      </c>
      <c r="U1150" s="19" t="s">
        <v>31</v>
      </c>
      <c r="V1150" s="41" t="n">
        <v>43514</v>
      </c>
      <c r="W1150" s="34" t="s">
        <v>1553</v>
      </c>
      <c r="X1150" s="18"/>
    </row>
    <row r="1151" customFormat="false" ht="13.8" hidden="false" customHeight="false" outlineLevel="0" collapsed="false">
      <c r="A1151" s="18"/>
      <c r="B1151" s="19" t="n">
        <v>9443</v>
      </c>
      <c r="C1151" s="20" t="n">
        <v>43391</v>
      </c>
      <c r="D1151" s="38" t="s">
        <v>22</v>
      </c>
      <c r="E1151" s="22" t="s">
        <v>171</v>
      </c>
      <c r="F1151" s="34" t="s">
        <v>221</v>
      </c>
      <c r="G1151" s="19" t="n">
        <v>5</v>
      </c>
      <c r="H1151" s="19" t="n">
        <v>64</v>
      </c>
      <c r="I1151" s="19" t="n">
        <v>2</v>
      </c>
      <c r="J1151" s="19" t="n">
        <v>46.7</v>
      </c>
      <c r="K1151" s="39" t="n">
        <v>389000</v>
      </c>
      <c r="L1151" s="39" t="n">
        <f aca="false">K1151/J1151</f>
        <v>8329.76445396146</v>
      </c>
      <c r="M1151" s="18"/>
      <c r="N1151" s="40"/>
      <c r="O1151" s="30" t="n">
        <f aca="false">K1151+N1151</f>
        <v>389000</v>
      </c>
      <c r="P1151" s="39" t="n">
        <f aca="false">O1151/J1151</f>
        <v>8329.76445396146</v>
      </c>
      <c r="Q1151" s="19" t="s">
        <v>1471</v>
      </c>
      <c r="R1151" s="22" t="s">
        <v>49</v>
      </c>
      <c r="S1151" s="19" t="s">
        <v>29</v>
      </c>
      <c r="T1151" s="19" t="s">
        <v>30</v>
      </c>
      <c r="U1151" s="19" t="s">
        <v>31</v>
      </c>
      <c r="V1151" s="41" t="n">
        <v>43514</v>
      </c>
      <c r="W1151" s="34" t="s">
        <v>1553</v>
      </c>
      <c r="X1151" s="18"/>
    </row>
    <row r="1152" customFormat="false" ht="13.8" hidden="false" customHeight="false" outlineLevel="0" collapsed="false">
      <c r="A1152" s="18"/>
      <c r="B1152" s="19" t="n">
        <v>2113</v>
      </c>
      <c r="C1152" s="20" t="n">
        <v>43391</v>
      </c>
      <c r="D1152" s="38" t="s">
        <v>22</v>
      </c>
      <c r="E1152" s="22" t="s">
        <v>265</v>
      </c>
      <c r="F1152" s="34" t="s">
        <v>386</v>
      </c>
      <c r="G1152" s="19" t="n">
        <v>9</v>
      </c>
      <c r="H1152" s="19" t="n">
        <v>9</v>
      </c>
      <c r="I1152" s="19" t="n">
        <v>3</v>
      </c>
      <c r="J1152" s="19" t="n">
        <v>34.94</v>
      </c>
      <c r="K1152" s="39" t="n">
        <v>402500</v>
      </c>
      <c r="L1152" s="39" t="n">
        <f aca="false">K1152/J1152</f>
        <v>11519.748139668</v>
      </c>
      <c r="M1152" s="34"/>
      <c r="N1152" s="40"/>
      <c r="O1152" s="30" t="n">
        <f aca="false">K1152+N1152</f>
        <v>402500</v>
      </c>
      <c r="P1152" s="39" t="n">
        <f aca="false">O1152/J1152</f>
        <v>11519.748139668</v>
      </c>
      <c r="Q1152" s="19" t="s">
        <v>1320</v>
      </c>
      <c r="R1152" s="22" t="s">
        <v>36</v>
      </c>
      <c r="S1152" s="19" t="s">
        <v>29</v>
      </c>
      <c r="T1152" s="19" t="s">
        <v>30</v>
      </c>
      <c r="U1152" s="19" t="s">
        <v>31</v>
      </c>
      <c r="V1152" s="41" t="n">
        <v>43514</v>
      </c>
      <c r="W1152" s="34" t="s">
        <v>1554</v>
      </c>
      <c r="X1152" s="34"/>
    </row>
    <row r="1153" customFormat="false" ht="13.8" hidden="false" customHeight="false" outlineLevel="0" collapsed="false">
      <c r="A1153" s="18"/>
      <c r="B1153" s="19" t="n">
        <v>3718</v>
      </c>
      <c r="C1153" s="20" t="n">
        <v>43391</v>
      </c>
      <c r="D1153" s="38" t="s">
        <v>22</v>
      </c>
      <c r="E1153" s="22" t="s">
        <v>278</v>
      </c>
      <c r="F1153" s="34" t="s">
        <v>688</v>
      </c>
      <c r="G1153" s="19" t="n">
        <v>7</v>
      </c>
      <c r="H1153" s="19" t="n">
        <v>178</v>
      </c>
      <c r="I1153" s="19" t="n">
        <v>5</v>
      </c>
      <c r="J1153" s="19" t="n">
        <v>43.43</v>
      </c>
      <c r="K1153" s="39" t="n">
        <v>493000</v>
      </c>
      <c r="L1153" s="39" t="n">
        <f aca="false">K1153/J1153</f>
        <v>11351.6002763067</v>
      </c>
      <c r="M1153" s="34" t="s">
        <v>987</v>
      </c>
      <c r="N1153" s="40" t="n">
        <v>35000</v>
      </c>
      <c r="O1153" s="30" t="n">
        <f aca="false">K1153+N1153</f>
        <v>528000</v>
      </c>
      <c r="P1153" s="39" t="n">
        <f aca="false">O1153/J1153</f>
        <v>12157.4948192494</v>
      </c>
      <c r="Q1153" s="19" t="s">
        <v>1555</v>
      </c>
      <c r="R1153" s="22" t="s">
        <v>36</v>
      </c>
      <c r="S1153" s="19" t="s">
        <v>29</v>
      </c>
      <c r="T1153" s="19" t="s">
        <v>30</v>
      </c>
      <c r="U1153" s="19" t="s">
        <v>31</v>
      </c>
      <c r="V1153" s="41" t="n">
        <v>43514</v>
      </c>
      <c r="W1153" s="34" t="s">
        <v>1556</v>
      </c>
      <c r="X1153" s="18"/>
    </row>
    <row r="1154" customFormat="false" ht="13.8" hidden="false" customHeight="false" outlineLevel="0" collapsed="false">
      <c r="A1154" s="18"/>
      <c r="B1154" s="19" t="n">
        <v>1955</v>
      </c>
      <c r="C1154" s="20" t="n">
        <v>43391</v>
      </c>
      <c r="D1154" s="38" t="s">
        <v>22</v>
      </c>
      <c r="E1154" s="22" t="s">
        <v>109</v>
      </c>
      <c r="F1154" s="34" t="s">
        <v>603</v>
      </c>
      <c r="G1154" s="19" t="s">
        <v>1007</v>
      </c>
      <c r="H1154" s="19" t="n">
        <v>20</v>
      </c>
      <c r="I1154" s="19" t="n">
        <v>3</v>
      </c>
      <c r="J1154" s="19" t="n">
        <v>28.09</v>
      </c>
      <c r="K1154" s="39" t="n">
        <v>250000</v>
      </c>
      <c r="L1154" s="39" t="n">
        <f aca="false">K1154/J1154</f>
        <v>8899.9644001424</v>
      </c>
      <c r="M1154" s="34" t="s">
        <v>1557</v>
      </c>
      <c r="N1154" s="40"/>
      <c r="O1154" s="30" t="n">
        <f aca="false">K1154+N1154</f>
        <v>250000</v>
      </c>
      <c r="P1154" s="39" t="n">
        <f aca="false">O1154/J1154</f>
        <v>8899.9644001424</v>
      </c>
      <c r="Q1154" s="19" t="s">
        <v>1320</v>
      </c>
      <c r="R1154" s="22" t="s">
        <v>36</v>
      </c>
      <c r="S1154" s="19" t="s">
        <v>29</v>
      </c>
      <c r="T1154" s="19" t="s">
        <v>30</v>
      </c>
      <c r="U1154" s="19" t="s">
        <v>31</v>
      </c>
      <c r="V1154" s="41" t="n">
        <v>43514</v>
      </c>
      <c r="W1154" s="34" t="s">
        <v>1558</v>
      </c>
      <c r="X1154" s="18"/>
    </row>
    <row r="1155" customFormat="false" ht="13.8" hidden="false" customHeight="false" outlineLevel="0" collapsed="false">
      <c r="A1155" s="18"/>
      <c r="B1155" s="19" t="n">
        <v>1955</v>
      </c>
      <c r="C1155" s="20" t="n">
        <v>43391</v>
      </c>
      <c r="D1155" s="38" t="s">
        <v>22</v>
      </c>
      <c r="E1155" s="22" t="s">
        <v>109</v>
      </c>
      <c r="F1155" s="34" t="s">
        <v>603</v>
      </c>
      <c r="G1155" s="19" t="s">
        <v>1007</v>
      </c>
      <c r="H1155" s="19" t="n">
        <v>20</v>
      </c>
      <c r="I1155" s="19" t="n">
        <v>3</v>
      </c>
      <c r="J1155" s="19" t="n">
        <v>28.09</v>
      </c>
      <c r="K1155" s="39" t="n">
        <v>250000</v>
      </c>
      <c r="L1155" s="39" t="n">
        <f aca="false">K1155/J1155</f>
        <v>8899.9644001424</v>
      </c>
      <c r="M1155" s="34" t="s">
        <v>1557</v>
      </c>
      <c r="N1155" s="40"/>
      <c r="O1155" s="30" t="n">
        <f aca="false">K1155+N1155</f>
        <v>250000</v>
      </c>
      <c r="P1155" s="39" t="n">
        <f aca="false">O1155/J1155</f>
        <v>8899.9644001424</v>
      </c>
      <c r="Q1155" s="19" t="s">
        <v>1320</v>
      </c>
      <c r="R1155" s="22" t="s">
        <v>36</v>
      </c>
      <c r="S1155" s="19" t="s">
        <v>29</v>
      </c>
      <c r="T1155" s="19" t="s">
        <v>30</v>
      </c>
      <c r="U1155" s="19" t="s">
        <v>31</v>
      </c>
      <c r="V1155" s="41" t="n">
        <v>43514</v>
      </c>
      <c r="W1155" s="34" t="s">
        <v>1558</v>
      </c>
      <c r="X1155" s="18"/>
    </row>
    <row r="1156" customFormat="false" ht="13.8" hidden="false" customHeight="false" outlineLevel="0" collapsed="false">
      <c r="A1156" s="18"/>
      <c r="B1156" s="19" t="n">
        <v>2472</v>
      </c>
      <c r="C1156" s="20" t="n">
        <v>43391</v>
      </c>
      <c r="D1156" s="38" t="s">
        <v>22</v>
      </c>
      <c r="E1156" s="22" t="s">
        <v>289</v>
      </c>
      <c r="F1156" s="34" t="s">
        <v>290</v>
      </c>
      <c r="G1156" s="19" t="s">
        <v>326</v>
      </c>
      <c r="H1156" s="19" t="n">
        <v>25</v>
      </c>
      <c r="I1156" s="19" t="n">
        <v>2</v>
      </c>
      <c r="J1156" s="19" t="n">
        <v>42.39</v>
      </c>
      <c r="K1156" s="39" t="n">
        <v>375000</v>
      </c>
      <c r="L1156" s="39" t="n">
        <f aca="false">K1156/J1156</f>
        <v>8846.42604387827</v>
      </c>
      <c r="M1156" s="34"/>
      <c r="N1156" s="40"/>
      <c r="O1156" s="30" t="n">
        <f aca="false">K1156+N1156</f>
        <v>375000</v>
      </c>
      <c r="P1156" s="39" t="n">
        <f aca="false">O1156/J1156</f>
        <v>8846.42604387827</v>
      </c>
      <c r="Q1156" s="19" t="s">
        <v>1369</v>
      </c>
      <c r="R1156" s="22" t="s">
        <v>26</v>
      </c>
      <c r="S1156" s="19" t="s">
        <v>29</v>
      </c>
      <c r="T1156" s="19" t="s">
        <v>30</v>
      </c>
      <c r="U1156" s="19" t="s">
        <v>31</v>
      </c>
      <c r="V1156" s="41" t="n">
        <v>43514</v>
      </c>
      <c r="W1156" s="34" t="s">
        <v>1559</v>
      </c>
      <c r="X1156" s="18"/>
    </row>
    <row r="1157" customFormat="false" ht="13.8" hidden="false" customHeight="false" outlineLevel="0" collapsed="false">
      <c r="A1157" s="18"/>
      <c r="B1157" s="19" t="n">
        <v>4601</v>
      </c>
      <c r="C1157" s="20" t="n">
        <v>43391</v>
      </c>
      <c r="D1157" s="38" t="s">
        <v>22</v>
      </c>
      <c r="E1157" s="22" t="s">
        <v>299</v>
      </c>
      <c r="F1157" s="34" t="s">
        <v>271</v>
      </c>
      <c r="G1157" s="19" t="n">
        <v>25</v>
      </c>
      <c r="H1157" s="19" t="n">
        <v>23</v>
      </c>
      <c r="I1157" s="19" t="n">
        <v>3</v>
      </c>
      <c r="J1157" s="19" t="n">
        <v>43.37</v>
      </c>
      <c r="K1157" s="39" t="n">
        <v>520000</v>
      </c>
      <c r="L1157" s="39" t="n">
        <f aca="false">K1157/J1157</f>
        <v>11989.8547382984</v>
      </c>
      <c r="M1157" s="34"/>
      <c r="N1157" s="40"/>
      <c r="O1157" s="30" t="n">
        <f aca="false">K1157+N1157</f>
        <v>520000</v>
      </c>
      <c r="P1157" s="39" t="n">
        <f aca="false">O1157/J1157</f>
        <v>11989.8547382984</v>
      </c>
      <c r="Q1157" s="19" t="s">
        <v>903</v>
      </c>
      <c r="R1157" s="22" t="s">
        <v>36</v>
      </c>
      <c r="S1157" s="19" t="s">
        <v>29</v>
      </c>
      <c r="T1157" s="19" t="s">
        <v>30</v>
      </c>
      <c r="U1157" s="19" t="s">
        <v>31</v>
      </c>
      <c r="V1157" s="41" t="n">
        <v>43514</v>
      </c>
      <c r="W1157" s="34" t="s">
        <v>1560</v>
      </c>
      <c r="X1157" s="18"/>
    </row>
    <row r="1158" customFormat="false" ht="13.8" hidden="false" customHeight="false" outlineLevel="0" collapsed="false">
      <c r="A1158" s="18"/>
      <c r="B1158" s="19" t="n">
        <v>9166</v>
      </c>
      <c r="C1158" s="20" t="n">
        <v>43391</v>
      </c>
      <c r="D1158" s="38" t="s">
        <v>22</v>
      </c>
      <c r="E1158" s="22" t="s">
        <v>75</v>
      </c>
      <c r="F1158" s="34" t="s">
        <v>1209</v>
      </c>
      <c r="G1158" s="19" t="n">
        <v>67</v>
      </c>
      <c r="H1158" s="19" t="n">
        <v>45</v>
      </c>
      <c r="I1158" s="19" t="n">
        <v>6</v>
      </c>
      <c r="J1158" s="19" t="n">
        <v>87.36</v>
      </c>
      <c r="K1158" s="39" t="n">
        <v>1000000</v>
      </c>
      <c r="L1158" s="39" t="n">
        <f aca="false">K1158/J1158</f>
        <v>11446.8864468864</v>
      </c>
      <c r="M1158" s="34" t="s">
        <v>1561</v>
      </c>
      <c r="N1158" s="40"/>
      <c r="O1158" s="30" t="n">
        <f aca="false">K1158+N1158</f>
        <v>1000000</v>
      </c>
      <c r="P1158" s="39" t="n">
        <f aca="false">O1158/J1158</f>
        <v>11446.8864468864</v>
      </c>
      <c r="Q1158" s="19" t="s">
        <v>1562</v>
      </c>
      <c r="R1158" s="22" t="s">
        <v>49</v>
      </c>
      <c r="S1158" s="19" t="s">
        <v>29</v>
      </c>
      <c r="T1158" s="19" t="s">
        <v>30</v>
      </c>
      <c r="U1158" s="19" t="s">
        <v>31</v>
      </c>
      <c r="V1158" s="41" t="n">
        <v>43514</v>
      </c>
      <c r="W1158" s="34" t="s">
        <v>1563</v>
      </c>
      <c r="X1158" s="34"/>
    </row>
    <row r="1159" customFormat="false" ht="13.8" hidden="false" customHeight="false" outlineLevel="0" collapsed="false">
      <c r="A1159" s="18"/>
      <c r="B1159" s="19" t="n">
        <v>5126</v>
      </c>
      <c r="C1159" s="20" t="n">
        <v>43392</v>
      </c>
      <c r="D1159" s="38" t="s">
        <v>22</v>
      </c>
      <c r="E1159" s="22" t="s">
        <v>23</v>
      </c>
      <c r="F1159" s="34" t="s">
        <v>24</v>
      </c>
      <c r="G1159" s="19" t="n">
        <v>2</v>
      </c>
      <c r="H1159" s="19" t="n">
        <v>38</v>
      </c>
      <c r="I1159" s="19" t="n">
        <v>2</v>
      </c>
      <c r="J1159" s="19" t="n">
        <v>36.44</v>
      </c>
      <c r="K1159" s="39" t="n">
        <v>340000</v>
      </c>
      <c r="L1159" s="39" t="n">
        <f aca="false">K1159/J1159</f>
        <v>9330.40614709111</v>
      </c>
      <c r="M1159" s="34"/>
      <c r="N1159" s="40"/>
      <c r="O1159" s="30" t="n">
        <f aca="false">K1159+N1159</f>
        <v>340000</v>
      </c>
      <c r="P1159" s="39" t="n">
        <f aca="false">O1159/J1159</f>
        <v>9330.40614709111</v>
      </c>
      <c r="Q1159" s="19" t="s">
        <v>1486</v>
      </c>
      <c r="R1159" s="22" t="s">
        <v>26</v>
      </c>
      <c r="S1159" s="19" t="s">
        <v>29</v>
      </c>
      <c r="T1159" s="19" t="s">
        <v>30</v>
      </c>
      <c r="U1159" s="19" t="s">
        <v>31</v>
      </c>
      <c r="V1159" s="41" t="n">
        <v>43514</v>
      </c>
      <c r="W1159" s="34" t="s">
        <v>1564</v>
      </c>
      <c r="X1159" s="34"/>
      <c r="AMJ1159" s="32"/>
    </row>
    <row r="1160" s="32" customFormat="true" ht="13.8" hidden="false" customHeight="false" outlineLevel="0" collapsed="false">
      <c r="A1160" s="18"/>
      <c r="B1160" s="19" t="n">
        <v>5126</v>
      </c>
      <c r="C1160" s="20" t="n">
        <v>43392</v>
      </c>
      <c r="D1160" s="38" t="s">
        <v>22</v>
      </c>
      <c r="E1160" s="22" t="s">
        <v>23</v>
      </c>
      <c r="F1160" s="34" t="s">
        <v>24</v>
      </c>
      <c r="G1160" s="19" t="n">
        <v>2</v>
      </c>
      <c r="H1160" s="19" t="n">
        <v>38</v>
      </c>
      <c r="I1160" s="19" t="n">
        <v>2</v>
      </c>
      <c r="J1160" s="19" t="n">
        <v>36.44</v>
      </c>
      <c r="K1160" s="39" t="n">
        <v>340000</v>
      </c>
      <c r="L1160" s="39" t="n">
        <f aca="false">K1160/J1160</f>
        <v>9330.40614709111</v>
      </c>
      <c r="M1160" s="34"/>
      <c r="N1160" s="40"/>
      <c r="O1160" s="30" t="n">
        <f aca="false">K1160+N1160</f>
        <v>340000</v>
      </c>
      <c r="P1160" s="39" t="n">
        <f aca="false">O1160/J1160</f>
        <v>9330.40614709111</v>
      </c>
      <c r="Q1160" s="19" t="s">
        <v>1486</v>
      </c>
      <c r="R1160" s="22" t="s">
        <v>26</v>
      </c>
      <c r="S1160" s="19" t="s">
        <v>29</v>
      </c>
      <c r="T1160" s="19" t="s">
        <v>30</v>
      </c>
      <c r="U1160" s="19" t="s">
        <v>31</v>
      </c>
      <c r="V1160" s="41" t="n">
        <v>43514</v>
      </c>
      <c r="W1160" s="34" t="s">
        <v>1564</v>
      </c>
      <c r="X1160" s="18"/>
    </row>
    <row r="1161" s="32" customFormat="true" ht="13.8" hidden="false" customHeight="false" outlineLevel="0" collapsed="false">
      <c r="A1161" s="18"/>
      <c r="B1161" s="19" t="n">
        <v>4295</v>
      </c>
      <c r="C1161" s="20" t="n">
        <v>43392</v>
      </c>
      <c r="D1161" s="38" t="s">
        <v>22</v>
      </c>
      <c r="E1161" s="22" t="s">
        <v>23</v>
      </c>
      <c r="F1161" s="34" t="s">
        <v>957</v>
      </c>
      <c r="G1161" s="19" t="n">
        <v>100</v>
      </c>
      <c r="H1161" s="19" t="n">
        <v>70</v>
      </c>
      <c r="I1161" s="19" t="n">
        <v>3</v>
      </c>
      <c r="J1161" s="19" t="n">
        <v>36.95</v>
      </c>
      <c r="K1161" s="39" t="n">
        <v>270000</v>
      </c>
      <c r="L1161" s="39" t="n">
        <f aca="false">K1161/J1161</f>
        <v>7307.17185385656</v>
      </c>
      <c r="M1161" s="34"/>
      <c r="N1161" s="40"/>
      <c r="O1161" s="30" t="n">
        <f aca="false">K1161+N1161</f>
        <v>270000</v>
      </c>
      <c r="P1161" s="39" t="n">
        <f aca="false">O1161/J1161</f>
        <v>7307.17185385656</v>
      </c>
      <c r="Q1161" s="19" t="s">
        <v>1486</v>
      </c>
      <c r="R1161" s="22" t="s">
        <v>26</v>
      </c>
      <c r="S1161" s="19" t="s">
        <v>29</v>
      </c>
      <c r="T1161" s="19" t="s">
        <v>30</v>
      </c>
      <c r="U1161" s="19" t="s">
        <v>31</v>
      </c>
      <c r="V1161" s="41" t="n">
        <v>43514</v>
      </c>
      <c r="W1161" s="34" t="s">
        <v>1565</v>
      </c>
      <c r="X1161" s="18"/>
    </row>
    <row r="1162" customFormat="false" ht="13.8" hidden="false" customHeight="false" outlineLevel="0" collapsed="false">
      <c r="A1162" s="18"/>
      <c r="B1162" s="19" t="n">
        <v>3896</v>
      </c>
      <c r="C1162" s="20" t="n">
        <v>43392</v>
      </c>
      <c r="D1162" s="38" t="s">
        <v>22</v>
      </c>
      <c r="E1162" s="22" t="s">
        <v>1566</v>
      </c>
      <c r="F1162" s="34" t="s">
        <v>523</v>
      </c>
      <c r="G1162" s="19" t="s">
        <v>1567</v>
      </c>
      <c r="H1162" s="19" t="n">
        <v>12</v>
      </c>
      <c r="I1162" s="19" t="n">
        <v>3</v>
      </c>
      <c r="J1162" s="19" t="n">
        <v>45.59</v>
      </c>
      <c r="K1162" s="39" t="n">
        <v>550000</v>
      </c>
      <c r="L1162" s="39" t="n">
        <f aca="false">ROUND(K1162/J1162,2)</f>
        <v>12064.05</v>
      </c>
      <c r="M1162" s="34" t="s">
        <v>1568</v>
      </c>
      <c r="N1162" s="40"/>
      <c r="O1162" s="30" t="n">
        <f aca="false">K1162+N1162</f>
        <v>550000</v>
      </c>
      <c r="P1162" s="39" t="n">
        <f aca="false">O1162/J1162</f>
        <v>12064.0491335819</v>
      </c>
      <c r="Q1162" s="19" t="s">
        <v>1569</v>
      </c>
      <c r="R1162" s="22" t="s">
        <v>36</v>
      </c>
      <c r="S1162" s="19" t="s">
        <v>29</v>
      </c>
      <c r="T1162" s="19" t="s">
        <v>30</v>
      </c>
      <c r="U1162" s="31" t="s">
        <v>31</v>
      </c>
      <c r="V1162" s="41" t="n">
        <v>43598</v>
      </c>
      <c r="W1162" s="34" t="s">
        <v>1570</v>
      </c>
      <c r="X1162" s="18"/>
    </row>
    <row r="1163" customFormat="false" ht="13.8" hidden="false" customHeight="false" outlineLevel="0" collapsed="false">
      <c r="A1163" s="34"/>
      <c r="B1163" s="19" t="n">
        <v>9822</v>
      </c>
      <c r="C1163" s="20" t="n">
        <v>43392</v>
      </c>
      <c r="D1163" s="38" t="s">
        <v>22</v>
      </c>
      <c r="E1163" s="22" t="s">
        <v>369</v>
      </c>
      <c r="F1163" s="34" t="s">
        <v>370</v>
      </c>
      <c r="G1163" s="19" t="n">
        <v>9</v>
      </c>
      <c r="H1163" s="19" t="n">
        <v>21</v>
      </c>
      <c r="I1163" s="19" t="n">
        <v>3</v>
      </c>
      <c r="J1163" s="19" t="n">
        <v>47.81</v>
      </c>
      <c r="K1163" s="39" t="n">
        <v>550000</v>
      </c>
      <c r="L1163" s="39" t="n">
        <f aca="false">K1163/J1163</f>
        <v>11503.8694833717</v>
      </c>
      <c r="M1163" s="34" t="s">
        <v>987</v>
      </c>
      <c r="N1163" s="40"/>
      <c r="O1163" s="30" t="n">
        <f aca="false">K1163+N1163</f>
        <v>550000</v>
      </c>
      <c r="P1163" s="39" t="n">
        <f aca="false">O1163/J1163</f>
        <v>11503.8694833717</v>
      </c>
      <c r="Q1163" s="19" t="s">
        <v>1486</v>
      </c>
      <c r="R1163" s="22" t="s">
        <v>26</v>
      </c>
      <c r="S1163" s="19" t="s">
        <v>29</v>
      </c>
      <c r="T1163" s="19" t="s">
        <v>30</v>
      </c>
      <c r="U1163" s="19" t="s">
        <v>31</v>
      </c>
      <c r="V1163" s="41" t="n">
        <v>43514</v>
      </c>
      <c r="W1163" s="34" t="s">
        <v>1571</v>
      </c>
      <c r="X1163" s="18"/>
      <c r="AMJ1163" s="32"/>
    </row>
    <row r="1164" s="32" customFormat="true" ht="13.8" hidden="false" customHeight="false" outlineLevel="0" collapsed="false">
      <c r="A1164" s="34"/>
      <c r="B1164" s="19" t="n">
        <v>9822</v>
      </c>
      <c r="C1164" s="20" t="n">
        <v>43392</v>
      </c>
      <c r="D1164" s="38" t="s">
        <v>22</v>
      </c>
      <c r="E1164" s="22" t="s">
        <v>369</v>
      </c>
      <c r="F1164" s="34" t="s">
        <v>370</v>
      </c>
      <c r="G1164" s="19" t="n">
        <v>9</v>
      </c>
      <c r="H1164" s="19" t="n">
        <v>21</v>
      </c>
      <c r="I1164" s="19" t="n">
        <v>3</v>
      </c>
      <c r="J1164" s="19" t="n">
        <v>47.81</v>
      </c>
      <c r="K1164" s="39" t="n">
        <v>550000</v>
      </c>
      <c r="L1164" s="39" t="n">
        <f aca="false">K1164/J1164</f>
        <v>11503.8694833717</v>
      </c>
      <c r="M1164" s="34" t="s">
        <v>987</v>
      </c>
      <c r="N1164" s="40"/>
      <c r="O1164" s="30" t="n">
        <f aca="false">K1164+N1164</f>
        <v>550000</v>
      </c>
      <c r="P1164" s="39" t="n">
        <f aca="false">O1164/J1164</f>
        <v>11503.8694833717</v>
      </c>
      <c r="Q1164" s="19" t="s">
        <v>1486</v>
      </c>
      <c r="R1164" s="22" t="s">
        <v>26</v>
      </c>
      <c r="S1164" s="19" t="s">
        <v>29</v>
      </c>
      <c r="T1164" s="19" t="s">
        <v>30</v>
      </c>
      <c r="U1164" s="19" t="s">
        <v>31</v>
      </c>
      <c r="V1164" s="41" t="n">
        <v>43514</v>
      </c>
      <c r="W1164" s="34" t="s">
        <v>1571</v>
      </c>
      <c r="X1164" s="18"/>
    </row>
    <row r="1165" customFormat="false" ht="13.8" hidden="false" customHeight="false" outlineLevel="0" collapsed="false">
      <c r="A1165" s="34"/>
      <c r="B1165" s="19" t="n">
        <v>8894</v>
      </c>
      <c r="C1165" s="20" t="n">
        <v>43392</v>
      </c>
      <c r="D1165" s="38" t="s">
        <v>22</v>
      </c>
      <c r="E1165" s="22" t="s">
        <v>45</v>
      </c>
      <c r="F1165" s="34" t="s">
        <v>46</v>
      </c>
      <c r="G1165" s="19" t="n">
        <v>10</v>
      </c>
      <c r="H1165" s="19" t="n">
        <v>33</v>
      </c>
      <c r="I1165" s="19" t="n">
        <v>6</v>
      </c>
      <c r="J1165" s="19" t="n">
        <v>63.36</v>
      </c>
      <c r="K1165" s="39" t="n">
        <v>523000</v>
      </c>
      <c r="L1165" s="39" t="n">
        <f aca="false">K1165/J1165</f>
        <v>8254.41919191919</v>
      </c>
      <c r="M1165" s="34"/>
      <c r="N1165" s="40"/>
      <c r="O1165" s="30" t="n">
        <f aca="false">K1165+N1165</f>
        <v>523000</v>
      </c>
      <c r="P1165" s="39" t="n">
        <f aca="false">O1165/J1165</f>
        <v>8254.41919191919</v>
      </c>
      <c r="Q1165" s="19" t="s">
        <v>1340</v>
      </c>
      <c r="R1165" s="22" t="s">
        <v>49</v>
      </c>
      <c r="S1165" s="19" t="s">
        <v>29</v>
      </c>
      <c r="T1165" s="19" t="s">
        <v>30</v>
      </c>
      <c r="U1165" s="19" t="s">
        <v>31</v>
      </c>
      <c r="V1165" s="41" t="n">
        <v>43514</v>
      </c>
      <c r="W1165" s="34" t="s">
        <v>1572</v>
      </c>
      <c r="X1165" s="34"/>
      <c r="Y1165" s="35"/>
      <c r="Z1165" s="36"/>
    </row>
    <row r="1166" customFormat="false" ht="13.8" hidden="false" customHeight="false" outlineLevel="0" collapsed="false">
      <c r="A1166" s="34"/>
      <c r="B1166" s="19" t="n">
        <v>6067</v>
      </c>
      <c r="C1166" s="20" t="n">
        <v>43392</v>
      </c>
      <c r="D1166" s="38" t="s">
        <v>22</v>
      </c>
      <c r="E1166" s="22" t="s">
        <v>302</v>
      </c>
      <c r="F1166" s="34" t="s">
        <v>641</v>
      </c>
      <c r="G1166" s="19" t="n">
        <v>17</v>
      </c>
      <c r="H1166" s="19" t="n">
        <v>7</v>
      </c>
      <c r="I1166" s="19" t="n">
        <v>3</v>
      </c>
      <c r="J1166" s="19" t="n">
        <v>74.14</v>
      </c>
      <c r="K1166" s="39" t="n">
        <v>765000</v>
      </c>
      <c r="L1166" s="39" t="n">
        <f aca="false">K1166/J1166</f>
        <v>10318.3166981387</v>
      </c>
      <c r="M1166" s="18"/>
      <c r="N1166" s="40"/>
      <c r="O1166" s="30" t="n">
        <f aca="false">K1166+N1166</f>
        <v>765000</v>
      </c>
      <c r="P1166" s="39" t="n">
        <f aca="false">O1166/J1166</f>
        <v>10318.3166981387</v>
      </c>
      <c r="Q1166" s="19" t="s">
        <v>1573</v>
      </c>
      <c r="R1166" s="22" t="s">
        <v>49</v>
      </c>
      <c r="S1166" s="19" t="s">
        <v>29</v>
      </c>
      <c r="T1166" s="19" t="s">
        <v>30</v>
      </c>
      <c r="U1166" s="19" t="s">
        <v>31</v>
      </c>
      <c r="V1166" s="41" t="n">
        <v>43514</v>
      </c>
      <c r="W1166" s="34" t="s">
        <v>1574</v>
      </c>
      <c r="X1166" s="18"/>
    </row>
    <row r="1167" customFormat="false" ht="13.8" hidden="false" customHeight="false" outlineLevel="0" collapsed="false">
      <c r="A1167" s="34"/>
      <c r="B1167" s="19" t="n">
        <v>6067</v>
      </c>
      <c r="C1167" s="20" t="n">
        <v>43392</v>
      </c>
      <c r="D1167" s="38" t="s">
        <v>22</v>
      </c>
      <c r="E1167" s="22" t="s">
        <v>302</v>
      </c>
      <c r="F1167" s="34" t="s">
        <v>641</v>
      </c>
      <c r="G1167" s="19" t="n">
        <v>17</v>
      </c>
      <c r="H1167" s="19" t="n">
        <v>7</v>
      </c>
      <c r="I1167" s="19" t="n">
        <v>3</v>
      </c>
      <c r="J1167" s="19" t="n">
        <v>74.14</v>
      </c>
      <c r="K1167" s="39" t="n">
        <v>765000</v>
      </c>
      <c r="L1167" s="39" t="n">
        <f aca="false">K1167/J1167</f>
        <v>10318.3166981387</v>
      </c>
      <c r="M1167" s="18"/>
      <c r="N1167" s="40"/>
      <c r="O1167" s="30" t="n">
        <f aca="false">K1167+N1167</f>
        <v>765000</v>
      </c>
      <c r="P1167" s="39" t="n">
        <f aca="false">O1167/J1167</f>
        <v>10318.3166981387</v>
      </c>
      <c r="Q1167" s="19" t="s">
        <v>1573</v>
      </c>
      <c r="R1167" s="22" t="s">
        <v>49</v>
      </c>
      <c r="S1167" s="19" t="s">
        <v>29</v>
      </c>
      <c r="T1167" s="19" t="s">
        <v>30</v>
      </c>
      <c r="U1167" s="19" t="s">
        <v>31</v>
      </c>
      <c r="V1167" s="41" t="n">
        <v>43514</v>
      </c>
      <c r="W1167" s="34" t="s">
        <v>1574</v>
      </c>
      <c r="X1167" s="18"/>
    </row>
    <row r="1168" customFormat="false" ht="13.8" hidden="false" customHeight="false" outlineLevel="0" collapsed="false">
      <c r="A1168" s="34"/>
      <c r="B1168" s="19" t="n">
        <v>1804</v>
      </c>
      <c r="C1168" s="20" t="n">
        <v>43392</v>
      </c>
      <c r="D1168" s="38" t="s">
        <v>22</v>
      </c>
      <c r="E1168" s="22" t="s">
        <v>148</v>
      </c>
      <c r="F1168" s="34" t="s">
        <v>340</v>
      </c>
      <c r="G1168" s="19" t="n">
        <v>5</v>
      </c>
      <c r="H1168" s="19" t="n">
        <v>118</v>
      </c>
      <c r="I1168" s="19" t="n">
        <v>7</v>
      </c>
      <c r="J1168" s="19" t="n">
        <v>31.06</v>
      </c>
      <c r="K1168" s="39" t="n">
        <v>258000</v>
      </c>
      <c r="L1168" s="39" t="n">
        <f aca="false">K1168/J1168</f>
        <v>8306.50354153252</v>
      </c>
      <c r="M1168" s="18"/>
      <c r="N1168" s="40"/>
      <c r="O1168" s="30" t="n">
        <f aca="false">K1168+N1168</f>
        <v>258000</v>
      </c>
      <c r="P1168" s="39" t="n">
        <f aca="false">O1168/J1168</f>
        <v>8306.50354153252</v>
      </c>
      <c r="Q1168" s="19" t="s">
        <v>1479</v>
      </c>
      <c r="R1168" s="22" t="s">
        <v>36</v>
      </c>
      <c r="S1168" s="19" t="s">
        <v>29</v>
      </c>
      <c r="T1168" s="19" t="s">
        <v>30</v>
      </c>
      <c r="U1168" s="19" t="s">
        <v>31</v>
      </c>
      <c r="V1168" s="41" t="n">
        <v>43514</v>
      </c>
      <c r="W1168" s="34" t="s">
        <v>1575</v>
      </c>
      <c r="X1168" s="18"/>
    </row>
    <row r="1169" customFormat="false" ht="13.8" hidden="false" customHeight="false" outlineLevel="0" collapsed="false">
      <c r="A1169" s="34"/>
      <c r="B1169" s="19" t="n">
        <v>16510</v>
      </c>
      <c r="C1169" s="20" t="n">
        <v>43392</v>
      </c>
      <c r="D1169" s="38" t="s">
        <v>22</v>
      </c>
      <c r="E1169" s="22" t="s">
        <v>80</v>
      </c>
      <c r="F1169" s="34" t="s">
        <v>1209</v>
      </c>
      <c r="G1169" s="19" t="s">
        <v>693</v>
      </c>
      <c r="H1169" s="19" t="n">
        <v>41</v>
      </c>
      <c r="I1169" s="19" t="n">
        <v>4</v>
      </c>
      <c r="J1169" s="19" t="n">
        <v>62.45</v>
      </c>
      <c r="K1169" s="39" t="n">
        <v>711000</v>
      </c>
      <c r="L1169" s="39" t="n">
        <f aca="false">K1169/J1169</f>
        <v>11385.1080864692</v>
      </c>
      <c r="M1169" s="34" t="s">
        <v>943</v>
      </c>
      <c r="N1169" s="40"/>
      <c r="O1169" s="30" t="n">
        <f aca="false">K1169+N1169</f>
        <v>711000</v>
      </c>
      <c r="P1169" s="39" t="n">
        <f aca="false">O1169/J1169</f>
        <v>11385.1080864692</v>
      </c>
      <c r="Q1169" s="19" t="s">
        <v>1576</v>
      </c>
      <c r="R1169" s="22" t="s">
        <v>36</v>
      </c>
      <c r="S1169" s="19" t="s">
        <v>29</v>
      </c>
      <c r="T1169" s="19" t="s">
        <v>30</v>
      </c>
      <c r="U1169" s="19" t="s">
        <v>31</v>
      </c>
      <c r="V1169" s="41" t="n">
        <v>43514</v>
      </c>
      <c r="W1169" s="34" t="s">
        <v>1577</v>
      </c>
      <c r="X1169" s="34"/>
    </row>
    <row r="1170" customFormat="false" ht="13.8" hidden="false" customHeight="false" outlineLevel="0" collapsed="false">
      <c r="A1170" s="34"/>
      <c r="B1170" s="19" t="n">
        <v>9277</v>
      </c>
      <c r="C1170" s="20" t="n">
        <v>43392</v>
      </c>
      <c r="D1170" s="38" t="s">
        <v>22</v>
      </c>
      <c r="E1170" s="22" t="s">
        <v>80</v>
      </c>
      <c r="F1170" s="34" t="s">
        <v>754</v>
      </c>
      <c r="G1170" s="19" t="n">
        <v>7</v>
      </c>
      <c r="H1170" s="19" t="n">
        <v>112</v>
      </c>
      <c r="I1170" s="19" t="n">
        <v>4</v>
      </c>
      <c r="J1170" s="19" t="n">
        <v>110.68</v>
      </c>
      <c r="K1170" s="39" t="n">
        <v>1550000</v>
      </c>
      <c r="L1170" s="39" t="n">
        <f aca="false">K1170/J1170</f>
        <v>14004.3368268883</v>
      </c>
      <c r="M1170" s="34"/>
      <c r="N1170" s="40"/>
      <c r="O1170" s="30" t="n">
        <f aca="false">K1170+N1170</f>
        <v>1550000</v>
      </c>
      <c r="P1170" s="39" t="n">
        <f aca="false">O1170/J1170</f>
        <v>14004.3368268883</v>
      </c>
      <c r="Q1170" s="19" t="s">
        <v>1578</v>
      </c>
      <c r="R1170" s="22" t="s">
        <v>26</v>
      </c>
      <c r="S1170" s="19" t="s">
        <v>29</v>
      </c>
      <c r="T1170" s="19" t="s">
        <v>30</v>
      </c>
      <c r="U1170" s="19" t="s">
        <v>31</v>
      </c>
      <c r="V1170" s="41" t="n">
        <v>43514</v>
      </c>
      <c r="W1170" s="34" t="s">
        <v>1579</v>
      </c>
      <c r="X1170" s="18"/>
      <c r="Y1170" s="35"/>
      <c r="Z1170" s="43"/>
      <c r="AMJ1170" s="32"/>
    </row>
    <row r="1171" s="32" customFormat="true" ht="13.8" hidden="false" customHeight="false" outlineLevel="0" collapsed="false">
      <c r="A1171" s="34"/>
      <c r="B1171" s="19" t="s">
        <v>887</v>
      </c>
      <c r="C1171" s="20" t="n">
        <v>43395</v>
      </c>
      <c r="D1171" s="38" t="s">
        <v>22</v>
      </c>
      <c r="E1171" s="22" t="s">
        <v>183</v>
      </c>
      <c r="F1171" s="45" t="s">
        <v>1178</v>
      </c>
      <c r="G1171" s="19" t="n">
        <v>23</v>
      </c>
      <c r="H1171" s="19"/>
      <c r="I1171" s="19" t="n">
        <v>10</v>
      </c>
      <c r="J1171" s="25" t="n">
        <v>45.4</v>
      </c>
      <c r="K1171" s="39" t="n">
        <v>360000</v>
      </c>
      <c r="L1171" s="39" t="n">
        <f aca="false">K1171/J1171</f>
        <v>7929.5154185022</v>
      </c>
      <c r="M1171" s="34"/>
      <c r="N1171" s="40"/>
      <c r="O1171" s="30" t="n">
        <f aca="false">K1171+N1171</f>
        <v>360000</v>
      </c>
      <c r="P1171" s="39" t="n">
        <f aca="false">O1171/J1171</f>
        <v>7929.5154185022</v>
      </c>
      <c r="Q1171" s="19" t="s">
        <v>889</v>
      </c>
      <c r="R1171" s="19" t="n">
        <v>4</v>
      </c>
      <c r="S1171" s="19" t="s">
        <v>1141</v>
      </c>
      <c r="T1171" s="19"/>
      <c r="U1171" s="19" t="s">
        <v>31</v>
      </c>
      <c r="V1171" s="41" t="n">
        <v>43727</v>
      </c>
      <c r="W1171" s="18"/>
      <c r="X1171" s="18"/>
    </row>
    <row r="1172" s="32" customFormat="true" ht="13.8" hidden="false" customHeight="false" outlineLevel="0" collapsed="false">
      <c r="A1172" s="34"/>
      <c r="B1172" s="19" t="s">
        <v>887</v>
      </c>
      <c r="C1172" s="20" t="n">
        <v>43395</v>
      </c>
      <c r="D1172" s="38" t="s">
        <v>22</v>
      </c>
      <c r="E1172" s="22" t="s">
        <v>281</v>
      </c>
      <c r="F1172" s="45" t="s">
        <v>1041</v>
      </c>
      <c r="G1172" s="19" t="s">
        <v>1580</v>
      </c>
      <c r="H1172" s="19"/>
      <c r="I1172" s="19" t="n">
        <v>3</v>
      </c>
      <c r="J1172" s="25" t="n">
        <v>44</v>
      </c>
      <c r="K1172" s="39" t="n">
        <v>268400</v>
      </c>
      <c r="L1172" s="39" t="n">
        <f aca="false">K1172/J1172</f>
        <v>6100</v>
      </c>
      <c r="M1172" s="34"/>
      <c r="N1172" s="40"/>
      <c r="O1172" s="30" t="n">
        <f aca="false">K1172+N1172</f>
        <v>268400</v>
      </c>
      <c r="P1172" s="39" t="n">
        <f aca="false">O1172/J1172</f>
        <v>6100</v>
      </c>
      <c r="Q1172" s="19" t="s">
        <v>889</v>
      </c>
      <c r="R1172" s="19" t="n">
        <v>3</v>
      </c>
      <c r="S1172" s="19" t="s">
        <v>1141</v>
      </c>
      <c r="T1172" s="19"/>
      <c r="U1172" s="19" t="s">
        <v>31</v>
      </c>
      <c r="V1172" s="41" t="n">
        <v>43727</v>
      </c>
      <c r="W1172" s="34"/>
      <c r="X1172" s="34"/>
    </row>
    <row r="1173" s="32" customFormat="true" ht="13.8" hidden="false" customHeight="false" outlineLevel="0" collapsed="false">
      <c r="A1173" s="34"/>
      <c r="B1173" s="19" t="n">
        <v>10702</v>
      </c>
      <c r="C1173" s="20" t="n">
        <v>43395</v>
      </c>
      <c r="D1173" s="38" t="s">
        <v>22</v>
      </c>
      <c r="E1173" s="22" t="s">
        <v>522</v>
      </c>
      <c r="F1173" s="34" t="s">
        <v>523</v>
      </c>
      <c r="G1173" s="19" t="s">
        <v>146</v>
      </c>
      <c r="H1173" s="19" t="n">
        <v>65</v>
      </c>
      <c r="I1173" s="19" t="n">
        <v>7</v>
      </c>
      <c r="J1173" s="19" t="n">
        <v>119.49</v>
      </c>
      <c r="K1173" s="39" t="n">
        <v>975000</v>
      </c>
      <c r="L1173" s="39" t="n">
        <f aca="false">K1173/J1173</f>
        <v>8159.67863419533</v>
      </c>
      <c r="M1173" s="34" t="s">
        <v>987</v>
      </c>
      <c r="N1173" s="40" t="n">
        <v>25000</v>
      </c>
      <c r="O1173" s="30" t="n">
        <f aca="false">K1173+N1173</f>
        <v>1000000</v>
      </c>
      <c r="P1173" s="39" t="n">
        <f aca="false">O1173/J1173</f>
        <v>8368.90116327726</v>
      </c>
      <c r="Q1173" s="19" t="s">
        <v>1581</v>
      </c>
      <c r="R1173" s="22" t="s">
        <v>57</v>
      </c>
      <c r="S1173" s="19" t="s">
        <v>29</v>
      </c>
      <c r="T1173" s="19" t="s">
        <v>30</v>
      </c>
      <c r="U1173" s="19" t="s">
        <v>31</v>
      </c>
      <c r="V1173" s="41" t="n">
        <v>43514</v>
      </c>
      <c r="W1173" s="34" t="s">
        <v>1582</v>
      </c>
      <c r="X1173" s="18"/>
    </row>
    <row r="1174" customFormat="false" ht="13.8" hidden="false" customHeight="false" outlineLevel="0" collapsed="false">
      <c r="A1174" s="34"/>
      <c r="B1174" s="19" t="n">
        <v>6125</v>
      </c>
      <c r="C1174" s="20" t="n">
        <v>43395</v>
      </c>
      <c r="D1174" s="38" t="s">
        <v>22</v>
      </c>
      <c r="E1174" s="22" t="s">
        <v>65</v>
      </c>
      <c r="F1174" s="34" t="s">
        <v>1583</v>
      </c>
      <c r="G1174" s="19" t="n">
        <v>7</v>
      </c>
      <c r="H1174" s="19" t="n">
        <v>88</v>
      </c>
      <c r="I1174" s="19" t="n">
        <v>10</v>
      </c>
      <c r="J1174" s="19" t="n">
        <v>30.9</v>
      </c>
      <c r="K1174" s="39" t="n">
        <v>279900</v>
      </c>
      <c r="L1174" s="39" t="n">
        <f aca="false">K1174/J1174</f>
        <v>9058.25242718447</v>
      </c>
      <c r="M1174" s="18"/>
      <c r="N1174" s="40"/>
      <c r="O1174" s="30" t="n">
        <f aca="false">K1174+N1174</f>
        <v>279900</v>
      </c>
      <c r="P1174" s="39" t="n">
        <f aca="false">O1174/J1174</f>
        <v>9058.25242718447</v>
      </c>
      <c r="Q1174" s="19" t="s">
        <v>1584</v>
      </c>
      <c r="R1174" s="22" t="s">
        <v>36</v>
      </c>
      <c r="S1174" s="19" t="s">
        <v>29</v>
      </c>
      <c r="T1174" s="19" t="s">
        <v>30</v>
      </c>
      <c r="U1174" s="19" t="s">
        <v>31</v>
      </c>
      <c r="V1174" s="41" t="n">
        <v>43514</v>
      </c>
      <c r="W1174" s="34" t="s">
        <v>1585</v>
      </c>
      <c r="X1174" s="18"/>
      <c r="Z1174" s="33"/>
      <c r="AB1174" s="37"/>
    </row>
    <row r="1175" customFormat="false" ht="13.8" hidden="false" customHeight="false" outlineLevel="0" collapsed="false">
      <c r="A1175" s="34"/>
      <c r="B1175" s="19" t="n">
        <v>3652</v>
      </c>
      <c r="C1175" s="20" t="n">
        <v>43395</v>
      </c>
      <c r="D1175" s="38" t="s">
        <v>22</v>
      </c>
      <c r="E1175" s="22" t="s">
        <v>284</v>
      </c>
      <c r="F1175" s="34" t="s">
        <v>534</v>
      </c>
      <c r="G1175" s="19" t="n">
        <v>11</v>
      </c>
      <c r="H1175" s="19" t="n">
        <v>13</v>
      </c>
      <c r="I1175" s="19" t="n">
        <v>4</v>
      </c>
      <c r="J1175" s="19" t="n">
        <v>16.61</v>
      </c>
      <c r="K1175" s="39" t="n">
        <v>237000</v>
      </c>
      <c r="L1175" s="39" t="n">
        <f aca="false">K1175/J1175</f>
        <v>14268.5129440096</v>
      </c>
      <c r="M1175" s="34" t="s">
        <v>1586</v>
      </c>
      <c r="N1175" s="40"/>
      <c r="O1175" s="30" t="n">
        <f aca="false">K1175+N1175</f>
        <v>237000</v>
      </c>
      <c r="P1175" s="39" t="n">
        <f aca="false">O1175/J1175</f>
        <v>14268.5129440096</v>
      </c>
      <c r="Q1175" s="19" t="s">
        <v>1587</v>
      </c>
      <c r="R1175" s="22" t="s">
        <v>27</v>
      </c>
      <c r="S1175" s="19" t="s">
        <v>29</v>
      </c>
      <c r="T1175" s="19" t="s">
        <v>30</v>
      </c>
      <c r="U1175" s="19" t="s">
        <v>31</v>
      </c>
      <c r="V1175" s="41" t="n">
        <v>43514</v>
      </c>
      <c r="W1175" s="34" t="s">
        <v>1588</v>
      </c>
      <c r="X1175" s="18"/>
    </row>
    <row r="1176" customFormat="false" ht="13.8" hidden="false" customHeight="false" outlineLevel="0" collapsed="false">
      <c r="A1176" s="34"/>
      <c r="B1176" s="19" t="s">
        <v>887</v>
      </c>
      <c r="C1176" s="20" t="n">
        <v>43395</v>
      </c>
      <c r="D1176" s="38" t="s">
        <v>22</v>
      </c>
      <c r="E1176" s="22" t="s">
        <v>477</v>
      </c>
      <c r="F1176" s="45" t="s">
        <v>1589</v>
      </c>
      <c r="G1176" s="19" t="n">
        <v>31</v>
      </c>
      <c r="H1176" s="19"/>
      <c r="I1176" s="19" t="n">
        <v>2</v>
      </c>
      <c r="J1176" s="25" t="n">
        <v>52.7</v>
      </c>
      <c r="K1176" s="39" t="n">
        <v>465000</v>
      </c>
      <c r="L1176" s="39" t="n">
        <f aca="false">K1176/J1176</f>
        <v>8823.52941176471</v>
      </c>
      <c r="M1176" s="18"/>
      <c r="N1176" s="40"/>
      <c r="O1176" s="30" t="n">
        <f aca="false">K1176+N1176</f>
        <v>465000</v>
      </c>
      <c r="P1176" s="39" t="n">
        <f aca="false">O1176/J1176</f>
        <v>8823.52941176471</v>
      </c>
      <c r="Q1176" s="19" t="s">
        <v>889</v>
      </c>
      <c r="R1176" s="19" t="n">
        <v>3</v>
      </c>
      <c r="S1176" s="19" t="s">
        <v>1141</v>
      </c>
      <c r="T1176" s="19"/>
      <c r="U1176" s="19" t="s">
        <v>31</v>
      </c>
      <c r="V1176" s="41" t="n">
        <v>43727</v>
      </c>
      <c r="W1176" s="18"/>
      <c r="X1176" s="18"/>
    </row>
    <row r="1177" customFormat="false" ht="13.8" hidden="false" customHeight="false" outlineLevel="0" collapsed="false">
      <c r="A1177" s="34"/>
      <c r="B1177" s="19" t="n">
        <v>16723</v>
      </c>
      <c r="C1177" s="20" t="n">
        <v>43395</v>
      </c>
      <c r="D1177" s="38" t="s">
        <v>22</v>
      </c>
      <c r="E1177" s="22" t="s">
        <v>299</v>
      </c>
      <c r="F1177" s="34" t="s">
        <v>1590</v>
      </c>
      <c r="G1177" s="19" t="n">
        <v>8</v>
      </c>
      <c r="H1177" s="19" t="n">
        <v>4</v>
      </c>
      <c r="I1177" s="19" t="n">
        <v>1</v>
      </c>
      <c r="J1177" s="19" t="n">
        <v>76.95</v>
      </c>
      <c r="K1177" s="39" t="n">
        <v>390000</v>
      </c>
      <c r="L1177" s="39" t="n">
        <f aca="false">K1177/J1177</f>
        <v>5068.2261208577</v>
      </c>
      <c r="M1177" s="34" t="s">
        <v>1591</v>
      </c>
      <c r="N1177" s="40"/>
      <c r="O1177" s="30" t="n">
        <f aca="false">K1177+N1177</f>
        <v>390000</v>
      </c>
      <c r="P1177" s="39" t="n">
        <f aca="false">O1177/J1177</f>
        <v>5068.2261208577</v>
      </c>
      <c r="Q1177" s="19" t="s">
        <v>1592</v>
      </c>
      <c r="R1177" s="22" t="s">
        <v>49</v>
      </c>
      <c r="S1177" s="19" t="s">
        <v>29</v>
      </c>
      <c r="T1177" s="19" t="s">
        <v>30</v>
      </c>
      <c r="U1177" s="19" t="s">
        <v>31</v>
      </c>
      <c r="V1177" s="41" t="n">
        <v>43514</v>
      </c>
      <c r="W1177" s="34" t="s">
        <v>1593</v>
      </c>
      <c r="X1177" s="34"/>
      <c r="Y1177" s="35"/>
      <c r="Z1177" s="36"/>
    </row>
    <row r="1178" customFormat="false" ht="13.8" hidden="false" customHeight="false" outlineLevel="0" collapsed="false">
      <c r="A1178" s="34"/>
      <c r="B1178" s="19" t="n">
        <v>16723</v>
      </c>
      <c r="C1178" s="20" t="n">
        <v>43395</v>
      </c>
      <c r="D1178" s="38" t="s">
        <v>22</v>
      </c>
      <c r="E1178" s="22" t="s">
        <v>299</v>
      </c>
      <c r="F1178" s="34" t="s">
        <v>1590</v>
      </c>
      <c r="G1178" s="19" t="n">
        <v>8</v>
      </c>
      <c r="H1178" s="19" t="n">
        <v>4</v>
      </c>
      <c r="I1178" s="19" t="n">
        <v>1</v>
      </c>
      <c r="J1178" s="19" t="n">
        <v>76.95</v>
      </c>
      <c r="K1178" s="39" t="n">
        <v>390000</v>
      </c>
      <c r="L1178" s="39" t="n">
        <f aca="false">K1178/J1178</f>
        <v>5068.2261208577</v>
      </c>
      <c r="M1178" s="34" t="s">
        <v>1591</v>
      </c>
      <c r="N1178" s="40"/>
      <c r="O1178" s="30" t="n">
        <f aca="false">K1178+N1178</f>
        <v>390000</v>
      </c>
      <c r="P1178" s="39" t="n">
        <f aca="false">O1178/J1178</f>
        <v>5068.2261208577</v>
      </c>
      <c r="Q1178" s="19" t="s">
        <v>1592</v>
      </c>
      <c r="R1178" s="22" t="s">
        <v>49</v>
      </c>
      <c r="S1178" s="19" t="s">
        <v>29</v>
      </c>
      <c r="T1178" s="19" t="s">
        <v>30</v>
      </c>
      <c r="U1178" s="19" t="s">
        <v>31</v>
      </c>
      <c r="V1178" s="41" t="n">
        <v>43514</v>
      </c>
      <c r="W1178" s="34" t="s">
        <v>1593</v>
      </c>
      <c r="X1178" s="18"/>
    </row>
    <row r="1179" customFormat="false" ht="13.8" hidden="false" customHeight="false" outlineLevel="0" collapsed="false">
      <c r="A1179" s="34"/>
      <c r="B1179" s="19" t="n">
        <v>16882</v>
      </c>
      <c r="C1179" s="20" t="n">
        <v>43396</v>
      </c>
      <c r="D1179" s="38" t="s">
        <v>22</v>
      </c>
      <c r="E1179" s="22" t="s">
        <v>203</v>
      </c>
      <c r="F1179" s="34" t="s">
        <v>1594</v>
      </c>
      <c r="G1179" s="19" t="n">
        <v>287</v>
      </c>
      <c r="H1179" s="19" t="n">
        <v>3</v>
      </c>
      <c r="I1179" s="19" t="n">
        <v>2</v>
      </c>
      <c r="J1179" s="19" t="n">
        <v>125</v>
      </c>
      <c r="K1179" s="39" t="n">
        <v>1000000</v>
      </c>
      <c r="L1179" s="39" t="n">
        <f aca="false">K1179/J1179</f>
        <v>8000</v>
      </c>
      <c r="M1179" s="34" t="s">
        <v>1595</v>
      </c>
      <c r="N1179" s="40"/>
      <c r="O1179" s="30" t="n">
        <f aca="false">K1179+N1179</f>
        <v>1000000</v>
      </c>
      <c r="P1179" s="39" t="n">
        <f aca="false">O1179/J1179</f>
        <v>8000</v>
      </c>
      <c r="Q1179" s="19" t="s">
        <v>1440</v>
      </c>
      <c r="R1179" s="22" t="s">
        <v>57</v>
      </c>
      <c r="S1179" s="19" t="s">
        <v>29</v>
      </c>
      <c r="T1179" s="19" t="s">
        <v>30</v>
      </c>
      <c r="U1179" s="19" t="s">
        <v>31</v>
      </c>
      <c r="V1179" s="41" t="n">
        <v>43514</v>
      </c>
      <c r="W1179" s="34" t="s">
        <v>1596</v>
      </c>
      <c r="X1179" s="18"/>
      <c r="AMJ1179" s="32"/>
    </row>
    <row r="1180" s="32" customFormat="true" ht="13.8" hidden="false" customHeight="false" outlineLevel="0" collapsed="false">
      <c r="A1180" s="34"/>
      <c r="B1180" s="19" t="n">
        <v>3253</v>
      </c>
      <c r="C1180" s="20" t="n">
        <v>43396</v>
      </c>
      <c r="D1180" s="38" t="s">
        <v>22</v>
      </c>
      <c r="E1180" s="22" t="s">
        <v>190</v>
      </c>
      <c r="F1180" s="34" t="s">
        <v>591</v>
      </c>
      <c r="G1180" s="19" t="n">
        <v>18</v>
      </c>
      <c r="H1180" s="19" t="n">
        <v>263</v>
      </c>
      <c r="I1180" s="19" t="n">
        <v>5</v>
      </c>
      <c r="J1180" s="19" t="n">
        <v>50.97</v>
      </c>
      <c r="K1180" s="39" t="n">
        <v>500000</v>
      </c>
      <c r="L1180" s="39" t="n">
        <f aca="false">K1180/J1180</f>
        <v>9809.69197567196</v>
      </c>
      <c r="M1180" s="34"/>
      <c r="N1180" s="40"/>
      <c r="O1180" s="30" t="n">
        <f aca="false">K1180+N1180</f>
        <v>500000</v>
      </c>
      <c r="P1180" s="39" t="n">
        <f aca="false">O1180/J1180</f>
        <v>9809.69197567196</v>
      </c>
      <c r="Q1180" s="19" t="s">
        <v>1597</v>
      </c>
      <c r="R1180" s="22" t="s">
        <v>36</v>
      </c>
      <c r="S1180" s="19" t="s">
        <v>29</v>
      </c>
      <c r="T1180" s="19" t="s">
        <v>30</v>
      </c>
      <c r="U1180" s="19" t="s">
        <v>31</v>
      </c>
      <c r="V1180" s="41" t="n">
        <v>43514</v>
      </c>
      <c r="W1180" s="34" t="s">
        <v>1598</v>
      </c>
      <c r="X1180" s="18"/>
    </row>
    <row r="1181" customFormat="false" ht="13.8" hidden="false" customHeight="false" outlineLevel="0" collapsed="false">
      <c r="A1181" s="34"/>
      <c r="B1181" s="19" t="n">
        <v>1429</v>
      </c>
      <c r="C1181" s="20" t="n">
        <v>43396</v>
      </c>
      <c r="D1181" s="38" t="s">
        <v>22</v>
      </c>
      <c r="E1181" s="22" t="s">
        <v>268</v>
      </c>
      <c r="F1181" s="34" t="s">
        <v>471</v>
      </c>
      <c r="G1181" s="19" t="n">
        <v>4</v>
      </c>
      <c r="H1181" s="19" t="n">
        <v>26</v>
      </c>
      <c r="I1181" s="19" t="n">
        <v>1</v>
      </c>
      <c r="J1181" s="19" t="n">
        <v>57.6</v>
      </c>
      <c r="K1181" s="39" t="n">
        <v>478000</v>
      </c>
      <c r="L1181" s="39" t="n">
        <f aca="false">K1181/J1181</f>
        <v>8298.61111111111</v>
      </c>
      <c r="M1181" s="34"/>
      <c r="N1181" s="40"/>
      <c r="O1181" s="30" t="n">
        <f aca="false">K1181+N1181</f>
        <v>478000</v>
      </c>
      <c r="P1181" s="39" t="n">
        <f aca="false">O1181/J1181</f>
        <v>8298.61111111111</v>
      </c>
      <c r="Q1181" s="19" t="s">
        <v>1340</v>
      </c>
      <c r="R1181" s="22" t="s">
        <v>49</v>
      </c>
      <c r="S1181" s="19" t="s">
        <v>29</v>
      </c>
      <c r="T1181" s="19" t="s">
        <v>30</v>
      </c>
      <c r="U1181" s="19" t="s">
        <v>31</v>
      </c>
      <c r="V1181" s="41" t="n">
        <v>43514</v>
      </c>
      <c r="W1181" s="34" t="s">
        <v>1599</v>
      </c>
      <c r="X1181" s="34"/>
    </row>
    <row r="1182" customFormat="false" ht="13.8" hidden="false" customHeight="false" outlineLevel="0" collapsed="false">
      <c r="A1182" s="34"/>
      <c r="B1182" s="19" t="n">
        <v>1429</v>
      </c>
      <c r="C1182" s="20" t="n">
        <v>43396</v>
      </c>
      <c r="D1182" s="38" t="s">
        <v>22</v>
      </c>
      <c r="E1182" s="22" t="s">
        <v>268</v>
      </c>
      <c r="F1182" s="34" t="s">
        <v>471</v>
      </c>
      <c r="G1182" s="19" t="n">
        <v>4</v>
      </c>
      <c r="H1182" s="19" t="n">
        <v>26</v>
      </c>
      <c r="I1182" s="19" t="n">
        <v>1</v>
      </c>
      <c r="J1182" s="19" t="n">
        <v>57.6</v>
      </c>
      <c r="K1182" s="39" t="n">
        <v>478000</v>
      </c>
      <c r="L1182" s="39" t="n">
        <f aca="false">K1182/J1182</f>
        <v>8298.61111111111</v>
      </c>
      <c r="M1182" s="18"/>
      <c r="N1182" s="40"/>
      <c r="O1182" s="30" t="n">
        <f aca="false">K1182+N1182</f>
        <v>478000</v>
      </c>
      <c r="P1182" s="39" t="n">
        <f aca="false">O1182/J1182</f>
        <v>8298.61111111111</v>
      </c>
      <c r="Q1182" s="19" t="s">
        <v>1340</v>
      </c>
      <c r="R1182" s="22" t="s">
        <v>49</v>
      </c>
      <c r="S1182" s="19" t="s">
        <v>29</v>
      </c>
      <c r="T1182" s="19" t="s">
        <v>30</v>
      </c>
      <c r="U1182" s="19" t="s">
        <v>31</v>
      </c>
      <c r="V1182" s="41" t="n">
        <v>43514</v>
      </c>
      <c r="W1182" s="34" t="s">
        <v>1599</v>
      </c>
      <c r="X1182" s="18"/>
    </row>
    <row r="1183" customFormat="false" ht="13.8" hidden="false" customHeight="false" outlineLevel="0" collapsed="false">
      <c r="A1183" s="34"/>
      <c r="B1183" s="19" t="n">
        <v>3877</v>
      </c>
      <c r="C1183" s="20" t="n">
        <v>43396</v>
      </c>
      <c r="D1183" s="38" t="s">
        <v>22</v>
      </c>
      <c r="E1183" s="22" t="s">
        <v>354</v>
      </c>
      <c r="F1183" s="34" t="s">
        <v>456</v>
      </c>
      <c r="G1183" s="19" t="n">
        <v>5</v>
      </c>
      <c r="H1183" s="19" t="s">
        <v>833</v>
      </c>
      <c r="I1183" s="19" t="n">
        <v>5</v>
      </c>
      <c r="J1183" s="19" t="n">
        <v>78.31</v>
      </c>
      <c r="K1183" s="39" t="n">
        <v>599000</v>
      </c>
      <c r="L1183" s="39" t="n">
        <f aca="false">K1183/J1183</f>
        <v>7649.08696207381</v>
      </c>
      <c r="M1183" s="18"/>
      <c r="N1183" s="40"/>
      <c r="O1183" s="30" t="n">
        <f aca="false">K1183+N1183</f>
        <v>599000</v>
      </c>
      <c r="P1183" s="39" t="n">
        <f aca="false">O1183/J1183</f>
        <v>7649.08696207381</v>
      </c>
      <c r="Q1183" s="19" t="s">
        <v>1600</v>
      </c>
      <c r="R1183" s="22" t="s">
        <v>49</v>
      </c>
      <c r="S1183" s="19" t="s">
        <v>29</v>
      </c>
      <c r="T1183" s="19" t="s">
        <v>30</v>
      </c>
      <c r="U1183" s="19" t="s">
        <v>31</v>
      </c>
      <c r="V1183" s="41" t="n">
        <v>43514</v>
      </c>
      <c r="W1183" s="34" t="s">
        <v>1601</v>
      </c>
      <c r="X1183" s="18"/>
    </row>
    <row r="1184" customFormat="false" ht="13.8" hidden="false" customHeight="false" outlineLevel="0" collapsed="false">
      <c r="A1184" s="34"/>
      <c r="B1184" s="19" t="n">
        <v>3401</v>
      </c>
      <c r="C1184" s="20" t="n">
        <v>43397</v>
      </c>
      <c r="D1184" s="38" t="s">
        <v>22</v>
      </c>
      <c r="E1184" s="22" t="s">
        <v>61</v>
      </c>
      <c r="F1184" s="34" t="s">
        <v>62</v>
      </c>
      <c r="G1184" s="19" t="n">
        <v>1</v>
      </c>
      <c r="H1184" s="19" t="n">
        <v>609</v>
      </c>
      <c r="I1184" s="19" t="n">
        <v>4</v>
      </c>
      <c r="J1184" s="19" t="n">
        <v>42.86</v>
      </c>
      <c r="K1184" s="39" t="n">
        <v>365000</v>
      </c>
      <c r="L1184" s="39" t="n">
        <f aca="false">K1184/J1184</f>
        <v>8516.09892673822</v>
      </c>
      <c r="M1184" s="18"/>
      <c r="N1184" s="40"/>
      <c r="O1184" s="30" t="n">
        <f aca="false">K1184+N1184</f>
        <v>365000</v>
      </c>
      <c r="P1184" s="39" t="n">
        <f aca="false">O1184/J1184</f>
        <v>8516.09892673822</v>
      </c>
      <c r="Q1184" s="19" t="s">
        <v>1486</v>
      </c>
      <c r="R1184" s="22" t="s">
        <v>26</v>
      </c>
      <c r="S1184" s="19" t="s">
        <v>29</v>
      </c>
      <c r="T1184" s="19" t="s">
        <v>30</v>
      </c>
      <c r="U1184" s="19" t="s">
        <v>31</v>
      </c>
      <c r="V1184" s="41" t="n">
        <v>43514</v>
      </c>
      <c r="W1184" s="34" t="s">
        <v>1602</v>
      </c>
      <c r="X1184" s="18"/>
      <c r="AMJ1184" s="32"/>
    </row>
    <row r="1185" s="32" customFormat="true" ht="13.8" hidden="false" customHeight="false" outlineLevel="0" collapsed="false">
      <c r="A1185" s="34"/>
      <c r="B1185" s="19" t="n">
        <v>7437</v>
      </c>
      <c r="C1185" s="20" t="n">
        <v>43397</v>
      </c>
      <c r="D1185" s="38" t="s">
        <v>22</v>
      </c>
      <c r="E1185" s="22" t="s">
        <v>343</v>
      </c>
      <c r="F1185" s="34" t="s">
        <v>392</v>
      </c>
      <c r="G1185" s="19" t="n">
        <v>74</v>
      </c>
      <c r="H1185" s="19" t="n">
        <v>83</v>
      </c>
      <c r="I1185" s="19" t="n">
        <v>6</v>
      </c>
      <c r="J1185" s="19" t="n">
        <v>56.6</v>
      </c>
      <c r="K1185" s="39" t="n">
        <v>440000</v>
      </c>
      <c r="L1185" s="39" t="n">
        <f aca="false">K1185/J1185</f>
        <v>7773.85159010601</v>
      </c>
      <c r="M1185" s="34"/>
      <c r="N1185" s="40"/>
      <c r="O1185" s="30" t="n">
        <f aca="false">K1185+N1185</f>
        <v>440000</v>
      </c>
      <c r="P1185" s="39" t="n">
        <f aca="false">O1185/J1185</f>
        <v>7773.85159010601</v>
      </c>
      <c r="Q1185" s="19" t="s">
        <v>1486</v>
      </c>
      <c r="R1185" s="22" t="s">
        <v>26</v>
      </c>
      <c r="S1185" s="19" t="s">
        <v>29</v>
      </c>
      <c r="T1185" s="19" t="s">
        <v>30</v>
      </c>
      <c r="U1185" s="19" t="s">
        <v>31</v>
      </c>
      <c r="V1185" s="41" t="n">
        <v>43514</v>
      </c>
      <c r="W1185" s="34" t="s">
        <v>1603</v>
      </c>
      <c r="X1185" s="34"/>
    </row>
    <row r="1186" customFormat="false" ht="13.8" hidden="false" customHeight="false" outlineLevel="0" collapsed="false">
      <c r="A1186" s="34"/>
      <c r="B1186" s="19" t="n">
        <v>4299</v>
      </c>
      <c r="C1186" s="20" t="n">
        <v>43397</v>
      </c>
      <c r="D1186" s="38" t="s">
        <v>22</v>
      </c>
      <c r="E1186" s="22" t="s">
        <v>665</v>
      </c>
      <c r="F1186" s="34" t="s">
        <v>666</v>
      </c>
      <c r="G1186" s="19" t="n">
        <v>28</v>
      </c>
      <c r="H1186" s="19" t="n">
        <v>19</v>
      </c>
      <c r="I1186" s="19" t="n">
        <v>5</v>
      </c>
      <c r="J1186" s="19" t="n">
        <f aca="false">39.8-2.6</f>
        <v>37.2</v>
      </c>
      <c r="K1186" s="39" t="n">
        <v>350000</v>
      </c>
      <c r="L1186" s="39" t="n">
        <f aca="false">K1186/J1186</f>
        <v>9408.60215053764</v>
      </c>
      <c r="M1186" s="34" t="s">
        <v>1604</v>
      </c>
      <c r="N1186" s="40"/>
      <c r="O1186" s="30" t="n">
        <f aca="false">K1186+N1186</f>
        <v>350000</v>
      </c>
      <c r="P1186" s="39" t="n">
        <f aca="false">O1186/J1186</f>
        <v>9408.60215053764</v>
      </c>
      <c r="Q1186" s="19" t="s">
        <v>1551</v>
      </c>
      <c r="R1186" s="22" t="s">
        <v>27</v>
      </c>
      <c r="S1186" s="19" t="s">
        <v>29</v>
      </c>
      <c r="T1186" s="19" t="s">
        <v>30</v>
      </c>
      <c r="U1186" s="19" t="s">
        <v>31</v>
      </c>
      <c r="V1186" s="41" t="n">
        <v>43514</v>
      </c>
      <c r="W1186" s="34" t="s">
        <v>1605</v>
      </c>
      <c r="X1186" s="18"/>
    </row>
    <row r="1187" customFormat="false" ht="13.8" hidden="false" customHeight="false" outlineLevel="0" collapsed="false">
      <c r="A1187" s="34"/>
      <c r="B1187" s="19" t="n">
        <v>4048</v>
      </c>
      <c r="C1187" s="20" t="n">
        <v>43397</v>
      </c>
      <c r="D1187" s="38" t="s">
        <v>22</v>
      </c>
      <c r="E1187" s="22" t="s">
        <v>527</v>
      </c>
      <c r="F1187" s="34" t="s">
        <v>191</v>
      </c>
      <c r="G1187" s="19" t="n">
        <v>31</v>
      </c>
      <c r="H1187" s="19" t="n">
        <v>42</v>
      </c>
      <c r="I1187" s="19" t="n">
        <v>9</v>
      </c>
      <c r="J1187" s="19" t="n">
        <v>58</v>
      </c>
      <c r="K1187" s="39" t="n">
        <v>460000</v>
      </c>
      <c r="L1187" s="39" t="n">
        <f aca="false">ROUND(K1187/J1187,2)</f>
        <v>7931.03</v>
      </c>
      <c r="M1187" s="34"/>
      <c r="N1187" s="40"/>
      <c r="O1187" s="30" t="n">
        <f aca="false">K1187+N1187</f>
        <v>460000</v>
      </c>
      <c r="P1187" s="39" t="n">
        <f aca="false">O1187/J1187</f>
        <v>7931.03448275862</v>
      </c>
      <c r="Q1187" s="19" t="s">
        <v>1606</v>
      </c>
      <c r="R1187" s="22" t="s">
        <v>49</v>
      </c>
      <c r="S1187" s="19" t="s">
        <v>29</v>
      </c>
      <c r="T1187" s="19" t="s">
        <v>30</v>
      </c>
      <c r="U1187" s="31" t="s">
        <v>31</v>
      </c>
      <c r="V1187" s="41" t="n">
        <v>43598</v>
      </c>
      <c r="W1187" s="34" t="s">
        <v>1607</v>
      </c>
      <c r="X1187" s="18"/>
    </row>
    <row r="1188" customFormat="false" ht="13.8" hidden="false" customHeight="false" outlineLevel="0" collapsed="false">
      <c r="A1188" s="34"/>
      <c r="B1188" s="19" t="n">
        <v>7663</v>
      </c>
      <c r="C1188" s="20" t="n">
        <v>43397</v>
      </c>
      <c r="D1188" s="38" t="s">
        <v>22</v>
      </c>
      <c r="E1188" s="22" t="s">
        <v>37</v>
      </c>
      <c r="F1188" s="34" t="s">
        <v>38</v>
      </c>
      <c r="G1188" s="19" t="n">
        <v>127</v>
      </c>
      <c r="H1188" s="19" t="s">
        <v>1608</v>
      </c>
      <c r="I1188" s="19" t="n">
        <v>6</v>
      </c>
      <c r="J1188" s="19" t="n">
        <v>85.99</v>
      </c>
      <c r="K1188" s="39" t="n">
        <v>535000</v>
      </c>
      <c r="L1188" s="39" t="n">
        <f aca="false">K1188/J1188</f>
        <v>6221.65368066054</v>
      </c>
      <c r="M1188" s="34"/>
      <c r="N1188" s="40"/>
      <c r="O1188" s="30" t="n">
        <f aca="false">K1188+N1188</f>
        <v>535000</v>
      </c>
      <c r="P1188" s="39" t="n">
        <f aca="false">O1188/J1188</f>
        <v>6221.65368066054</v>
      </c>
      <c r="Q1188" s="19" t="s">
        <v>1609</v>
      </c>
      <c r="R1188" s="22" t="s">
        <v>26</v>
      </c>
      <c r="S1188" s="19" t="s">
        <v>29</v>
      </c>
      <c r="T1188" s="19" t="s">
        <v>30</v>
      </c>
      <c r="U1188" s="19" t="s">
        <v>31</v>
      </c>
      <c r="V1188" s="41" t="n">
        <v>43514</v>
      </c>
      <c r="W1188" s="34" t="s">
        <v>1610</v>
      </c>
      <c r="X1188" s="18"/>
      <c r="AMJ1188" s="32"/>
    </row>
    <row r="1189" s="32" customFormat="true" ht="13.8" hidden="false" customHeight="false" outlineLevel="0" collapsed="false">
      <c r="A1189" s="34"/>
      <c r="B1189" s="19" t="n">
        <v>1682</v>
      </c>
      <c r="C1189" s="20" t="n">
        <v>43397</v>
      </c>
      <c r="D1189" s="38" t="s">
        <v>22</v>
      </c>
      <c r="E1189" s="22" t="s">
        <v>299</v>
      </c>
      <c r="F1189" s="34" t="s">
        <v>271</v>
      </c>
      <c r="G1189" s="19" t="n">
        <v>21</v>
      </c>
      <c r="H1189" s="19" t="n">
        <v>9</v>
      </c>
      <c r="I1189" s="19" t="n">
        <v>3</v>
      </c>
      <c r="J1189" s="19" t="n">
        <v>32.29</v>
      </c>
      <c r="K1189" s="39" t="n">
        <v>342000</v>
      </c>
      <c r="L1189" s="39" t="n">
        <f aca="false">K1189/J1189</f>
        <v>10591.5144007433</v>
      </c>
      <c r="M1189" s="34"/>
      <c r="N1189" s="40"/>
      <c r="O1189" s="30" t="n">
        <f aca="false">K1189+N1189</f>
        <v>342000</v>
      </c>
      <c r="P1189" s="39" t="n">
        <f aca="false">O1189/J1189</f>
        <v>10591.5144007433</v>
      </c>
      <c r="Q1189" s="19" t="s">
        <v>1486</v>
      </c>
      <c r="R1189" s="22" t="s">
        <v>26</v>
      </c>
      <c r="S1189" s="19" t="s">
        <v>29</v>
      </c>
      <c r="T1189" s="19" t="s">
        <v>30</v>
      </c>
      <c r="U1189" s="19" t="s">
        <v>31</v>
      </c>
      <c r="V1189" s="41" t="n">
        <v>43514</v>
      </c>
      <c r="W1189" s="34" t="s">
        <v>1611</v>
      </c>
      <c r="X1189" s="34"/>
    </row>
    <row r="1190" customFormat="false" ht="13.8" hidden="false" customHeight="false" outlineLevel="0" collapsed="false">
      <c r="A1190" s="34"/>
      <c r="B1190" s="19" t="n">
        <v>4655</v>
      </c>
      <c r="C1190" s="20" t="n">
        <v>43397</v>
      </c>
      <c r="D1190" s="38" t="s">
        <v>22</v>
      </c>
      <c r="E1190" s="22" t="s">
        <v>459</v>
      </c>
      <c r="F1190" s="34" t="s">
        <v>240</v>
      </c>
      <c r="G1190" s="19" t="n">
        <v>99</v>
      </c>
      <c r="H1190" s="19" t="n">
        <v>51</v>
      </c>
      <c r="I1190" s="19" t="n">
        <v>1</v>
      </c>
      <c r="J1190" s="19" t="n">
        <v>46.5</v>
      </c>
      <c r="K1190" s="39" t="n">
        <v>345000</v>
      </c>
      <c r="L1190" s="39" t="n">
        <f aca="false">K1190/J1190</f>
        <v>7419.35483870968</v>
      </c>
      <c r="M1190" s="34"/>
      <c r="N1190" s="40"/>
      <c r="O1190" s="30" t="n">
        <f aca="false">K1190+N1190</f>
        <v>345000</v>
      </c>
      <c r="P1190" s="39" t="n">
        <f aca="false">O1190/J1190</f>
        <v>7419.35483870968</v>
      </c>
      <c r="Q1190" s="19" t="s">
        <v>1612</v>
      </c>
      <c r="R1190" s="22" t="s">
        <v>49</v>
      </c>
      <c r="S1190" s="19" t="s">
        <v>29</v>
      </c>
      <c r="T1190" s="19" t="s">
        <v>30</v>
      </c>
      <c r="U1190" s="19" t="s">
        <v>31</v>
      </c>
      <c r="V1190" s="41" t="n">
        <v>43514</v>
      </c>
      <c r="W1190" s="34" t="s">
        <v>1613</v>
      </c>
      <c r="X1190" s="34"/>
    </row>
    <row r="1191" customFormat="false" ht="13.8" hidden="false" customHeight="false" outlineLevel="0" collapsed="false">
      <c r="A1191" s="34"/>
      <c r="B1191" s="19" t="n">
        <v>7746</v>
      </c>
      <c r="C1191" s="20" t="n">
        <v>43397</v>
      </c>
      <c r="D1191" s="38" t="s">
        <v>22</v>
      </c>
      <c r="E1191" s="22" t="s">
        <v>235</v>
      </c>
      <c r="F1191" s="34" t="s">
        <v>1614</v>
      </c>
      <c r="G1191" s="19" t="n">
        <v>6</v>
      </c>
      <c r="H1191" s="19" t="n">
        <v>1</v>
      </c>
      <c r="I1191" s="19" t="n">
        <v>1</v>
      </c>
      <c r="J1191" s="19" t="n">
        <v>88.77</v>
      </c>
      <c r="K1191" s="39" t="n">
        <v>945000</v>
      </c>
      <c r="L1191" s="39" t="n">
        <f aca="false">K1191/J1191</f>
        <v>10645.4883406556</v>
      </c>
      <c r="M1191" s="34"/>
      <c r="N1191" s="40"/>
      <c r="O1191" s="30" t="n">
        <f aca="false">K1191+N1191</f>
        <v>945000</v>
      </c>
      <c r="P1191" s="39" t="n">
        <f aca="false">O1191/J1191</f>
        <v>10645.4883406556</v>
      </c>
      <c r="Q1191" s="19" t="s">
        <v>1471</v>
      </c>
      <c r="R1191" s="22" t="s">
        <v>49</v>
      </c>
      <c r="S1191" s="19" t="s">
        <v>29</v>
      </c>
      <c r="T1191" s="19" t="s">
        <v>30</v>
      </c>
      <c r="U1191" s="19" t="s">
        <v>31</v>
      </c>
      <c r="V1191" s="41" t="n">
        <v>43514</v>
      </c>
      <c r="W1191" s="34" t="s">
        <v>1615</v>
      </c>
      <c r="X1191" s="34"/>
    </row>
    <row r="1192" customFormat="false" ht="13.8" hidden="false" customHeight="false" outlineLevel="0" collapsed="false">
      <c r="A1192" s="34"/>
      <c r="B1192" s="19" t="n">
        <v>2295</v>
      </c>
      <c r="C1192" s="20" t="n">
        <v>43397</v>
      </c>
      <c r="D1192" s="38" t="s">
        <v>22</v>
      </c>
      <c r="E1192" s="22" t="s">
        <v>178</v>
      </c>
      <c r="F1192" s="34" t="s">
        <v>569</v>
      </c>
      <c r="G1192" s="19" t="n">
        <v>54</v>
      </c>
      <c r="H1192" s="19" t="n">
        <v>4</v>
      </c>
      <c r="I1192" s="19" t="n">
        <v>1</v>
      </c>
      <c r="J1192" s="19" t="n">
        <v>36</v>
      </c>
      <c r="K1192" s="39" t="n">
        <v>315000</v>
      </c>
      <c r="L1192" s="39" t="n">
        <f aca="false">K1192/J1192</f>
        <v>8750</v>
      </c>
      <c r="M1192" s="34"/>
      <c r="N1192" s="40"/>
      <c r="O1192" s="30" t="n">
        <f aca="false">K1192+N1192</f>
        <v>315000</v>
      </c>
      <c r="P1192" s="39" t="n">
        <f aca="false">O1192/J1192</f>
        <v>8750</v>
      </c>
      <c r="Q1192" s="19" t="s">
        <v>1320</v>
      </c>
      <c r="R1192" s="22" t="s">
        <v>36</v>
      </c>
      <c r="S1192" s="19" t="s">
        <v>29</v>
      </c>
      <c r="T1192" s="19" t="s">
        <v>30</v>
      </c>
      <c r="U1192" s="19" t="s">
        <v>31</v>
      </c>
      <c r="V1192" s="41" t="n">
        <v>43514</v>
      </c>
      <c r="W1192" s="34" t="s">
        <v>1616</v>
      </c>
      <c r="X1192" s="18"/>
      <c r="Z1192" s="33"/>
    </row>
    <row r="1193" customFormat="false" ht="13.8" hidden="false" customHeight="false" outlineLevel="0" collapsed="false">
      <c r="A1193" s="34"/>
      <c r="B1193" s="19" t="s">
        <v>887</v>
      </c>
      <c r="C1193" s="20" t="n">
        <v>43397</v>
      </c>
      <c r="D1193" s="38" t="s">
        <v>22</v>
      </c>
      <c r="E1193" s="22" t="s">
        <v>1617</v>
      </c>
      <c r="F1193" s="45" t="s">
        <v>983</v>
      </c>
      <c r="G1193" s="19" t="n">
        <v>10</v>
      </c>
      <c r="H1193" s="19"/>
      <c r="I1193" s="19" t="n">
        <v>2</v>
      </c>
      <c r="J1193" s="25" t="n">
        <v>71.5</v>
      </c>
      <c r="K1193" s="39" t="n">
        <v>554000</v>
      </c>
      <c r="L1193" s="39" t="n">
        <f aca="false">K1193/J1193</f>
        <v>7748.25174825175</v>
      </c>
      <c r="M1193" s="34"/>
      <c r="N1193" s="40"/>
      <c r="O1193" s="30" t="n">
        <f aca="false">K1193+N1193</f>
        <v>554000</v>
      </c>
      <c r="P1193" s="39" t="n">
        <f aca="false">O1193/J1193</f>
        <v>7748.25174825175</v>
      </c>
      <c r="Q1193" s="19" t="s">
        <v>889</v>
      </c>
      <c r="R1193" s="19" t="n">
        <v>4</v>
      </c>
      <c r="S1193" s="19" t="s">
        <v>890</v>
      </c>
      <c r="T1193" s="19"/>
      <c r="U1193" s="19" t="s">
        <v>31</v>
      </c>
      <c r="V1193" s="41" t="n">
        <v>43727</v>
      </c>
      <c r="W1193" s="34"/>
      <c r="X1193" s="34"/>
    </row>
    <row r="1194" customFormat="false" ht="13.8" hidden="false" customHeight="false" outlineLevel="0" collapsed="false">
      <c r="A1194" s="34"/>
      <c r="B1194" s="19" t="n">
        <v>52583</v>
      </c>
      <c r="C1194" s="20" t="n">
        <v>43397</v>
      </c>
      <c r="D1194" s="38" t="s">
        <v>22</v>
      </c>
      <c r="E1194" s="22" t="s">
        <v>1617</v>
      </c>
      <c r="F1194" s="34" t="s">
        <v>983</v>
      </c>
      <c r="G1194" s="19" t="n">
        <v>10</v>
      </c>
      <c r="H1194" s="19" t="n">
        <v>43</v>
      </c>
      <c r="I1194" s="19" t="n">
        <v>2</v>
      </c>
      <c r="J1194" s="19" t="n">
        <v>71.5</v>
      </c>
      <c r="K1194" s="39" t="n">
        <v>554000</v>
      </c>
      <c r="L1194" s="39" t="n">
        <f aca="false">K1194/J1194</f>
        <v>7748.25174825175</v>
      </c>
      <c r="M1194" s="34" t="s">
        <v>987</v>
      </c>
      <c r="N1194" s="40" t="n">
        <v>31000</v>
      </c>
      <c r="O1194" s="30" t="n">
        <f aca="false">K1194+N1194</f>
        <v>585000</v>
      </c>
      <c r="P1194" s="39" t="n">
        <f aca="false">O1194/J1194</f>
        <v>8181.81818181818</v>
      </c>
      <c r="Q1194" s="19" t="s">
        <v>1618</v>
      </c>
      <c r="R1194" s="22" t="s">
        <v>49</v>
      </c>
      <c r="S1194" s="19" t="s">
        <v>29</v>
      </c>
      <c r="T1194" s="19" t="s">
        <v>30</v>
      </c>
      <c r="U1194" s="19" t="s">
        <v>31</v>
      </c>
      <c r="V1194" s="41" t="n">
        <v>43514</v>
      </c>
      <c r="W1194" s="34" t="s">
        <v>1619</v>
      </c>
      <c r="X1194" s="18"/>
      <c r="AMJ1194" s="32"/>
    </row>
    <row r="1195" s="32" customFormat="true" ht="13.8" hidden="false" customHeight="false" outlineLevel="0" collapsed="false">
      <c r="A1195" s="34"/>
      <c r="B1195" s="19" t="n">
        <v>1401</v>
      </c>
      <c r="C1195" s="20" t="n">
        <v>43398</v>
      </c>
      <c r="D1195" s="38" t="s">
        <v>22</v>
      </c>
      <c r="E1195" s="22" t="s">
        <v>75</v>
      </c>
      <c r="F1195" s="34" t="s">
        <v>1594</v>
      </c>
      <c r="G1195" s="19" t="n">
        <v>33</v>
      </c>
      <c r="H1195" s="19" t="n">
        <v>49</v>
      </c>
      <c r="I1195" s="19" t="n">
        <v>6</v>
      </c>
      <c r="J1195" s="19" t="n">
        <v>48.09</v>
      </c>
      <c r="K1195" s="39" t="n">
        <v>570000</v>
      </c>
      <c r="L1195" s="39" t="n">
        <f aca="false">K1195/J1195</f>
        <v>11852.7760449158</v>
      </c>
      <c r="M1195" s="18"/>
      <c r="N1195" s="40"/>
      <c r="O1195" s="30" t="n">
        <f aca="false">K1195+N1195</f>
        <v>570000</v>
      </c>
      <c r="P1195" s="39" t="n">
        <f aca="false">O1195/J1195</f>
        <v>11852.7760449158</v>
      </c>
      <c r="Q1195" s="19" t="s">
        <v>1620</v>
      </c>
      <c r="R1195" s="22" t="s">
        <v>36</v>
      </c>
      <c r="S1195" s="19" t="s">
        <v>29</v>
      </c>
      <c r="T1195" s="19" t="s">
        <v>30</v>
      </c>
      <c r="U1195" s="19" t="s">
        <v>31</v>
      </c>
      <c r="V1195" s="41" t="n">
        <v>43514</v>
      </c>
      <c r="W1195" s="34" t="s">
        <v>1621</v>
      </c>
      <c r="X1195" s="18"/>
    </row>
    <row r="1196" customFormat="false" ht="13.8" hidden="false" customHeight="false" outlineLevel="0" collapsed="false">
      <c r="A1196" s="34"/>
      <c r="B1196" s="19" t="n">
        <v>3378</v>
      </c>
      <c r="C1196" s="20" t="n">
        <v>43398</v>
      </c>
      <c r="D1196" s="38" t="s">
        <v>22</v>
      </c>
      <c r="E1196" s="22" t="s">
        <v>75</v>
      </c>
      <c r="F1196" s="34" t="s">
        <v>1594</v>
      </c>
      <c r="G1196" s="19" t="n">
        <v>103</v>
      </c>
      <c r="H1196" s="19" t="n">
        <v>15</v>
      </c>
      <c r="I1196" s="19" t="n">
        <v>4</v>
      </c>
      <c r="J1196" s="19" t="n">
        <v>29.89</v>
      </c>
      <c r="K1196" s="39" t="n">
        <v>358000</v>
      </c>
      <c r="L1196" s="39" t="n">
        <f aca="false">ROUND(K1196/J1196,2)</f>
        <v>11977.25</v>
      </c>
      <c r="M1196" s="34" t="s">
        <v>1622</v>
      </c>
      <c r="N1196" s="40"/>
      <c r="O1196" s="30" t="n">
        <f aca="false">K1196+N1196</f>
        <v>358000</v>
      </c>
      <c r="P1196" s="39" t="n">
        <f aca="false">O1196/J1196</f>
        <v>11977.24991636</v>
      </c>
      <c r="Q1196" s="19" t="s">
        <v>1623</v>
      </c>
      <c r="R1196" s="22" t="s">
        <v>27</v>
      </c>
      <c r="S1196" s="19" t="s">
        <v>29</v>
      </c>
      <c r="T1196" s="19" t="s">
        <v>30</v>
      </c>
      <c r="U1196" s="31" t="s">
        <v>31</v>
      </c>
      <c r="V1196" s="41" t="n">
        <v>43598</v>
      </c>
      <c r="W1196" s="34" t="s">
        <v>1624</v>
      </c>
      <c r="X1196" s="18"/>
    </row>
    <row r="1197" customFormat="false" ht="13.8" hidden="false" customHeight="false" outlineLevel="0" collapsed="false">
      <c r="A1197" s="34"/>
      <c r="B1197" s="19" t="n">
        <v>5168</v>
      </c>
      <c r="C1197" s="20" t="n">
        <v>43398</v>
      </c>
      <c r="D1197" s="38" t="s">
        <v>22</v>
      </c>
      <c r="E1197" s="22" t="s">
        <v>665</v>
      </c>
      <c r="F1197" s="34" t="s">
        <v>666</v>
      </c>
      <c r="G1197" s="19" t="n">
        <v>9</v>
      </c>
      <c r="H1197" s="19" t="n">
        <v>73</v>
      </c>
      <c r="I1197" s="19" t="n">
        <v>6</v>
      </c>
      <c r="J1197" s="19" t="n">
        <v>84.3</v>
      </c>
      <c r="K1197" s="39" t="n">
        <v>1250000</v>
      </c>
      <c r="L1197" s="39" t="n">
        <f aca="false">K1197/J1197</f>
        <v>14827.9952550415</v>
      </c>
      <c r="M1197" s="34" t="s">
        <v>987</v>
      </c>
      <c r="N1197" s="40" t="n">
        <v>30000</v>
      </c>
      <c r="O1197" s="30" t="n">
        <f aca="false">K1197+N1197</f>
        <v>1280000</v>
      </c>
      <c r="P1197" s="39" t="n">
        <f aca="false">O1197/J1197</f>
        <v>15183.8671411625</v>
      </c>
      <c r="Q1197" s="19" t="s">
        <v>1625</v>
      </c>
      <c r="R1197" s="22" t="s">
        <v>49</v>
      </c>
      <c r="S1197" s="19" t="s">
        <v>29</v>
      </c>
      <c r="T1197" s="19" t="s">
        <v>30</v>
      </c>
      <c r="U1197" s="19" t="s">
        <v>31</v>
      </c>
      <c r="V1197" s="41" t="n">
        <v>43514</v>
      </c>
      <c r="W1197" s="34" t="s">
        <v>1626</v>
      </c>
      <c r="X1197" s="18"/>
    </row>
    <row r="1198" customFormat="false" ht="13.8" hidden="false" customHeight="false" outlineLevel="0" collapsed="false">
      <c r="A1198" s="34"/>
      <c r="B1198" s="19" t="n">
        <v>4580</v>
      </c>
      <c r="C1198" s="20" t="n">
        <v>43398</v>
      </c>
      <c r="D1198" s="38" t="s">
        <v>22</v>
      </c>
      <c r="E1198" s="22" t="s">
        <v>276</v>
      </c>
      <c r="F1198" s="34" t="s">
        <v>38</v>
      </c>
      <c r="G1198" s="19" t="s">
        <v>1627</v>
      </c>
      <c r="H1198" s="19" t="n">
        <v>73</v>
      </c>
      <c r="I1198" s="19" t="n">
        <v>15</v>
      </c>
      <c r="J1198" s="19" t="n">
        <v>63</v>
      </c>
      <c r="K1198" s="39" t="n">
        <v>465000</v>
      </c>
      <c r="L1198" s="39" t="n">
        <f aca="false">K1198/J1198</f>
        <v>7380.95238095238</v>
      </c>
      <c r="M1198" s="18"/>
      <c r="N1198" s="40"/>
      <c r="O1198" s="30" t="n">
        <f aca="false">K1198+N1198</f>
        <v>465000</v>
      </c>
      <c r="P1198" s="39" t="n">
        <f aca="false">O1198/J1198</f>
        <v>7380.95238095238</v>
      </c>
      <c r="Q1198" s="19" t="s">
        <v>1628</v>
      </c>
      <c r="R1198" s="22" t="s">
        <v>49</v>
      </c>
      <c r="S1198" s="19" t="s">
        <v>29</v>
      </c>
      <c r="T1198" s="19" t="s">
        <v>30</v>
      </c>
      <c r="U1198" s="19" t="s">
        <v>31</v>
      </c>
      <c r="V1198" s="41" t="n">
        <v>43514</v>
      </c>
      <c r="W1198" s="34" t="s">
        <v>1629</v>
      </c>
      <c r="X1198" s="18"/>
      <c r="AMJ1198" s="32"/>
    </row>
    <row r="1199" s="32" customFormat="true" ht="13.8" hidden="false" customHeight="false" outlineLevel="0" collapsed="false">
      <c r="A1199" s="34"/>
      <c r="B1199" s="19" t="s">
        <v>887</v>
      </c>
      <c r="C1199" s="20" t="n">
        <v>43398</v>
      </c>
      <c r="D1199" s="38" t="s">
        <v>22</v>
      </c>
      <c r="E1199" s="22" t="s">
        <v>281</v>
      </c>
      <c r="F1199" s="45" t="s">
        <v>1171</v>
      </c>
      <c r="G1199" s="19" t="s">
        <v>1630</v>
      </c>
      <c r="H1199" s="19"/>
      <c r="I1199" s="19" t="n">
        <v>3</v>
      </c>
      <c r="J1199" s="25" t="n">
        <v>41</v>
      </c>
      <c r="K1199" s="39" t="n">
        <v>440000</v>
      </c>
      <c r="L1199" s="39" t="n">
        <f aca="false">K1199/J1199</f>
        <v>10731.7073170732</v>
      </c>
      <c r="M1199" s="34" t="s">
        <v>1173</v>
      </c>
      <c r="N1199" s="40"/>
      <c r="O1199" s="30" t="n">
        <f aca="false">K1199+N1199</f>
        <v>440000</v>
      </c>
      <c r="P1199" s="39" t="n">
        <f aca="false">O1199/J1199</f>
        <v>10731.7073170732</v>
      </c>
      <c r="Q1199" s="19" t="s">
        <v>889</v>
      </c>
      <c r="R1199" s="19" t="n">
        <v>3</v>
      </c>
      <c r="S1199" s="19" t="s">
        <v>1141</v>
      </c>
      <c r="T1199" s="19"/>
      <c r="U1199" s="19" t="s">
        <v>31</v>
      </c>
      <c r="V1199" s="41" t="n">
        <v>43727</v>
      </c>
      <c r="W1199" s="18"/>
      <c r="X1199" s="18"/>
    </row>
    <row r="1200" customFormat="false" ht="13.8" hidden="false" customHeight="false" outlineLevel="0" collapsed="false">
      <c r="A1200" s="34"/>
      <c r="B1200" s="19" t="n">
        <v>5841</v>
      </c>
      <c r="C1200" s="20" t="n">
        <v>43398</v>
      </c>
      <c r="D1200" s="38" t="s">
        <v>22</v>
      </c>
      <c r="E1200" s="22" t="s">
        <v>65</v>
      </c>
      <c r="F1200" s="34" t="s">
        <v>764</v>
      </c>
      <c r="G1200" s="19" t="n">
        <v>4</v>
      </c>
      <c r="H1200" s="19" t="n">
        <v>49</v>
      </c>
      <c r="I1200" s="19" t="n">
        <v>5</v>
      </c>
      <c r="J1200" s="19" t="n">
        <v>52.9</v>
      </c>
      <c r="K1200" s="39" t="n">
        <v>370000</v>
      </c>
      <c r="L1200" s="39" t="n">
        <f aca="false">K1200/J1200</f>
        <v>6994.32892249527</v>
      </c>
      <c r="M1200" s="34"/>
      <c r="N1200" s="40"/>
      <c r="O1200" s="30" t="n">
        <f aca="false">K1200+N1200</f>
        <v>370000</v>
      </c>
      <c r="P1200" s="39" t="n">
        <f aca="false">O1200/J1200</f>
        <v>6994.32892249527</v>
      </c>
      <c r="Q1200" s="19" t="s">
        <v>1631</v>
      </c>
      <c r="R1200" s="22" t="s">
        <v>49</v>
      </c>
      <c r="S1200" s="19" t="s">
        <v>29</v>
      </c>
      <c r="T1200" s="19" t="s">
        <v>30</v>
      </c>
      <c r="U1200" s="19" t="s">
        <v>31</v>
      </c>
      <c r="V1200" s="41" t="n">
        <v>43514</v>
      </c>
      <c r="W1200" s="34" t="s">
        <v>1632</v>
      </c>
      <c r="X1200" s="18"/>
    </row>
    <row r="1201" customFormat="false" ht="13.8" hidden="false" customHeight="false" outlineLevel="0" collapsed="false">
      <c r="A1201" s="34"/>
      <c r="B1201" s="19" t="n">
        <v>3499</v>
      </c>
      <c r="C1201" s="20" t="n">
        <v>43398</v>
      </c>
      <c r="D1201" s="38" t="s">
        <v>22</v>
      </c>
      <c r="E1201" s="22" t="s">
        <v>23</v>
      </c>
      <c r="F1201" s="34" t="s">
        <v>387</v>
      </c>
      <c r="G1201" s="19" t="n">
        <v>55</v>
      </c>
      <c r="H1201" s="19" t="n">
        <v>18</v>
      </c>
      <c r="I1201" s="19" t="n">
        <v>3</v>
      </c>
      <c r="J1201" s="19" t="n">
        <v>54</v>
      </c>
      <c r="K1201" s="39" t="n">
        <v>470000</v>
      </c>
      <c r="L1201" s="39" t="n">
        <f aca="false">K1201/J1201</f>
        <v>8703.7037037037</v>
      </c>
      <c r="M1201" s="34"/>
      <c r="N1201" s="40"/>
      <c r="O1201" s="30" t="n">
        <f aca="false">K1201+N1201</f>
        <v>470000</v>
      </c>
      <c r="P1201" s="39" t="n">
        <f aca="false">O1201/J1201</f>
        <v>8703.7037037037</v>
      </c>
      <c r="Q1201" s="19" t="s">
        <v>1486</v>
      </c>
      <c r="R1201" s="22" t="s">
        <v>26</v>
      </c>
      <c r="S1201" s="19" t="s">
        <v>29</v>
      </c>
      <c r="T1201" s="19" t="s">
        <v>30</v>
      </c>
      <c r="U1201" s="19" t="s">
        <v>31</v>
      </c>
      <c r="V1201" s="41" t="n">
        <v>43514</v>
      </c>
      <c r="W1201" s="34" t="s">
        <v>1633</v>
      </c>
      <c r="X1201" s="18"/>
      <c r="AMJ1201" s="32"/>
    </row>
    <row r="1202" s="32" customFormat="true" ht="13.8" hidden="false" customHeight="false" outlineLevel="0" collapsed="false">
      <c r="A1202" s="34"/>
      <c r="B1202" s="19" t="n">
        <v>3499</v>
      </c>
      <c r="C1202" s="20" t="n">
        <v>43398</v>
      </c>
      <c r="D1202" s="38" t="s">
        <v>22</v>
      </c>
      <c r="E1202" s="22" t="s">
        <v>23</v>
      </c>
      <c r="F1202" s="34" t="s">
        <v>387</v>
      </c>
      <c r="G1202" s="19" t="n">
        <v>55</v>
      </c>
      <c r="H1202" s="19" t="n">
        <v>18</v>
      </c>
      <c r="I1202" s="19" t="n">
        <v>3</v>
      </c>
      <c r="J1202" s="19" t="n">
        <v>54</v>
      </c>
      <c r="K1202" s="39" t="n">
        <v>470000</v>
      </c>
      <c r="L1202" s="39" t="n">
        <f aca="false">K1202/J1202</f>
        <v>8703.7037037037</v>
      </c>
      <c r="M1202" s="34"/>
      <c r="N1202" s="40"/>
      <c r="O1202" s="30" t="n">
        <f aca="false">K1202+N1202</f>
        <v>470000</v>
      </c>
      <c r="P1202" s="39" t="n">
        <f aca="false">O1202/J1202</f>
        <v>8703.7037037037</v>
      </c>
      <c r="Q1202" s="19" t="s">
        <v>1486</v>
      </c>
      <c r="R1202" s="22" t="s">
        <v>26</v>
      </c>
      <c r="S1202" s="19" t="s">
        <v>29</v>
      </c>
      <c r="T1202" s="19" t="s">
        <v>30</v>
      </c>
      <c r="U1202" s="19" t="s">
        <v>31</v>
      </c>
      <c r="V1202" s="41" t="n">
        <v>43514</v>
      </c>
      <c r="W1202" s="34" t="s">
        <v>1633</v>
      </c>
      <c r="X1202" s="18"/>
    </row>
    <row r="1203" customFormat="false" ht="13.8" hidden="false" customHeight="false" outlineLevel="0" collapsed="false">
      <c r="A1203" s="34"/>
      <c r="B1203" s="19" t="n">
        <v>7050</v>
      </c>
      <c r="C1203" s="20" t="n">
        <v>43398</v>
      </c>
      <c r="D1203" s="38" t="s">
        <v>22</v>
      </c>
      <c r="E1203" s="22" t="s">
        <v>72</v>
      </c>
      <c r="F1203" s="34" t="s">
        <v>387</v>
      </c>
      <c r="G1203" s="19" t="n">
        <v>3</v>
      </c>
      <c r="H1203" s="19" t="n">
        <v>6</v>
      </c>
      <c r="I1203" s="19" t="n">
        <v>2</v>
      </c>
      <c r="J1203" s="19" t="n">
        <v>31.11</v>
      </c>
      <c r="K1203" s="39" t="n">
        <v>360000</v>
      </c>
      <c r="L1203" s="39" t="n">
        <f aca="false">K1203/J1203</f>
        <v>11571.8418514947</v>
      </c>
      <c r="M1203" s="34"/>
      <c r="N1203" s="40"/>
      <c r="O1203" s="30" t="n">
        <f aca="false">K1203+N1203</f>
        <v>360000</v>
      </c>
      <c r="P1203" s="39" t="n">
        <f aca="false">O1203/J1203</f>
        <v>11571.8418514947</v>
      </c>
      <c r="Q1203" s="19" t="s">
        <v>1486</v>
      </c>
      <c r="R1203" s="22" t="s">
        <v>26</v>
      </c>
      <c r="S1203" s="19" t="s">
        <v>29</v>
      </c>
      <c r="T1203" s="19" t="s">
        <v>30</v>
      </c>
      <c r="U1203" s="19" t="s">
        <v>31</v>
      </c>
      <c r="V1203" s="41" t="n">
        <v>43514</v>
      </c>
      <c r="W1203" s="34" t="s">
        <v>1634</v>
      </c>
      <c r="X1203" s="34"/>
    </row>
    <row r="1204" customFormat="false" ht="13.8" hidden="false" customHeight="false" outlineLevel="0" collapsed="false">
      <c r="A1204" s="34"/>
      <c r="B1204" s="19" t="n">
        <v>5830</v>
      </c>
      <c r="C1204" s="20" t="n">
        <v>43398</v>
      </c>
      <c r="D1204" s="38" t="s">
        <v>22</v>
      </c>
      <c r="E1204" s="22" t="s">
        <v>354</v>
      </c>
      <c r="F1204" s="34" t="s">
        <v>565</v>
      </c>
      <c r="G1204" s="19" t="n">
        <v>22</v>
      </c>
      <c r="H1204" s="19" t="n">
        <v>37</v>
      </c>
      <c r="I1204" s="19" t="n">
        <v>4</v>
      </c>
      <c r="J1204" s="19" t="n">
        <v>77.7</v>
      </c>
      <c r="K1204" s="39" t="n">
        <v>820000</v>
      </c>
      <c r="L1204" s="39" t="n">
        <f aca="false">K1204/J1204</f>
        <v>10553.4105534106</v>
      </c>
      <c r="M1204" s="34" t="s">
        <v>987</v>
      </c>
      <c r="N1204" s="40"/>
      <c r="O1204" s="30" t="n">
        <f aca="false">K1204+N1204</f>
        <v>820000</v>
      </c>
      <c r="P1204" s="39" t="n">
        <f aca="false">O1204/J1204</f>
        <v>10553.4105534106</v>
      </c>
      <c r="Q1204" s="19" t="s">
        <v>1471</v>
      </c>
      <c r="R1204" s="22" t="s">
        <v>49</v>
      </c>
      <c r="S1204" s="19" t="s">
        <v>29</v>
      </c>
      <c r="T1204" s="19" t="s">
        <v>30</v>
      </c>
      <c r="U1204" s="19" t="s">
        <v>31</v>
      </c>
      <c r="V1204" s="41" t="n">
        <v>43514</v>
      </c>
      <c r="W1204" s="34" t="s">
        <v>1635</v>
      </c>
      <c r="X1204" s="34"/>
      <c r="AMJ1204" s="32"/>
    </row>
    <row r="1205" s="32" customFormat="true" ht="13.8" hidden="false" customHeight="false" outlineLevel="0" collapsed="false">
      <c r="A1205" s="34"/>
      <c r="B1205" s="19" t="n">
        <v>52648</v>
      </c>
      <c r="C1205" s="20" t="n">
        <v>43398</v>
      </c>
      <c r="D1205" s="38" t="s">
        <v>22</v>
      </c>
      <c r="E1205" s="22" t="s">
        <v>118</v>
      </c>
      <c r="F1205" s="34" t="s">
        <v>462</v>
      </c>
      <c r="G1205" s="19" t="n">
        <v>4</v>
      </c>
      <c r="H1205" s="19" t="n">
        <v>37</v>
      </c>
      <c r="I1205" s="19" t="n">
        <v>4</v>
      </c>
      <c r="J1205" s="19" t="n">
        <v>36.3</v>
      </c>
      <c r="K1205" s="39" t="n">
        <v>320000</v>
      </c>
      <c r="L1205" s="39" t="n">
        <f aca="false">K1205/J1205</f>
        <v>8815.42699724518</v>
      </c>
      <c r="M1205" s="34"/>
      <c r="N1205" s="40"/>
      <c r="O1205" s="30" t="n">
        <f aca="false">K1205+N1205</f>
        <v>320000</v>
      </c>
      <c r="P1205" s="39" t="n">
        <f aca="false">O1205/J1205</f>
        <v>8815.42699724518</v>
      </c>
      <c r="Q1205" s="19" t="s">
        <v>1486</v>
      </c>
      <c r="R1205" s="22" t="s">
        <v>26</v>
      </c>
      <c r="S1205" s="19" t="s">
        <v>29</v>
      </c>
      <c r="T1205" s="19" t="s">
        <v>30</v>
      </c>
      <c r="U1205" s="19" t="s">
        <v>31</v>
      </c>
      <c r="V1205" s="41" t="n">
        <v>43514</v>
      </c>
      <c r="W1205" s="34" t="s">
        <v>1636</v>
      </c>
      <c r="X1205" s="34"/>
    </row>
    <row r="1206" s="32" customFormat="true" ht="13.8" hidden="false" customHeight="false" outlineLevel="0" collapsed="false">
      <c r="A1206" s="34"/>
      <c r="B1206" s="19" t="n">
        <v>2305</v>
      </c>
      <c r="C1206" s="20" t="n">
        <v>43399</v>
      </c>
      <c r="D1206" s="38" t="s">
        <v>22</v>
      </c>
      <c r="E1206" s="22" t="s">
        <v>882</v>
      </c>
      <c r="F1206" s="34" t="s">
        <v>883</v>
      </c>
      <c r="G1206" s="19" t="s">
        <v>1637</v>
      </c>
      <c r="H1206" s="19" t="n">
        <v>1</v>
      </c>
      <c r="I1206" s="19" t="n">
        <v>1</v>
      </c>
      <c r="J1206" s="19" t="n">
        <v>57.74</v>
      </c>
      <c r="K1206" s="39" t="n">
        <v>365000</v>
      </c>
      <c r="L1206" s="39" t="n">
        <f aca="false">K1206/J1206</f>
        <v>6321.44094215449</v>
      </c>
      <c r="M1206" s="34"/>
      <c r="N1206" s="40"/>
      <c r="O1206" s="30" t="n">
        <f aca="false">K1206+N1206</f>
        <v>365000</v>
      </c>
      <c r="P1206" s="39" t="n">
        <f aca="false">O1206/J1206</f>
        <v>6321.44094215449</v>
      </c>
      <c r="Q1206" s="19" t="s">
        <v>1638</v>
      </c>
      <c r="R1206" s="22" t="s">
        <v>49</v>
      </c>
      <c r="S1206" s="19" t="s">
        <v>29</v>
      </c>
      <c r="T1206" s="19" t="s">
        <v>30</v>
      </c>
      <c r="U1206" s="19" t="s">
        <v>31</v>
      </c>
      <c r="V1206" s="41" t="n">
        <v>43514</v>
      </c>
      <c r="W1206" s="34" t="s">
        <v>1639</v>
      </c>
      <c r="X1206" s="34"/>
    </row>
    <row r="1207" s="32" customFormat="true" ht="13.8" hidden="false" customHeight="false" outlineLevel="0" collapsed="false">
      <c r="A1207" s="34"/>
      <c r="B1207" s="19" t="n">
        <v>2645</v>
      </c>
      <c r="C1207" s="20" t="n">
        <v>43399</v>
      </c>
      <c r="D1207" s="38" t="s">
        <v>22</v>
      </c>
      <c r="E1207" s="22" t="s">
        <v>717</v>
      </c>
      <c r="F1207" s="34" t="s">
        <v>392</v>
      </c>
      <c r="G1207" s="19" t="n">
        <v>32</v>
      </c>
      <c r="H1207" s="19" t="n">
        <v>7</v>
      </c>
      <c r="I1207" s="19" t="n">
        <v>2</v>
      </c>
      <c r="J1207" s="19" t="n">
        <v>55.8</v>
      </c>
      <c r="K1207" s="39" t="n">
        <v>765000</v>
      </c>
      <c r="L1207" s="39" t="n">
        <f aca="false">K1207/J1207</f>
        <v>13709.6774193548</v>
      </c>
      <c r="M1207" s="34"/>
      <c r="N1207" s="40"/>
      <c r="O1207" s="30" t="n">
        <f aca="false">K1207+N1207</f>
        <v>765000</v>
      </c>
      <c r="P1207" s="39" t="n">
        <f aca="false">O1207/J1207</f>
        <v>13709.6774193548</v>
      </c>
      <c r="Q1207" s="19" t="s">
        <v>1640</v>
      </c>
      <c r="R1207" s="22" t="s">
        <v>36</v>
      </c>
      <c r="S1207" s="19" t="s">
        <v>29</v>
      </c>
      <c r="T1207" s="19" t="s">
        <v>30</v>
      </c>
      <c r="U1207" s="19" t="s">
        <v>31</v>
      </c>
      <c r="V1207" s="41" t="n">
        <v>43514</v>
      </c>
      <c r="W1207" s="34" t="s">
        <v>1641</v>
      </c>
      <c r="X1207" s="34"/>
    </row>
    <row r="1208" customFormat="false" ht="13.8" hidden="false" customHeight="false" outlineLevel="0" collapsed="false">
      <c r="A1208" s="34"/>
      <c r="B1208" s="19" t="n">
        <v>1080</v>
      </c>
      <c r="C1208" s="20" t="n">
        <v>43399</v>
      </c>
      <c r="D1208" s="38" t="s">
        <v>22</v>
      </c>
      <c r="E1208" s="22" t="s">
        <v>235</v>
      </c>
      <c r="F1208" s="34" t="s">
        <v>236</v>
      </c>
      <c r="G1208" s="19" t="n">
        <v>7</v>
      </c>
      <c r="H1208" s="19" t="n">
        <v>9</v>
      </c>
      <c r="I1208" s="19" t="n">
        <v>4</v>
      </c>
      <c r="J1208" s="19" t="n">
        <v>43.55</v>
      </c>
      <c r="K1208" s="39" t="n">
        <v>390000</v>
      </c>
      <c r="L1208" s="39" t="n">
        <f aca="false">ROUND(K1208/J1208,2)</f>
        <v>8955.22</v>
      </c>
      <c r="M1208" s="34" t="s">
        <v>1642</v>
      </c>
      <c r="N1208" s="40"/>
      <c r="O1208" s="30" t="n">
        <f aca="false">K1208+N1208</f>
        <v>390000</v>
      </c>
      <c r="P1208" s="39" t="n">
        <f aca="false">O1208/J1208</f>
        <v>8955.22388059702</v>
      </c>
      <c r="Q1208" s="19" t="s">
        <v>1486</v>
      </c>
      <c r="R1208" s="22" t="s">
        <v>26</v>
      </c>
      <c r="S1208" s="19" t="s">
        <v>29</v>
      </c>
      <c r="T1208" s="19" t="s">
        <v>30</v>
      </c>
      <c r="U1208" s="31" t="s">
        <v>31</v>
      </c>
      <c r="V1208" s="41" t="n">
        <v>43598</v>
      </c>
      <c r="W1208" s="34" t="s">
        <v>1643</v>
      </c>
      <c r="X1208" s="34"/>
      <c r="Z1208" s="33"/>
    </row>
    <row r="1209" s="32" customFormat="true" ht="13.8" hidden="false" customHeight="false" outlineLevel="0" collapsed="false">
      <c r="A1209" s="34"/>
      <c r="B1209" s="19" t="n">
        <v>2388</v>
      </c>
      <c r="C1209" s="20" t="n">
        <v>43399</v>
      </c>
      <c r="D1209" s="38" t="s">
        <v>22</v>
      </c>
      <c r="E1209" s="22" t="s">
        <v>175</v>
      </c>
      <c r="F1209" s="34" t="s">
        <v>176</v>
      </c>
      <c r="G1209" s="19" t="n">
        <v>65</v>
      </c>
      <c r="H1209" s="19" t="n">
        <v>17</v>
      </c>
      <c r="I1209" s="19" t="n">
        <v>4</v>
      </c>
      <c r="J1209" s="19" t="n">
        <v>86.26</v>
      </c>
      <c r="K1209" s="39" t="n">
        <v>980000</v>
      </c>
      <c r="L1209" s="39" t="n">
        <f aca="false">ROUND(K1209/J1209,2)</f>
        <v>11361</v>
      </c>
      <c r="M1209" s="34"/>
      <c r="N1209" s="40"/>
      <c r="O1209" s="30" t="n">
        <f aca="false">K1209+N1209</f>
        <v>980000</v>
      </c>
      <c r="P1209" s="39" t="n">
        <f aca="false">O1209/J1209</f>
        <v>11361.0016230002</v>
      </c>
      <c r="Q1209" s="19" t="s">
        <v>1606</v>
      </c>
      <c r="R1209" s="22" t="s">
        <v>49</v>
      </c>
      <c r="S1209" s="19" t="s">
        <v>29</v>
      </c>
      <c r="T1209" s="19" t="s">
        <v>30</v>
      </c>
      <c r="U1209" s="31" t="s">
        <v>31</v>
      </c>
      <c r="V1209" s="41" t="n">
        <v>43598</v>
      </c>
      <c r="W1209" s="34" t="s">
        <v>1644</v>
      </c>
      <c r="X1209" s="18"/>
    </row>
    <row r="1210" customFormat="false" ht="13.8" hidden="false" customHeight="false" outlineLevel="0" collapsed="false">
      <c r="A1210" s="34"/>
      <c r="B1210" s="19" t="s">
        <v>887</v>
      </c>
      <c r="C1210" s="20" t="n">
        <v>43399</v>
      </c>
      <c r="D1210" s="38" t="s">
        <v>22</v>
      </c>
      <c r="E1210" s="22" t="s">
        <v>281</v>
      </c>
      <c r="F1210" s="45" t="s">
        <v>1029</v>
      </c>
      <c r="G1210" s="19" t="n">
        <v>2</v>
      </c>
      <c r="H1210" s="19"/>
      <c r="I1210" s="19" t="n">
        <v>1</v>
      </c>
      <c r="J1210" s="25" t="n">
        <v>28.5</v>
      </c>
      <c r="K1210" s="39" t="n">
        <v>370000</v>
      </c>
      <c r="L1210" s="39" t="n">
        <f aca="false">K1210/J1210</f>
        <v>12982.4561403509</v>
      </c>
      <c r="M1210" s="34" t="s">
        <v>1645</v>
      </c>
      <c r="N1210" s="40"/>
      <c r="O1210" s="30" t="n">
        <f aca="false">K1210+N1210</f>
        <v>370000</v>
      </c>
      <c r="P1210" s="39" t="n">
        <f aca="false">O1210/J1210</f>
        <v>12982.4561403509</v>
      </c>
      <c r="Q1210" s="19" t="s">
        <v>889</v>
      </c>
      <c r="R1210" s="19" t="n">
        <v>2</v>
      </c>
      <c r="S1210" s="19" t="s">
        <v>1141</v>
      </c>
      <c r="T1210" s="19"/>
      <c r="U1210" s="19" t="s">
        <v>31</v>
      </c>
      <c r="V1210" s="41" t="n">
        <v>43727</v>
      </c>
      <c r="W1210" s="18"/>
      <c r="X1210" s="18"/>
    </row>
    <row r="1211" customFormat="false" ht="13.8" hidden="false" customHeight="false" outlineLevel="0" collapsed="false">
      <c r="A1211" s="34"/>
      <c r="B1211" s="19" t="n">
        <v>4400</v>
      </c>
      <c r="C1211" s="20" t="n">
        <v>43399</v>
      </c>
      <c r="D1211" s="38" t="s">
        <v>22</v>
      </c>
      <c r="E1211" s="22" t="s">
        <v>175</v>
      </c>
      <c r="F1211" s="34" t="s">
        <v>1145</v>
      </c>
      <c r="G1211" s="19" t="n">
        <v>2</v>
      </c>
      <c r="H1211" s="19" t="n">
        <v>17</v>
      </c>
      <c r="I1211" s="19" t="n">
        <v>4</v>
      </c>
      <c r="J1211" s="19" t="n">
        <v>18.8</v>
      </c>
      <c r="K1211" s="39" t="n">
        <v>230000</v>
      </c>
      <c r="L1211" s="39" t="n">
        <f aca="false">K1211/J1211</f>
        <v>12234.0425531915</v>
      </c>
      <c r="M1211" s="34"/>
      <c r="N1211" s="40"/>
      <c r="O1211" s="30" t="n">
        <f aca="false">K1211+N1211</f>
        <v>230000</v>
      </c>
      <c r="P1211" s="39" t="n">
        <f aca="false">O1211/J1211</f>
        <v>12234.0425531915</v>
      </c>
      <c r="Q1211" s="19" t="s">
        <v>1646</v>
      </c>
      <c r="R1211" s="22" t="s">
        <v>27</v>
      </c>
      <c r="S1211" s="19" t="s">
        <v>29</v>
      </c>
      <c r="T1211" s="19" t="s">
        <v>30</v>
      </c>
      <c r="U1211" s="19" t="s">
        <v>31</v>
      </c>
      <c r="V1211" s="41" t="n">
        <v>43514</v>
      </c>
      <c r="W1211" s="34" t="s">
        <v>1647</v>
      </c>
      <c r="X1211" s="18"/>
    </row>
    <row r="1212" customFormat="false" ht="13.8" hidden="false" customHeight="false" outlineLevel="0" collapsed="false">
      <c r="A1212" s="34"/>
      <c r="B1212" s="19" t="n">
        <v>14236</v>
      </c>
      <c r="C1212" s="20" t="n">
        <v>43399</v>
      </c>
      <c r="D1212" s="38" t="s">
        <v>22</v>
      </c>
      <c r="E1212" s="22" t="s">
        <v>350</v>
      </c>
      <c r="F1212" s="34" t="s">
        <v>351</v>
      </c>
      <c r="G1212" s="19" t="s">
        <v>1648</v>
      </c>
      <c r="H1212" s="19" t="n">
        <v>81</v>
      </c>
      <c r="I1212" s="19" t="n">
        <v>2</v>
      </c>
      <c r="J1212" s="19" t="n">
        <v>47.63</v>
      </c>
      <c r="K1212" s="39" t="n">
        <v>435000</v>
      </c>
      <c r="L1212" s="39" t="n">
        <f aca="false">K1212/J1212</f>
        <v>9132.89943313038</v>
      </c>
      <c r="M1212" s="34" t="s">
        <v>1649</v>
      </c>
      <c r="N1212" s="40"/>
      <c r="O1212" s="30" t="n">
        <f aca="false">K1212+N1212</f>
        <v>435000</v>
      </c>
      <c r="P1212" s="39" t="n">
        <f aca="false">O1212/J1212</f>
        <v>9132.89943313038</v>
      </c>
      <c r="Q1212" s="19" t="s">
        <v>1650</v>
      </c>
      <c r="R1212" s="22" t="s">
        <v>27</v>
      </c>
      <c r="S1212" s="19" t="s">
        <v>29</v>
      </c>
      <c r="T1212" s="19" t="s">
        <v>30</v>
      </c>
      <c r="U1212" s="19" t="s">
        <v>31</v>
      </c>
      <c r="V1212" s="41" t="n">
        <v>43514</v>
      </c>
      <c r="W1212" s="34" t="s">
        <v>1651</v>
      </c>
      <c r="X1212" s="18"/>
    </row>
    <row r="1213" customFormat="false" ht="13.8" hidden="false" customHeight="false" outlineLevel="0" collapsed="false">
      <c r="A1213" s="34"/>
      <c r="B1213" s="19" t="n">
        <v>9591</v>
      </c>
      <c r="C1213" s="20" t="n">
        <v>43399</v>
      </c>
      <c r="D1213" s="38" t="s">
        <v>22</v>
      </c>
      <c r="E1213" s="22" t="s">
        <v>1652</v>
      </c>
      <c r="F1213" s="34" t="s">
        <v>1653</v>
      </c>
      <c r="G1213" s="19" t="n">
        <v>47</v>
      </c>
      <c r="H1213" s="19" t="n">
        <v>170</v>
      </c>
      <c r="I1213" s="19" t="n">
        <v>10</v>
      </c>
      <c r="J1213" s="19" t="n">
        <v>39.32</v>
      </c>
      <c r="K1213" s="39" t="n">
        <v>380000</v>
      </c>
      <c r="L1213" s="39" t="n">
        <f aca="false">K1213/J1213</f>
        <v>9664.29298067141</v>
      </c>
      <c r="M1213" s="34"/>
      <c r="N1213" s="40"/>
      <c r="O1213" s="30" t="n">
        <f aca="false">K1213+N1213</f>
        <v>380000</v>
      </c>
      <c r="P1213" s="39" t="n">
        <f aca="false">O1213/J1213</f>
        <v>9664.29298067141</v>
      </c>
      <c r="Q1213" s="19" t="s">
        <v>1654</v>
      </c>
      <c r="R1213" s="22" t="s">
        <v>26</v>
      </c>
      <c r="S1213" s="19" t="s">
        <v>29</v>
      </c>
      <c r="T1213" s="19" t="s">
        <v>30</v>
      </c>
      <c r="U1213" s="19" t="s">
        <v>31</v>
      </c>
      <c r="V1213" s="41" t="n">
        <v>43514</v>
      </c>
      <c r="W1213" s="34" t="s">
        <v>1655</v>
      </c>
      <c r="X1213" s="34"/>
      <c r="Z1213" s="33"/>
    </row>
    <row r="1214" customFormat="false" ht="13.8" hidden="false" customHeight="false" outlineLevel="0" collapsed="false">
      <c r="A1214" s="34"/>
      <c r="B1214" s="19" t="n">
        <v>2302</v>
      </c>
      <c r="C1214" s="20" t="n">
        <v>43399</v>
      </c>
      <c r="D1214" s="38" t="s">
        <v>22</v>
      </c>
      <c r="E1214" s="22" t="s">
        <v>45</v>
      </c>
      <c r="F1214" s="34" t="s">
        <v>46</v>
      </c>
      <c r="G1214" s="19" t="n">
        <v>26</v>
      </c>
      <c r="H1214" s="19" t="n">
        <v>30</v>
      </c>
      <c r="I1214" s="19" t="n">
        <v>6</v>
      </c>
      <c r="J1214" s="19" t="n">
        <v>32.59</v>
      </c>
      <c r="K1214" s="39" t="n">
        <v>450000</v>
      </c>
      <c r="L1214" s="39" t="n">
        <f aca="false">K1214/J1214</f>
        <v>13807.9165388156</v>
      </c>
      <c r="M1214" s="34"/>
      <c r="N1214" s="40"/>
      <c r="O1214" s="30" t="n">
        <f aca="false">K1214+N1214</f>
        <v>450000</v>
      </c>
      <c r="P1214" s="39" t="n">
        <f aca="false">O1214/J1214</f>
        <v>13807.9165388156</v>
      </c>
      <c r="Q1214" s="19" t="s">
        <v>1656</v>
      </c>
      <c r="R1214" s="22" t="s">
        <v>27</v>
      </c>
      <c r="S1214" s="19" t="s">
        <v>29</v>
      </c>
      <c r="T1214" s="19" t="s">
        <v>30</v>
      </c>
      <c r="U1214" s="19" t="s">
        <v>31</v>
      </c>
      <c r="V1214" s="41" t="n">
        <v>43514</v>
      </c>
      <c r="W1214" s="34" t="s">
        <v>1657</v>
      </c>
      <c r="X1214" s="34"/>
    </row>
    <row r="1215" s="32" customFormat="true" ht="13.8" hidden="false" customHeight="false" outlineLevel="0" collapsed="false">
      <c r="A1215" s="34"/>
      <c r="B1215" s="19" t="s">
        <v>887</v>
      </c>
      <c r="C1215" s="20" t="n">
        <v>43399</v>
      </c>
      <c r="D1215" s="38" t="s">
        <v>22</v>
      </c>
      <c r="E1215" s="22" t="s">
        <v>477</v>
      </c>
      <c r="F1215" s="45" t="s">
        <v>478</v>
      </c>
      <c r="G1215" s="19" t="n">
        <v>40</v>
      </c>
      <c r="H1215" s="19"/>
      <c r="I1215" s="19" t="n">
        <v>4</v>
      </c>
      <c r="J1215" s="25" t="n">
        <v>60.3</v>
      </c>
      <c r="K1215" s="39" t="n">
        <v>538000</v>
      </c>
      <c r="L1215" s="39" t="n">
        <f aca="false">K1215/J1215</f>
        <v>8922.05638474295</v>
      </c>
      <c r="M1215" s="34"/>
      <c r="N1215" s="40"/>
      <c r="O1215" s="30" t="n">
        <f aca="false">K1215+N1215</f>
        <v>538000</v>
      </c>
      <c r="P1215" s="39" t="n">
        <f aca="false">O1215/J1215</f>
        <v>8922.05638474295</v>
      </c>
      <c r="Q1215" s="19" t="s">
        <v>889</v>
      </c>
      <c r="R1215" s="19" t="n">
        <v>3</v>
      </c>
      <c r="S1215" s="19" t="s">
        <v>890</v>
      </c>
      <c r="T1215" s="19"/>
      <c r="U1215" s="19" t="s">
        <v>31</v>
      </c>
      <c r="V1215" s="41" t="n">
        <v>43727</v>
      </c>
      <c r="W1215" s="34"/>
      <c r="X1215" s="34"/>
    </row>
    <row r="1216" customFormat="false" ht="13.8" hidden="false" customHeight="false" outlineLevel="0" collapsed="false">
      <c r="A1216" s="34"/>
      <c r="B1216" s="19" t="n">
        <v>17149</v>
      </c>
      <c r="C1216" s="20" t="n">
        <v>43399</v>
      </c>
      <c r="D1216" s="38" t="s">
        <v>22</v>
      </c>
      <c r="E1216" s="22" t="s">
        <v>187</v>
      </c>
      <c r="F1216" s="34" t="s">
        <v>127</v>
      </c>
      <c r="G1216" s="19" t="s">
        <v>1658</v>
      </c>
      <c r="H1216" s="19" t="n">
        <v>21</v>
      </c>
      <c r="I1216" s="19" t="n">
        <v>5</v>
      </c>
      <c r="J1216" s="19" t="n">
        <v>18.36</v>
      </c>
      <c r="K1216" s="39" t="n">
        <v>270000</v>
      </c>
      <c r="L1216" s="39" t="n">
        <f aca="false">ROUND(K1216/J1216,2)</f>
        <v>14705.88</v>
      </c>
      <c r="M1216" s="18"/>
      <c r="N1216" s="40"/>
      <c r="O1216" s="30" t="n">
        <f aca="false">K1216+N1216</f>
        <v>270000</v>
      </c>
      <c r="P1216" s="39" t="n">
        <f aca="false">O1216/J1216</f>
        <v>14705.8823529412</v>
      </c>
      <c r="Q1216" s="19" t="s">
        <v>1320</v>
      </c>
      <c r="R1216" s="22" t="s">
        <v>36</v>
      </c>
      <c r="S1216" s="19" t="s">
        <v>29</v>
      </c>
      <c r="T1216" s="19" t="s">
        <v>30</v>
      </c>
      <c r="U1216" s="31" t="s">
        <v>31</v>
      </c>
      <c r="V1216" s="41" t="n">
        <v>43598</v>
      </c>
      <c r="W1216" s="34" t="s">
        <v>1659</v>
      </c>
      <c r="X1216" s="18"/>
    </row>
    <row r="1217" customFormat="false" ht="13.8" hidden="false" customHeight="false" outlineLevel="0" collapsed="false">
      <c r="A1217" s="34"/>
      <c r="B1217" s="19" t="n">
        <v>3051</v>
      </c>
      <c r="C1217" s="20" t="n">
        <v>43401</v>
      </c>
      <c r="D1217" s="38" t="s">
        <v>22</v>
      </c>
      <c r="E1217" s="22" t="s">
        <v>203</v>
      </c>
      <c r="F1217" s="34" t="s">
        <v>138</v>
      </c>
      <c r="G1217" s="19" t="n">
        <v>12</v>
      </c>
      <c r="H1217" s="19" t="n">
        <v>1228</v>
      </c>
      <c r="I1217" s="19" t="n">
        <v>13</v>
      </c>
      <c r="J1217" s="19" t="n">
        <v>60.96</v>
      </c>
      <c r="K1217" s="39" t="n">
        <v>548000</v>
      </c>
      <c r="L1217" s="39" t="n">
        <f aca="false">K1217/J1217</f>
        <v>8989.50131233596</v>
      </c>
      <c r="M1217" s="18"/>
      <c r="N1217" s="40"/>
      <c r="O1217" s="30" t="n">
        <f aca="false">K1217+N1217</f>
        <v>548000</v>
      </c>
      <c r="P1217" s="39" t="n">
        <f aca="false">O1217/J1217</f>
        <v>8989.50131233596</v>
      </c>
      <c r="Q1217" s="19" t="s">
        <v>1660</v>
      </c>
      <c r="R1217" s="22" t="s">
        <v>26</v>
      </c>
      <c r="S1217" s="19" t="s">
        <v>29</v>
      </c>
      <c r="T1217" s="19" t="s">
        <v>30</v>
      </c>
      <c r="U1217" s="19" t="s">
        <v>31</v>
      </c>
      <c r="V1217" s="41" t="n">
        <v>43514</v>
      </c>
      <c r="W1217" s="34" t="s">
        <v>1661</v>
      </c>
      <c r="X1217" s="18"/>
    </row>
    <row r="1218" customFormat="false" ht="13.8" hidden="false" customHeight="false" outlineLevel="0" collapsed="false">
      <c r="A1218" s="34"/>
      <c r="B1218" s="19" t="n">
        <v>4166</v>
      </c>
      <c r="C1218" s="20" t="n">
        <v>43402</v>
      </c>
      <c r="D1218" s="38" t="s">
        <v>22</v>
      </c>
      <c r="E1218" s="22" t="s">
        <v>1662</v>
      </c>
      <c r="F1218" s="34" t="s">
        <v>1459</v>
      </c>
      <c r="G1218" s="19" t="n">
        <v>54</v>
      </c>
      <c r="H1218" s="19" t="n">
        <v>37</v>
      </c>
      <c r="I1218" s="19" t="n">
        <v>7</v>
      </c>
      <c r="J1218" s="19" t="n">
        <v>106.59</v>
      </c>
      <c r="K1218" s="39" t="n">
        <v>1550000</v>
      </c>
      <c r="L1218" s="39" t="n">
        <f aca="false">K1218/J1218</f>
        <v>14541.7018482034</v>
      </c>
      <c r="M1218" s="34" t="s">
        <v>1663</v>
      </c>
      <c r="N1218" s="40"/>
      <c r="O1218" s="30" t="n">
        <f aca="false">K1218+N1218</f>
        <v>1550000</v>
      </c>
      <c r="P1218" s="39" t="n">
        <f aca="false">O1218/J1218</f>
        <v>14541.7018482034</v>
      </c>
      <c r="Q1218" s="19" t="s">
        <v>1664</v>
      </c>
      <c r="R1218" s="22" t="s">
        <v>25</v>
      </c>
      <c r="S1218" s="19" t="s">
        <v>29</v>
      </c>
      <c r="T1218" s="19" t="s">
        <v>30</v>
      </c>
      <c r="U1218" s="19" t="s">
        <v>31</v>
      </c>
      <c r="V1218" s="41" t="n">
        <v>43514</v>
      </c>
      <c r="W1218" s="34" t="s">
        <v>1665</v>
      </c>
      <c r="X1218" s="34"/>
    </row>
    <row r="1219" customFormat="false" ht="13.8" hidden="false" customHeight="false" outlineLevel="0" collapsed="false">
      <c r="A1219" s="34"/>
      <c r="B1219" s="19" t="n">
        <v>4493</v>
      </c>
      <c r="C1219" s="20" t="n">
        <v>43402</v>
      </c>
      <c r="D1219" s="38" t="s">
        <v>22</v>
      </c>
      <c r="E1219" s="19" t="s">
        <v>287</v>
      </c>
      <c r="F1219" s="34" t="s">
        <v>854</v>
      </c>
      <c r="G1219" s="19" t="s">
        <v>1666</v>
      </c>
      <c r="H1219" s="19"/>
      <c r="I1219" s="19" t="n">
        <v>3</v>
      </c>
      <c r="J1219" s="25" t="n">
        <v>45.38</v>
      </c>
      <c r="K1219" s="39" t="n">
        <v>390000</v>
      </c>
      <c r="L1219" s="39" t="n">
        <v>8594.09</v>
      </c>
      <c r="M1219" s="34" t="s">
        <v>189</v>
      </c>
      <c r="N1219" s="40"/>
      <c r="O1219" s="39" t="n">
        <v>390000</v>
      </c>
      <c r="P1219" s="39" t="n">
        <v>8594.09</v>
      </c>
      <c r="Q1219" s="19" t="s">
        <v>1667</v>
      </c>
      <c r="R1219" s="22" t="s">
        <v>49</v>
      </c>
      <c r="S1219" s="19" t="s">
        <v>29</v>
      </c>
      <c r="T1219" s="19" t="s">
        <v>30</v>
      </c>
      <c r="U1219" s="31" t="s">
        <v>31</v>
      </c>
      <c r="V1219" s="19"/>
      <c r="W1219" s="18"/>
      <c r="X1219" s="18"/>
    </row>
    <row r="1220" customFormat="false" ht="13.8" hidden="false" customHeight="false" outlineLevel="0" collapsed="false">
      <c r="A1220" s="34"/>
      <c r="B1220" s="19" t="n">
        <v>11086</v>
      </c>
      <c r="C1220" s="20" t="n">
        <v>43402</v>
      </c>
      <c r="D1220" s="38" t="s">
        <v>22</v>
      </c>
      <c r="E1220" s="22" t="s">
        <v>80</v>
      </c>
      <c r="F1220" s="34" t="s">
        <v>81</v>
      </c>
      <c r="G1220" s="19" t="n">
        <v>5</v>
      </c>
      <c r="H1220" s="19" t="n">
        <v>146</v>
      </c>
      <c r="I1220" s="19" t="n">
        <v>1</v>
      </c>
      <c r="J1220" s="19" t="n">
        <v>171.79</v>
      </c>
      <c r="K1220" s="39" t="n">
        <v>2770000</v>
      </c>
      <c r="L1220" s="39" t="n">
        <f aca="false">K1220/J1220</f>
        <v>16124.3378543571</v>
      </c>
      <c r="M1220" s="34" t="s">
        <v>1495</v>
      </c>
      <c r="N1220" s="40" t="n">
        <v>70000</v>
      </c>
      <c r="O1220" s="30" t="n">
        <f aca="false">K1220+N1220</f>
        <v>2840000</v>
      </c>
      <c r="P1220" s="39" t="n">
        <f aca="false">O1220/J1220</f>
        <v>16531.8120961639</v>
      </c>
      <c r="Q1220" s="19" t="s">
        <v>1668</v>
      </c>
      <c r="R1220" s="22" t="s">
        <v>25</v>
      </c>
      <c r="S1220" s="19" t="s">
        <v>29</v>
      </c>
      <c r="T1220" s="19" t="s">
        <v>30</v>
      </c>
      <c r="U1220" s="19" t="s">
        <v>31</v>
      </c>
      <c r="V1220" s="41" t="n">
        <v>43514</v>
      </c>
      <c r="W1220" s="34" t="s">
        <v>1669</v>
      </c>
      <c r="X1220" s="18"/>
    </row>
    <row r="1221" s="32" customFormat="true" ht="13.8" hidden="false" customHeight="false" outlineLevel="0" collapsed="false">
      <c r="A1221" s="34"/>
      <c r="B1221" s="19" t="n">
        <v>4151</v>
      </c>
      <c r="C1221" s="20" t="n">
        <v>43402</v>
      </c>
      <c r="D1221" s="38" t="s">
        <v>22</v>
      </c>
      <c r="E1221" s="22" t="s">
        <v>37</v>
      </c>
      <c r="F1221" s="34" t="s">
        <v>108</v>
      </c>
      <c r="G1221" s="19" t="n">
        <v>42</v>
      </c>
      <c r="H1221" s="19" t="n">
        <v>18</v>
      </c>
      <c r="I1221" s="19" t="n">
        <v>5</v>
      </c>
      <c r="J1221" s="19" t="n">
        <v>35.6</v>
      </c>
      <c r="K1221" s="39" t="n">
        <v>363000</v>
      </c>
      <c r="L1221" s="39" t="n">
        <f aca="false">ROUND(K1221/J1221,2)</f>
        <v>10196.63</v>
      </c>
      <c r="M1221" s="34"/>
      <c r="N1221" s="40"/>
      <c r="O1221" s="30" t="n">
        <f aca="false">K1221+N1221</f>
        <v>363000</v>
      </c>
      <c r="P1221" s="39" t="n">
        <f aca="false">O1221/J1221</f>
        <v>10196.6292134831</v>
      </c>
      <c r="Q1221" s="19" t="s">
        <v>1486</v>
      </c>
      <c r="R1221" s="22" t="s">
        <v>26</v>
      </c>
      <c r="S1221" s="19" t="s">
        <v>29</v>
      </c>
      <c r="T1221" s="19" t="s">
        <v>30</v>
      </c>
      <c r="U1221" s="31" t="s">
        <v>31</v>
      </c>
      <c r="V1221" s="41" t="n">
        <v>43598</v>
      </c>
      <c r="W1221" s="34" t="s">
        <v>1670</v>
      </c>
      <c r="X1221" s="18"/>
    </row>
    <row r="1222" s="32" customFormat="true" ht="13.8" hidden="false" customHeight="false" outlineLevel="0" collapsed="false">
      <c r="A1222" s="34"/>
      <c r="B1222" s="19" t="n">
        <v>4202</v>
      </c>
      <c r="C1222" s="20" t="n">
        <v>43402</v>
      </c>
      <c r="D1222" s="38" t="s">
        <v>22</v>
      </c>
      <c r="E1222" s="22" t="s">
        <v>212</v>
      </c>
      <c r="F1222" s="34" t="s">
        <v>957</v>
      </c>
      <c r="G1222" s="19" t="s">
        <v>362</v>
      </c>
      <c r="H1222" s="19" t="n">
        <v>33</v>
      </c>
      <c r="I1222" s="19" t="n">
        <v>5</v>
      </c>
      <c r="J1222" s="19" t="n">
        <v>81.6</v>
      </c>
      <c r="K1222" s="39" t="n">
        <v>765000</v>
      </c>
      <c r="L1222" s="39" t="n">
        <f aca="false">K1222/J1222</f>
        <v>9375</v>
      </c>
      <c r="M1222" s="34" t="s">
        <v>1671</v>
      </c>
      <c r="N1222" s="40" t="n">
        <f aca="false">790000-765000</f>
        <v>25000</v>
      </c>
      <c r="O1222" s="30" t="n">
        <f aca="false">K1222+N1222</f>
        <v>790000</v>
      </c>
      <c r="P1222" s="39" t="n">
        <f aca="false">O1222/J1222</f>
        <v>9681.37254901961</v>
      </c>
      <c r="Q1222" s="19" t="s">
        <v>1672</v>
      </c>
      <c r="R1222" s="22"/>
      <c r="S1222" s="19" t="s">
        <v>29</v>
      </c>
      <c r="T1222" s="19" t="s">
        <v>30</v>
      </c>
      <c r="U1222" s="19" t="s">
        <v>31</v>
      </c>
      <c r="V1222" s="41" t="n">
        <v>43514</v>
      </c>
      <c r="W1222" s="34" t="s">
        <v>1673</v>
      </c>
      <c r="X1222" s="18"/>
    </row>
    <row r="1223" s="32" customFormat="true" ht="13.8" hidden="false" customHeight="false" outlineLevel="0" collapsed="false">
      <c r="A1223" s="34"/>
      <c r="B1223" s="19" t="s">
        <v>887</v>
      </c>
      <c r="C1223" s="20" t="n">
        <v>43402</v>
      </c>
      <c r="D1223" s="38" t="s">
        <v>22</v>
      </c>
      <c r="E1223" s="22"/>
      <c r="F1223" s="45" t="s">
        <v>957</v>
      </c>
      <c r="G1223" s="19"/>
      <c r="H1223" s="19"/>
      <c r="I1223" s="19" t="n">
        <v>5</v>
      </c>
      <c r="J1223" s="25" t="n">
        <v>81.6</v>
      </c>
      <c r="K1223" s="39" t="n">
        <v>790000</v>
      </c>
      <c r="L1223" s="39" t="n">
        <f aca="false">K1223/J1223</f>
        <v>9681.37254901961</v>
      </c>
      <c r="M1223" s="34" t="s">
        <v>1674</v>
      </c>
      <c r="N1223" s="40"/>
      <c r="O1223" s="30" t="n">
        <f aca="false">K1223+N1223</f>
        <v>790000</v>
      </c>
      <c r="P1223" s="39" t="n">
        <f aca="false">O1223/J1223</f>
        <v>9681.37254901961</v>
      </c>
      <c r="Q1223" s="19" t="s">
        <v>889</v>
      </c>
      <c r="R1223" s="19" t="n">
        <v>3</v>
      </c>
      <c r="S1223" s="19" t="s">
        <v>890</v>
      </c>
      <c r="T1223" s="19"/>
      <c r="U1223" s="19" t="s">
        <v>31</v>
      </c>
      <c r="V1223" s="41" t="n">
        <v>43727</v>
      </c>
      <c r="W1223" s="18"/>
      <c r="X1223" s="18"/>
    </row>
    <row r="1224" s="32" customFormat="true" ht="13.8" hidden="false" customHeight="false" outlineLevel="0" collapsed="false">
      <c r="A1224" s="34"/>
      <c r="B1224" s="19" t="n">
        <v>4190</v>
      </c>
      <c r="C1224" s="49" t="n">
        <v>43402</v>
      </c>
      <c r="D1224" s="38" t="s">
        <v>22</v>
      </c>
      <c r="E1224" s="22" t="s">
        <v>268</v>
      </c>
      <c r="F1224" s="34" t="s">
        <v>688</v>
      </c>
      <c r="G1224" s="19" t="s">
        <v>752</v>
      </c>
      <c r="H1224" s="19" t="s">
        <v>341</v>
      </c>
      <c r="I1224" s="19" t="s">
        <v>57</v>
      </c>
      <c r="J1224" s="19" t="n">
        <v>51.55</v>
      </c>
      <c r="K1224" s="39" t="n">
        <v>585000</v>
      </c>
      <c r="L1224" s="39" t="n">
        <f aca="false">K1224/J1224</f>
        <v>11348.2056256062</v>
      </c>
      <c r="M1224" s="34"/>
      <c r="N1224" s="40"/>
      <c r="O1224" s="30" t="n">
        <f aca="false">K1224+N1224</f>
        <v>585000</v>
      </c>
      <c r="P1224" s="39" t="n">
        <f aca="false">O1224/J1224</f>
        <v>11348.2056256062</v>
      </c>
      <c r="Q1224" s="19" t="s">
        <v>1660</v>
      </c>
      <c r="R1224" s="22" t="s">
        <v>26</v>
      </c>
      <c r="S1224" s="19" t="s">
        <v>29</v>
      </c>
      <c r="T1224" s="19" t="s">
        <v>30</v>
      </c>
      <c r="U1224" s="19" t="s">
        <v>31</v>
      </c>
      <c r="V1224" s="41" t="n">
        <v>43514</v>
      </c>
      <c r="W1224" s="34" t="s">
        <v>1675</v>
      </c>
      <c r="X1224" s="18"/>
    </row>
    <row r="1225" s="32" customFormat="true" ht="13.8" hidden="false" customHeight="false" outlineLevel="0" collapsed="false">
      <c r="A1225" s="34"/>
      <c r="B1225" s="19" t="n">
        <v>5308</v>
      </c>
      <c r="C1225" s="20" t="n">
        <v>43402</v>
      </c>
      <c r="D1225" s="38" t="s">
        <v>22</v>
      </c>
      <c r="E1225" s="22" t="s">
        <v>65</v>
      </c>
      <c r="F1225" s="34" t="s">
        <v>1216</v>
      </c>
      <c r="G1225" s="19" t="n">
        <v>5</v>
      </c>
      <c r="H1225" s="19" t="n">
        <v>85</v>
      </c>
      <c r="I1225" s="19" t="n">
        <v>8</v>
      </c>
      <c r="J1225" s="19" t="n">
        <v>43.3</v>
      </c>
      <c r="K1225" s="39" t="n">
        <v>459000</v>
      </c>
      <c r="L1225" s="39" t="n">
        <f aca="false">K1225/J1225</f>
        <v>10600.4618937644</v>
      </c>
      <c r="M1225" s="34"/>
      <c r="N1225" s="40"/>
      <c r="O1225" s="30" t="n">
        <f aca="false">K1225+N1225</f>
        <v>459000</v>
      </c>
      <c r="P1225" s="39" t="n">
        <f aca="false">O1225/J1225</f>
        <v>10600.4618937644</v>
      </c>
      <c r="Q1225" s="19" t="s">
        <v>1676</v>
      </c>
      <c r="R1225" s="22" t="s">
        <v>26</v>
      </c>
      <c r="S1225" s="19" t="s">
        <v>29</v>
      </c>
      <c r="T1225" s="19" t="s">
        <v>30</v>
      </c>
      <c r="U1225" s="19" t="s">
        <v>31</v>
      </c>
      <c r="V1225" s="41" t="n">
        <v>43514</v>
      </c>
      <c r="W1225" s="34" t="s">
        <v>1677</v>
      </c>
      <c r="X1225" s="18"/>
    </row>
    <row r="1226" s="32" customFormat="true" ht="13.8" hidden="false" customHeight="false" outlineLevel="0" collapsed="false">
      <c r="A1226" s="34"/>
      <c r="B1226" s="19" t="n">
        <v>4162</v>
      </c>
      <c r="C1226" s="20" t="n">
        <v>43402</v>
      </c>
      <c r="D1226" s="38" t="s">
        <v>22</v>
      </c>
      <c r="E1226" s="22" t="s">
        <v>229</v>
      </c>
      <c r="F1226" s="34" t="s">
        <v>230</v>
      </c>
      <c r="G1226" s="19" t="n">
        <v>59</v>
      </c>
      <c r="H1226" s="19" t="n">
        <v>121</v>
      </c>
      <c r="I1226" s="19" t="n">
        <v>12</v>
      </c>
      <c r="J1226" s="19" t="n">
        <v>92.9</v>
      </c>
      <c r="K1226" s="39" t="n">
        <v>700000</v>
      </c>
      <c r="L1226" s="39" t="n">
        <f aca="false">K1226/J1226</f>
        <v>7534.98385360603</v>
      </c>
      <c r="M1226" s="34" t="s">
        <v>1678</v>
      </c>
      <c r="N1226" s="40"/>
      <c r="O1226" s="30" t="n">
        <f aca="false">K1226+N1226</f>
        <v>700000</v>
      </c>
      <c r="P1226" s="39" t="n">
        <f aca="false">O1226/J1226</f>
        <v>7534.98385360603</v>
      </c>
      <c r="Q1226" s="19" t="s">
        <v>1679</v>
      </c>
      <c r="R1226" s="22" t="s">
        <v>36</v>
      </c>
      <c r="S1226" s="19" t="s">
        <v>29</v>
      </c>
      <c r="T1226" s="19" t="s">
        <v>30</v>
      </c>
      <c r="U1226" s="19" t="s">
        <v>31</v>
      </c>
      <c r="V1226" s="41" t="n">
        <v>43514</v>
      </c>
      <c r="W1226" s="34" t="s">
        <v>1680</v>
      </c>
      <c r="X1226" s="18"/>
    </row>
    <row r="1227" customFormat="false" ht="13.8" hidden="false" customHeight="false" outlineLevel="0" collapsed="false">
      <c r="A1227" s="34"/>
      <c r="B1227" s="19" t="n">
        <v>2841</v>
      </c>
      <c r="C1227" s="20" t="n">
        <v>43402</v>
      </c>
      <c r="D1227" s="38" t="s">
        <v>22</v>
      </c>
      <c r="E1227" s="22" t="s">
        <v>72</v>
      </c>
      <c r="F1227" s="34" t="s">
        <v>46</v>
      </c>
      <c r="G1227" s="19" t="n">
        <v>102</v>
      </c>
      <c r="H1227" s="19" t="n">
        <v>10</v>
      </c>
      <c r="I1227" s="19" t="n">
        <v>3</v>
      </c>
      <c r="J1227" s="19" t="n">
        <v>31.12</v>
      </c>
      <c r="K1227" s="39" t="n">
        <v>320000</v>
      </c>
      <c r="L1227" s="39" t="n">
        <f aca="false">K1227/J1227</f>
        <v>10282.7763496144</v>
      </c>
      <c r="M1227" s="34"/>
      <c r="N1227" s="40"/>
      <c r="O1227" s="30" t="n">
        <f aca="false">K1227+N1227</f>
        <v>320000</v>
      </c>
      <c r="P1227" s="39" t="n">
        <f aca="false">O1227/J1227</f>
        <v>10282.7763496144</v>
      </c>
      <c r="Q1227" s="19" t="s">
        <v>1479</v>
      </c>
      <c r="R1227" s="22" t="s">
        <v>36</v>
      </c>
      <c r="S1227" s="19" t="s">
        <v>29</v>
      </c>
      <c r="T1227" s="19" t="s">
        <v>30</v>
      </c>
      <c r="U1227" s="19" t="s">
        <v>31</v>
      </c>
      <c r="V1227" s="41" t="n">
        <v>43514</v>
      </c>
      <c r="W1227" s="34" t="s">
        <v>1681</v>
      </c>
      <c r="X1227" s="18"/>
    </row>
    <row r="1228" customFormat="false" ht="13.8" hidden="false" customHeight="false" outlineLevel="0" collapsed="false">
      <c r="A1228" s="34"/>
      <c r="B1228" s="19" t="n">
        <v>6589</v>
      </c>
      <c r="C1228" s="20" t="n">
        <v>43402</v>
      </c>
      <c r="D1228" s="38" t="s">
        <v>22</v>
      </c>
      <c r="E1228" s="22" t="s">
        <v>299</v>
      </c>
      <c r="F1228" s="34" t="s">
        <v>1220</v>
      </c>
      <c r="G1228" s="19" t="n">
        <v>3</v>
      </c>
      <c r="H1228" s="19" t="n">
        <v>8</v>
      </c>
      <c r="I1228" s="19" t="n">
        <v>2</v>
      </c>
      <c r="J1228" s="19" t="n">
        <v>35.23</v>
      </c>
      <c r="K1228" s="39" t="n">
        <v>385000</v>
      </c>
      <c r="L1228" s="39" t="n">
        <f aca="false">K1228/J1228</f>
        <v>10928.186204939</v>
      </c>
      <c r="M1228" s="34"/>
      <c r="N1228" s="40"/>
      <c r="O1228" s="30" t="n">
        <f aca="false">K1228+N1228</f>
        <v>385000</v>
      </c>
      <c r="P1228" s="39" t="n">
        <f aca="false">O1228/J1228</f>
        <v>10928.186204939</v>
      </c>
      <c r="Q1228" s="19" t="s">
        <v>1320</v>
      </c>
      <c r="R1228" s="22" t="s">
        <v>36</v>
      </c>
      <c r="S1228" s="19" t="s">
        <v>29</v>
      </c>
      <c r="T1228" s="19" t="s">
        <v>30</v>
      </c>
      <c r="U1228" s="19" t="s">
        <v>31</v>
      </c>
      <c r="V1228" s="41" t="n">
        <v>43514</v>
      </c>
      <c r="W1228" s="34" t="s">
        <v>1682</v>
      </c>
      <c r="X1228" s="18"/>
    </row>
    <row r="1229" customFormat="false" ht="13.8" hidden="false" customHeight="false" outlineLevel="0" collapsed="false">
      <c r="A1229" s="34"/>
      <c r="B1229" s="19" t="s">
        <v>887</v>
      </c>
      <c r="C1229" s="20" t="n">
        <v>43403</v>
      </c>
      <c r="D1229" s="38" t="s">
        <v>22</v>
      </c>
      <c r="E1229" s="22" t="s">
        <v>251</v>
      </c>
      <c r="F1229" s="45" t="s">
        <v>252</v>
      </c>
      <c r="G1229" s="19" t="n">
        <v>1</v>
      </c>
      <c r="H1229" s="19"/>
      <c r="I1229" s="19" t="n">
        <v>1</v>
      </c>
      <c r="J1229" s="25" t="n">
        <v>52.28</v>
      </c>
      <c r="K1229" s="39" t="n">
        <v>385000</v>
      </c>
      <c r="L1229" s="39" t="n">
        <f aca="false">K1229/J1229</f>
        <v>7364.19280795715</v>
      </c>
      <c r="M1229" s="34"/>
      <c r="N1229" s="40"/>
      <c r="O1229" s="30" t="n">
        <f aca="false">K1229+N1229</f>
        <v>385000</v>
      </c>
      <c r="P1229" s="39" t="n">
        <f aca="false">O1229/J1229</f>
        <v>7364.19280795715</v>
      </c>
      <c r="Q1229" s="19" t="s">
        <v>889</v>
      </c>
      <c r="R1229" s="19" t="n">
        <v>4</v>
      </c>
      <c r="S1229" s="19" t="s">
        <v>1141</v>
      </c>
      <c r="T1229" s="19"/>
      <c r="U1229" s="19" t="s">
        <v>31</v>
      </c>
      <c r="V1229" s="41" t="n">
        <v>43727</v>
      </c>
      <c r="W1229" s="18"/>
      <c r="X1229" s="18"/>
      <c r="Y1229" s="35"/>
      <c r="Z1229" s="43"/>
    </row>
    <row r="1230" customFormat="false" ht="13.8" hidden="false" customHeight="false" outlineLevel="0" collapsed="false">
      <c r="A1230" s="34"/>
      <c r="B1230" s="19" t="n">
        <v>10914</v>
      </c>
      <c r="C1230" s="20" t="n">
        <v>43403</v>
      </c>
      <c r="D1230" s="38" t="s">
        <v>22</v>
      </c>
      <c r="E1230" s="22" t="s">
        <v>203</v>
      </c>
      <c r="F1230" s="34" t="s">
        <v>138</v>
      </c>
      <c r="G1230" s="19" t="n">
        <v>10</v>
      </c>
      <c r="H1230" s="19" t="n">
        <v>212</v>
      </c>
      <c r="I1230" s="19" t="n">
        <v>4</v>
      </c>
      <c r="J1230" s="19" t="n">
        <v>51.39</v>
      </c>
      <c r="K1230" s="39" t="n">
        <v>568000</v>
      </c>
      <c r="L1230" s="39" t="n">
        <f aca="false">K1230/J1230</f>
        <v>11052.7339949407</v>
      </c>
      <c r="M1230" s="34" t="s">
        <v>987</v>
      </c>
      <c r="N1230" s="40" t="n">
        <v>35000</v>
      </c>
      <c r="O1230" s="30" t="n">
        <f aca="false">K1230+N1230</f>
        <v>603000</v>
      </c>
      <c r="P1230" s="39" t="n">
        <f aca="false">O1230/J1230</f>
        <v>11733.8003502627</v>
      </c>
      <c r="Q1230" s="19" t="s">
        <v>1683</v>
      </c>
      <c r="R1230" s="22" t="s">
        <v>36</v>
      </c>
      <c r="S1230" s="19" t="s">
        <v>29</v>
      </c>
      <c r="T1230" s="19" t="s">
        <v>30</v>
      </c>
      <c r="U1230" s="19" t="s">
        <v>31</v>
      </c>
      <c r="V1230" s="41" t="n">
        <v>43514</v>
      </c>
      <c r="W1230" s="34" t="s">
        <v>1684</v>
      </c>
      <c r="X1230" s="34"/>
    </row>
    <row r="1231" s="32" customFormat="true" ht="13.8" hidden="false" customHeight="false" outlineLevel="0" collapsed="false">
      <c r="A1231" s="34"/>
      <c r="B1231" s="19" t="n">
        <v>6534</v>
      </c>
      <c r="C1231" s="20" t="n">
        <v>43403</v>
      </c>
      <c r="D1231" s="38" t="s">
        <v>22</v>
      </c>
      <c r="E1231" s="22" t="s">
        <v>42</v>
      </c>
      <c r="F1231" s="34" t="s">
        <v>740</v>
      </c>
      <c r="G1231" s="19" t="n">
        <v>1</v>
      </c>
      <c r="H1231" s="19" t="n">
        <v>30</v>
      </c>
      <c r="I1231" s="19" t="n">
        <v>2</v>
      </c>
      <c r="J1231" s="19" t="n">
        <v>50.2</v>
      </c>
      <c r="K1231" s="39" t="n">
        <v>400000</v>
      </c>
      <c r="L1231" s="39" t="n">
        <f aca="false">K1231/J1231</f>
        <v>7968.12749003984</v>
      </c>
      <c r="M1231" s="18"/>
      <c r="N1231" s="40"/>
      <c r="O1231" s="30" t="n">
        <f aca="false">K1231+N1231</f>
        <v>400000</v>
      </c>
      <c r="P1231" s="39" t="n">
        <f aca="false">O1231/J1231</f>
        <v>7968.12749003984</v>
      </c>
      <c r="Q1231" s="19" t="s">
        <v>1486</v>
      </c>
      <c r="R1231" s="22" t="s">
        <v>26</v>
      </c>
      <c r="S1231" s="19" t="s">
        <v>29</v>
      </c>
      <c r="T1231" s="19" t="s">
        <v>30</v>
      </c>
      <c r="U1231" s="19" t="s">
        <v>31</v>
      </c>
      <c r="V1231" s="41" t="n">
        <v>43514</v>
      </c>
      <c r="W1231" s="34" t="s">
        <v>1685</v>
      </c>
      <c r="X1231" s="34"/>
    </row>
    <row r="1232" s="32" customFormat="true" ht="13.8" hidden="false" customHeight="false" outlineLevel="0" collapsed="false">
      <c r="A1232" s="34"/>
      <c r="B1232" s="19" t="n">
        <v>22536</v>
      </c>
      <c r="C1232" s="20" t="n">
        <v>43403</v>
      </c>
      <c r="D1232" s="38" t="s">
        <v>22</v>
      </c>
      <c r="E1232" s="22" t="s">
        <v>369</v>
      </c>
      <c r="F1232" s="34" t="s">
        <v>370</v>
      </c>
      <c r="G1232" s="19" t="n">
        <v>17</v>
      </c>
      <c r="H1232" s="19" t="n">
        <v>6</v>
      </c>
      <c r="I1232" s="19" t="n">
        <v>3</v>
      </c>
      <c r="J1232" s="19" t="n">
        <v>35</v>
      </c>
      <c r="K1232" s="39" t="n">
        <v>349000</v>
      </c>
      <c r="L1232" s="39" t="n">
        <f aca="false">K1232/J1232</f>
        <v>9971.42857142857</v>
      </c>
      <c r="M1232" s="18"/>
      <c r="N1232" s="40"/>
      <c r="O1232" s="30" t="n">
        <f aca="false">K1232+N1232</f>
        <v>349000</v>
      </c>
      <c r="P1232" s="39" t="n">
        <f aca="false">O1232/J1232</f>
        <v>9971.42857142857</v>
      </c>
      <c r="Q1232" s="19" t="s">
        <v>1320</v>
      </c>
      <c r="R1232" s="22" t="s">
        <v>36</v>
      </c>
      <c r="S1232" s="19" t="s">
        <v>29</v>
      </c>
      <c r="T1232" s="19" t="s">
        <v>30</v>
      </c>
      <c r="U1232" s="19" t="s">
        <v>31</v>
      </c>
      <c r="V1232" s="41" t="n">
        <v>43514</v>
      </c>
      <c r="W1232" s="34" t="s">
        <v>1686</v>
      </c>
      <c r="X1232" s="18"/>
    </row>
    <row r="1233" s="32" customFormat="true" ht="13.8" hidden="false" customHeight="false" outlineLevel="0" collapsed="false">
      <c r="A1233" s="34"/>
      <c r="B1233" s="19" t="n">
        <v>4489</v>
      </c>
      <c r="C1233" s="20" t="n">
        <v>43403</v>
      </c>
      <c r="D1233" s="38" t="s">
        <v>22</v>
      </c>
      <c r="E1233" s="22" t="s">
        <v>369</v>
      </c>
      <c r="F1233" s="34" t="s">
        <v>370</v>
      </c>
      <c r="G1233" s="19" t="n">
        <v>17</v>
      </c>
      <c r="H1233" s="19" t="n">
        <v>15</v>
      </c>
      <c r="I1233" s="19" t="n">
        <v>5</v>
      </c>
      <c r="J1233" s="19" t="n">
        <v>80.7</v>
      </c>
      <c r="K1233" s="39" t="n">
        <v>917500</v>
      </c>
      <c r="L1233" s="39" t="n">
        <f aca="false">ROUND(K1233/J1233,2)</f>
        <v>11369.27</v>
      </c>
      <c r="M1233" s="34" t="s">
        <v>1687</v>
      </c>
      <c r="N1233" s="40"/>
      <c r="O1233" s="30" t="n">
        <f aca="false">K1233+N1233</f>
        <v>917500</v>
      </c>
      <c r="P1233" s="39" t="n">
        <f aca="false">O1233/J1233</f>
        <v>11369.2688971499</v>
      </c>
      <c r="Q1233" s="19" t="s">
        <v>1440</v>
      </c>
      <c r="R1233" s="22" t="s">
        <v>57</v>
      </c>
      <c r="S1233" s="19" t="s">
        <v>29</v>
      </c>
      <c r="T1233" s="19" t="s">
        <v>30</v>
      </c>
      <c r="U1233" s="31" t="s">
        <v>31</v>
      </c>
      <c r="V1233" s="41" t="n">
        <v>43598</v>
      </c>
      <c r="W1233" s="34" t="s">
        <v>1688</v>
      </c>
      <c r="X1233" s="18"/>
    </row>
    <row r="1234" customFormat="false" ht="13.8" hidden="false" customHeight="false" outlineLevel="0" collapsed="false">
      <c r="A1234" s="34"/>
      <c r="B1234" s="19" t="n">
        <v>2338</v>
      </c>
      <c r="C1234" s="20" t="n">
        <v>43403</v>
      </c>
      <c r="D1234" s="38" t="s">
        <v>22</v>
      </c>
      <c r="E1234" s="22" t="s">
        <v>399</v>
      </c>
      <c r="F1234" s="34" t="s">
        <v>549</v>
      </c>
      <c r="G1234" s="19" t="n">
        <v>5</v>
      </c>
      <c r="H1234" s="19" t="n">
        <v>20</v>
      </c>
      <c r="I1234" s="19" t="n">
        <v>8</v>
      </c>
      <c r="J1234" s="19" t="n">
        <v>69.43</v>
      </c>
      <c r="K1234" s="39" t="n">
        <v>660000</v>
      </c>
      <c r="L1234" s="39" t="n">
        <f aca="false">K1234/J1234</f>
        <v>9505.9772432666</v>
      </c>
      <c r="M1234" s="34" t="s">
        <v>1461</v>
      </c>
      <c r="N1234" s="40"/>
      <c r="O1234" s="30" t="n">
        <f aca="false">K1234+N1234</f>
        <v>660000</v>
      </c>
      <c r="P1234" s="39" t="n">
        <f aca="false">O1234/J1234</f>
        <v>9505.9772432666</v>
      </c>
      <c r="Q1234" s="19" t="s">
        <v>1471</v>
      </c>
      <c r="R1234" s="22" t="s">
        <v>49</v>
      </c>
      <c r="S1234" s="19" t="s">
        <v>29</v>
      </c>
      <c r="T1234" s="19" t="s">
        <v>30</v>
      </c>
      <c r="U1234" s="19" t="s">
        <v>31</v>
      </c>
      <c r="V1234" s="41" t="n">
        <v>43514</v>
      </c>
      <c r="W1234" s="34" t="s">
        <v>1689</v>
      </c>
      <c r="X1234" s="34"/>
    </row>
    <row r="1235" s="32" customFormat="true" ht="13.8" hidden="false" customHeight="false" outlineLevel="0" collapsed="false">
      <c r="A1235" s="34"/>
      <c r="B1235" s="19" t="n">
        <v>3069</v>
      </c>
      <c r="C1235" s="20" t="n">
        <v>43403</v>
      </c>
      <c r="D1235" s="38" t="s">
        <v>22</v>
      </c>
      <c r="E1235" s="22" t="s">
        <v>53</v>
      </c>
      <c r="F1235" s="34" t="s">
        <v>54</v>
      </c>
      <c r="G1235" s="19" t="n">
        <v>15</v>
      </c>
      <c r="H1235" s="19" t="n">
        <v>810</v>
      </c>
      <c r="I1235" s="19" t="n">
        <v>8</v>
      </c>
      <c r="J1235" s="19" t="n">
        <v>46.1</v>
      </c>
      <c r="K1235" s="39" t="n">
        <v>395000</v>
      </c>
      <c r="L1235" s="39" t="n">
        <f aca="false">K1235/J1235</f>
        <v>8568.32971800434</v>
      </c>
      <c r="M1235" s="34" t="s">
        <v>1690</v>
      </c>
      <c r="N1235" s="40"/>
      <c r="O1235" s="30" t="n">
        <f aca="false">K1235+N1235</f>
        <v>395000</v>
      </c>
      <c r="P1235" s="39" t="n">
        <f aca="false">O1235/J1235</f>
        <v>8568.32971800434</v>
      </c>
      <c r="Q1235" s="19" t="s">
        <v>1691</v>
      </c>
      <c r="R1235" s="22" t="s">
        <v>26</v>
      </c>
      <c r="S1235" s="19" t="s">
        <v>29</v>
      </c>
      <c r="T1235" s="19" t="s">
        <v>30</v>
      </c>
      <c r="U1235" s="19" t="s">
        <v>31</v>
      </c>
      <c r="V1235" s="41" t="n">
        <v>43514</v>
      </c>
      <c r="W1235" s="34" t="s">
        <v>1692</v>
      </c>
      <c r="X1235" s="18"/>
    </row>
    <row r="1236" customFormat="false" ht="13.8" hidden="false" customHeight="false" outlineLevel="0" collapsed="false">
      <c r="A1236" s="34"/>
      <c r="B1236" s="19" t="s">
        <v>887</v>
      </c>
      <c r="C1236" s="20" t="n">
        <v>43404</v>
      </c>
      <c r="D1236" s="38" t="s">
        <v>22</v>
      </c>
      <c r="E1236" s="22" t="s">
        <v>251</v>
      </c>
      <c r="F1236" s="45" t="s">
        <v>1693</v>
      </c>
      <c r="G1236" s="19" t="n">
        <v>3</v>
      </c>
      <c r="H1236" s="19"/>
      <c r="I1236" s="19" t="n">
        <v>1</v>
      </c>
      <c r="J1236" s="25" t="n">
        <v>42.23</v>
      </c>
      <c r="K1236" s="39" t="n">
        <v>346000</v>
      </c>
      <c r="L1236" s="39" t="n">
        <f aca="false">K1236/J1236</f>
        <v>8193.22756334359</v>
      </c>
      <c r="M1236" s="34"/>
      <c r="N1236" s="40"/>
      <c r="O1236" s="30" t="n">
        <f aca="false">K1236+N1236</f>
        <v>346000</v>
      </c>
      <c r="P1236" s="39" t="n">
        <f aca="false">O1236/J1236</f>
        <v>8193.22756334359</v>
      </c>
      <c r="Q1236" s="19" t="s">
        <v>889</v>
      </c>
      <c r="R1236" s="19" t="n">
        <v>3</v>
      </c>
      <c r="S1236" s="19" t="s">
        <v>1141</v>
      </c>
      <c r="T1236" s="19"/>
      <c r="U1236" s="19" t="s">
        <v>31</v>
      </c>
      <c r="V1236" s="41" t="n">
        <v>43727</v>
      </c>
      <c r="W1236" s="18"/>
      <c r="X1236" s="18"/>
    </row>
    <row r="1237" customFormat="false" ht="13.8" hidden="false" customHeight="false" outlineLevel="0" collapsed="false">
      <c r="A1237" s="34"/>
      <c r="B1237" s="19" t="n">
        <v>5870</v>
      </c>
      <c r="C1237" s="20" t="n">
        <v>43404</v>
      </c>
      <c r="D1237" s="38" t="s">
        <v>22</v>
      </c>
      <c r="E1237" s="22" t="s">
        <v>156</v>
      </c>
      <c r="F1237" s="34" t="s">
        <v>392</v>
      </c>
      <c r="G1237" s="19" t="n">
        <v>63</v>
      </c>
      <c r="H1237" s="19" t="n">
        <v>17</v>
      </c>
      <c r="I1237" s="19" t="n">
        <v>1</v>
      </c>
      <c r="J1237" s="19" t="n">
        <v>30.28</v>
      </c>
      <c r="K1237" s="39" t="n">
        <v>362000</v>
      </c>
      <c r="L1237" s="39" t="n">
        <f aca="false">ROUND(K1237/J1237,2)</f>
        <v>11955.09</v>
      </c>
      <c r="M1237" s="48" t="s">
        <v>1694</v>
      </c>
      <c r="N1237" s="40"/>
      <c r="O1237" s="30" t="n">
        <f aca="false">K1237+N1237</f>
        <v>362000</v>
      </c>
      <c r="P1237" s="39" t="n">
        <f aca="false">ROUND(O1237/J1237,2)</f>
        <v>11955.09</v>
      </c>
      <c r="Q1237" s="19" t="s">
        <v>1695</v>
      </c>
      <c r="R1237" s="22" t="s">
        <v>36</v>
      </c>
      <c r="S1237" s="19" t="s">
        <v>29</v>
      </c>
      <c r="T1237" s="19" t="s">
        <v>30</v>
      </c>
      <c r="U1237" s="31" t="s">
        <v>31</v>
      </c>
      <c r="V1237" s="41" t="n">
        <v>43514</v>
      </c>
      <c r="W1237" s="18"/>
      <c r="X1237" s="18"/>
    </row>
    <row r="1238" customFormat="false" ht="13.8" hidden="false" customHeight="false" outlineLevel="0" collapsed="false">
      <c r="A1238" s="34"/>
      <c r="B1238" s="19" t="n">
        <v>17787</v>
      </c>
      <c r="C1238" s="20" t="n">
        <v>43404</v>
      </c>
      <c r="D1238" s="38" t="s">
        <v>22</v>
      </c>
      <c r="E1238" s="22" t="s">
        <v>171</v>
      </c>
      <c r="F1238" s="34" t="s">
        <v>315</v>
      </c>
      <c r="G1238" s="19" t="n">
        <v>34</v>
      </c>
      <c r="H1238" s="19" t="n">
        <v>148</v>
      </c>
      <c r="I1238" s="19" t="n">
        <v>11</v>
      </c>
      <c r="J1238" s="19" t="n">
        <v>41.8</v>
      </c>
      <c r="K1238" s="39" t="n">
        <v>306000</v>
      </c>
      <c r="L1238" s="39" t="n">
        <f aca="false">ROUND(K1238/J1238,2)</f>
        <v>7320.57</v>
      </c>
      <c r="M1238" s="48" t="s">
        <v>189</v>
      </c>
      <c r="N1238" s="40"/>
      <c r="O1238" s="30" t="n">
        <f aca="false">K1238+N1238</f>
        <v>306000</v>
      </c>
      <c r="P1238" s="39" t="n">
        <f aca="false">ROUND(O1238/J1238,2)</f>
        <v>7320.57</v>
      </c>
      <c r="Q1238" s="19" t="s">
        <v>1351</v>
      </c>
      <c r="R1238" s="22" t="s">
        <v>26</v>
      </c>
      <c r="S1238" s="19" t="s">
        <v>29</v>
      </c>
      <c r="T1238" s="19" t="s">
        <v>30</v>
      </c>
      <c r="U1238" s="31" t="s">
        <v>31</v>
      </c>
      <c r="V1238" s="41" t="n">
        <v>43514</v>
      </c>
      <c r="W1238" s="18"/>
      <c r="X1238" s="18"/>
    </row>
    <row r="1239" customFormat="false" ht="13.8" hidden="false" customHeight="false" outlineLevel="0" collapsed="false">
      <c r="A1239" s="34"/>
      <c r="B1239" s="19" t="n">
        <v>8843</v>
      </c>
      <c r="C1239" s="20" t="n">
        <v>43404</v>
      </c>
      <c r="D1239" s="38" t="s">
        <v>22</v>
      </c>
      <c r="E1239" s="22" t="s">
        <v>354</v>
      </c>
      <c r="F1239" s="34" t="s">
        <v>386</v>
      </c>
      <c r="G1239" s="19" t="n">
        <v>13</v>
      </c>
      <c r="H1239" s="19" t="n">
        <v>74</v>
      </c>
      <c r="I1239" s="19" t="n">
        <v>5</v>
      </c>
      <c r="J1239" s="19" t="n">
        <v>52.41</v>
      </c>
      <c r="K1239" s="39" t="n">
        <v>360000</v>
      </c>
      <c r="L1239" s="39" t="n">
        <f aca="false">K1239/J1239</f>
        <v>6868.9181453921</v>
      </c>
      <c r="M1239" s="34"/>
      <c r="N1239" s="40"/>
      <c r="O1239" s="30" t="n">
        <f aca="false">K1239+N1239</f>
        <v>360000</v>
      </c>
      <c r="P1239" s="39" t="n">
        <f aca="false">O1239/J1239</f>
        <v>6868.9181453921</v>
      </c>
      <c r="Q1239" s="19" t="s">
        <v>1369</v>
      </c>
      <c r="R1239" s="22" t="s">
        <v>26</v>
      </c>
      <c r="S1239" s="19" t="s">
        <v>29</v>
      </c>
      <c r="T1239" s="19" t="s">
        <v>30</v>
      </c>
      <c r="U1239" s="19" t="s">
        <v>31</v>
      </c>
      <c r="V1239" s="41" t="n">
        <v>43514</v>
      </c>
      <c r="W1239" s="34" t="s">
        <v>1696</v>
      </c>
      <c r="X1239" s="34"/>
    </row>
    <row r="1240" customFormat="false" ht="13.8" hidden="false" customHeight="false" outlineLevel="0" collapsed="false">
      <c r="A1240" s="34"/>
      <c r="B1240" s="19" t="n">
        <v>6192</v>
      </c>
      <c r="C1240" s="20" t="n">
        <v>43404</v>
      </c>
      <c r="D1240" s="38" t="s">
        <v>22</v>
      </c>
      <c r="E1240" s="22" t="s">
        <v>140</v>
      </c>
      <c r="F1240" s="34" t="s">
        <v>1278</v>
      </c>
      <c r="G1240" s="19" t="n">
        <v>2</v>
      </c>
      <c r="H1240" s="19" t="n">
        <v>1221</v>
      </c>
      <c r="I1240" s="19" t="n">
        <v>12</v>
      </c>
      <c r="J1240" s="19" t="n">
        <f aca="false">60.5-3.7</f>
        <v>56.8</v>
      </c>
      <c r="K1240" s="39" t="n">
        <v>673500</v>
      </c>
      <c r="L1240" s="39" t="n">
        <f aca="false">K1240/J1240</f>
        <v>11857.3943661972</v>
      </c>
      <c r="M1240" s="34" t="s">
        <v>1697</v>
      </c>
      <c r="N1240" s="40"/>
      <c r="O1240" s="30" t="n">
        <f aca="false">K1240+N1240</f>
        <v>673500</v>
      </c>
      <c r="P1240" s="39" t="n">
        <f aca="false">O1240/J1240</f>
        <v>11857.3943661972</v>
      </c>
      <c r="Q1240" s="19" t="s">
        <v>1698</v>
      </c>
      <c r="R1240" s="22" t="s">
        <v>26</v>
      </c>
      <c r="S1240" s="19" t="s">
        <v>29</v>
      </c>
      <c r="T1240" s="19" t="s">
        <v>30</v>
      </c>
      <c r="U1240" s="19" t="s">
        <v>31</v>
      </c>
      <c r="V1240" s="41" t="n">
        <v>43514</v>
      </c>
      <c r="W1240" s="34" t="s">
        <v>1699</v>
      </c>
      <c r="X1240" s="18"/>
    </row>
    <row r="1241" customFormat="false" ht="13.8" hidden="false" customHeight="false" outlineLevel="0" collapsed="false">
      <c r="A1241" s="34"/>
      <c r="B1241" s="19" t="n">
        <v>4550</v>
      </c>
      <c r="C1241" s="20" t="n">
        <v>43404</v>
      </c>
      <c r="D1241" s="38" t="s">
        <v>22</v>
      </c>
      <c r="E1241" s="22" t="s">
        <v>480</v>
      </c>
      <c r="F1241" s="34" t="s">
        <v>46</v>
      </c>
      <c r="G1241" s="19" t="s">
        <v>1700</v>
      </c>
      <c r="H1241" s="19" t="n">
        <v>5</v>
      </c>
      <c r="I1241" s="19" t="n">
        <v>2</v>
      </c>
      <c r="J1241" s="19" t="n">
        <v>34.9</v>
      </c>
      <c r="K1241" s="39" t="n">
        <v>300000</v>
      </c>
      <c r="L1241" s="39" t="n">
        <f aca="false">K1241/J1241</f>
        <v>8595.98853868195</v>
      </c>
      <c r="M1241" s="18"/>
      <c r="N1241" s="40"/>
      <c r="O1241" s="30" t="n">
        <f aca="false">K1241+N1241</f>
        <v>300000</v>
      </c>
      <c r="P1241" s="39" t="n">
        <f aca="false">O1241/J1241</f>
        <v>8595.98853868195</v>
      </c>
      <c r="Q1241" s="19" t="s">
        <v>1701</v>
      </c>
      <c r="R1241" s="22" t="s">
        <v>36</v>
      </c>
      <c r="S1241" s="19" t="s">
        <v>29</v>
      </c>
      <c r="T1241" s="19" t="s">
        <v>30</v>
      </c>
      <c r="U1241" s="19" t="s">
        <v>31</v>
      </c>
      <c r="V1241" s="41" t="n">
        <v>43514</v>
      </c>
      <c r="W1241" s="34" t="s">
        <v>1702</v>
      </c>
      <c r="X1241" s="18"/>
    </row>
    <row r="1242" customFormat="false" ht="13.8" hidden="false" customHeight="false" outlineLevel="0" collapsed="false">
      <c r="A1242" s="34"/>
      <c r="B1242" s="19" t="n">
        <v>5894</v>
      </c>
      <c r="C1242" s="20" t="n">
        <v>43404</v>
      </c>
      <c r="D1242" s="38" t="s">
        <v>22</v>
      </c>
      <c r="E1242" s="22" t="s">
        <v>399</v>
      </c>
      <c r="F1242" s="34" t="s">
        <v>272</v>
      </c>
      <c r="G1242" s="19" t="n">
        <v>76</v>
      </c>
      <c r="H1242" s="19" t="n">
        <v>119</v>
      </c>
      <c r="I1242" s="19" t="n">
        <v>3</v>
      </c>
      <c r="J1242" s="19" t="n">
        <v>96.4</v>
      </c>
      <c r="K1242" s="39" t="n">
        <v>900000</v>
      </c>
      <c r="L1242" s="39" t="n">
        <f aca="false">ROUND(K1242/J1242,2)</f>
        <v>9336.1</v>
      </c>
      <c r="M1242" s="48" t="s">
        <v>1703</v>
      </c>
      <c r="N1242" s="40"/>
      <c r="O1242" s="30" t="n">
        <f aca="false">K1242+N1242</f>
        <v>900000</v>
      </c>
      <c r="P1242" s="39" t="n">
        <f aca="false">ROUND(O1242/J1242,2)</f>
        <v>9336.1</v>
      </c>
      <c r="Q1242" s="19" t="s">
        <v>1704</v>
      </c>
      <c r="R1242" s="22" t="s">
        <v>26</v>
      </c>
      <c r="S1242" s="19" t="s">
        <v>29</v>
      </c>
      <c r="T1242" s="19" t="s">
        <v>30</v>
      </c>
      <c r="U1242" s="31" t="s">
        <v>31</v>
      </c>
      <c r="V1242" s="41" t="n">
        <v>43514</v>
      </c>
      <c r="W1242" s="34"/>
      <c r="X1242" s="34"/>
    </row>
    <row r="1243" customFormat="false" ht="13.8" hidden="false" customHeight="false" outlineLevel="0" collapsed="false">
      <c r="A1243" s="34"/>
      <c r="B1243" s="19" t="n">
        <v>3831</v>
      </c>
      <c r="C1243" s="20" t="n">
        <v>43406</v>
      </c>
      <c r="D1243" s="38" t="s">
        <v>22</v>
      </c>
      <c r="E1243" s="22" t="s">
        <v>198</v>
      </c>
      <c r="F1243" s="34" t="s">
        <v>199</v>
      </c>
      <c r="G1243" s="19" t="s">
        <v>304</v>
      </c>
      <c r="H1243" s="19" t="n">
        <v>53</v>
      </c>
      <c r="I1243" s="19" t="n">
        <v>4</v>
      </c>
      <c r="J1243" s="19" t="n">
        <v>43.8</v>
      </c>
      <c r="K1243" s="39" t="n">
        <v>510000</v>
      </c>
      <c r="L1243" s="27" t="n">
        <f aca="false">K1243/J1243</f>
        <v>11643.8356164384</v>
      </c>
      <c r="M1243" s="50" t="s">
        <v>1705</v>
      </c>
      <c r="N1243" s="29"/>
      <c r="O1243" s="30" t="n">
        <f aca="false">K1243+N1243</f>
        <v>510000</v>
      </c>
      <c r="P1243" s="30" t="n">
        <f aca="false">O1243/J1243</f>
        <v>11643.8356164384</v>
      </c>
      <c r="Q1243" s="19" t="s">
        <v>1224</v>
      </c>
      <c r="R1243" s="22" t="s">
        <v>27</v>
      </c>
      <c r="S1243" s="19" t="s">
        <v>29</v>
      </c>
      <c r="T1243" s="19" t="s">
        <v>30</v>
      </c>
      <c r="U1243" s="31" t="s">
        <v>31</v>
      </c>
      <c r="V1243" s="41" t="n">
        <v>43601</v>
      </c>
      <c r="W1243" s="34" t="s">
        <v>1706</v>
      </c>
      <c r="X1243" s="18"/>
    </row>
    <row r="1244" customFormat="false" ht="13.8" hidden="false" customHeight="false" outlineLevel="0" collapsed="false">
      <c r="A1244" s="34"/>
      <c r="B1244" s="19" t="n">
        <v>5630</v>
      </c>
      <c r="C1244" s="20" t="n">
        <v>43409</v>
      </c>
      <c r="D1244" s="38" t="s">
        <v>22</v>
      </c>
      <c r="E1244" s="22" t="s">
        <v>281</v>
      </c>
      <c r="F1244" s="34" t="s">
        <v>1707</v>
      </c>
      <c r="G1244" s="19" t="s">
        <v>1708</v>
      </c>
      <c r="H1244" s="19" t="n">
        <v>121</v>
      </c>
      <c r="I1244" s="19" t="n">
        <v>7</v>
      </c>
      <c r="J1244" s="19" t="n">
        <v>59.76</v>
      </c>
      <c r="K1244" s="39" t="n">
        <v>500000</v>
      </c>
      <c r="L1244" s="39" t="n">
        <f aca="false">ROUND(K1244/J1244,2)</f>
        <v>8366.8</v>
      </c>
      <c r="M1244" s="34"/>
      <c r="N1244" s="40"/>
      <c r="O1244" s="30" t="n">
        <f aca="false">K1244+N1244</f>
        <v>500000</v>
      </c>
      <c r="P1244" s="39" t="n">
        <f aca="false">ROUND(O1244/J1244,2)</f>
        <v>8366.8</v>
      </c>
      <c r="Q1244" s="19" t="s">
        <v>1351</v>
      </c>
      <c r="R1244" s="22" t="s">
        <v>26</v>
      </c>
      <c r="S1244" s="19" t="s">
        <v>29</v>
      </c>
      <c r="T1244" s="19" t="s">
        <v>30</v>
      </c>
      <c r="U1244" s="31" t="s">
        <v>31</v>
      </c>
      <c r="V1244" s="41" t="n">
        <v>43514</v>
      </c>
      <c r="W1244" s="18"/>
      <c r="X1244" s="18"/>
    </row>
    <row r="1245" customFormat="false" ht="13.8" hidden="false" customHeight="false" outlineLevel="0" collapsed="false">
      <c r="A1245" s="34"/>
      <c r="B1245" s="19" t="n">
        <v>9899</v>
      </c>
      <c r="C1245" s="20" t="n">
        <v>43409</v>
      </c>
      <c r="D1245" s="38" t="s">
        <v>22</v>
      </c>
      <c r="E1245" s="22" t="s">
        <v>80</v>
      </c>
      <c r="F1245" s="34" t="s">
        <v>81</v>
      </c>
      <c r="G1245" s="19" t="n">
        <v>6</v>
      </c>
      <c r="H1245" s="19" t="n">
        <v>96</v>
      </c>
      <c r="I1245" s="19" t="n">
        <v>1</v>
      </c>
      <c r="J1245" s="19" t="n">
        <v>34.49</v>
      </c>
      <c r="K1245" s="39" t="n">
        <v>400000</v>
      </c>
      <c r="L1245" s="39" t="n">
        <f aca="false">ROUND(K1245/J1245,2)</f>
        <v>11597.56</v>
      </c>
      <c r="M1245" s="48" t="s">
        <v>940</v>
      </c>
      <c r="N1245" s="40" t="n">
        <v>35000</v>
      </c>
      <c r="O1245" s="30" t="n">
        <f aca="false">K1245+N1245</f>
        <v>435000</v>
      </c>
      <c r="P1245" s="39" t="n">
        <f aca="false">ROUND(O1245/J1245,2)</f>
        <v>12612.35</v>
      </c>
      <c r="Q1245" s="19" t="s">
        <v>1695</v>
      </c>
      <c r="R1245" s="22" t="s">
        <v>36</v>
      </c>
      <c r="S1245" s="19" t="s">
        <v>29</v>
      </c>
      <c r="T1245" s="19" t="s">
        <v>30</v>
      </c>
      <c r="U1245" s="31" t="s">
        <v>31</v>
      </c>
      <c r="V1245" s="41" t="n">
        <v>43514</v>
      </c>
      <c r="W1245" s="18"/>
      <c r="X1245" s="18"/>
    </row>
    <row r="1246" customFormat="false" ht="13.8" hidden="false" customHeight="false" outlineLevel="0" collapsed="false">
      <c r="A1246" s="34"/>
      <c r="B1246" s="19" t="n">
        <v>3115</v>
      </c>
      <c r="C1246" s="20" t="n">
        <v>43409</v>
      </c>
      <c r="D1246" s="38" t="s">
        <v>22</v>
      </c>
      <c r="E1246" s="22" t="s">
        <v>622</v>
      </c>
      <c r="F1246" s="34" t="s">
        <v>38</v>
      </c>
      <c r="G1246" s="19" t="n">
        <v>48</v>
      </c>
      <c r="H1246" s="19" t="n">
        <v>125</v>
      </c>
      <c r="I1246" s="19" t="n">
        <v>10</v>
      </c>
      <c r="J1246" s="19" t="n">
        <v>19.5</v>
      </c>
      <c r="K1246" s="39" t="n">
        <v>229500</v>
      </c>
      <c r="L1246" s="39" t="n">
        <f aca="false">K1246/J1246</f>
        <v>11769.2307692308</v>
      </c>
      <c r="M1246" s="34"/>
      <c r="N1246" s="40"/>
      <c r="O1246" s="30" t="n">
        <f aca="false">K1246+N1246</f>
        <v>229500</v>
      </c>
      <c r="P1246" s="39" t="n">
        <f aca="false">O1246/J1246</f>
        <v>11769.2307692308</v>
      </c>
      <c r="Q1246" s="19" t="s">
        <v>1709</v>
      </c>
      <c r="R1246" s="22" t="s">
        <v>27</v>
      </c>
      <c r="S1246" s="19" t="s">
        <v>29</v>
      </c>
      <c r="T1246" s="19" t="s">
        <v>30</v>
      </c>
      <c r="U1246" s="19" t="s">
        <v>31</v>
      </c>
      <c r="V1246" s="41" t="n">
        <v>43514</v>
      </c>
      <c r="W1246" s="34" t="s">
        <v>1710</v>
      </c>
      <c r="X1246" s="34"/>
    </row>
    <row r="1247" s="32" customFormat="true" ht="13.8" hidden="false" customHeight="false" outlineLevel="0" collapsed="false">
      <c r="A1247" s="34"/>
      <c r="B1247" s="19" t="n">
        <v>17854</v>
      </c>
      <c r="C1247" s="20" t="n">
        <v>43409</v>
      </c>
      <c r="D1247" s="38" t="s">
        <v>22</v>
      </c>
      <c r="E1247" s="22" t="s">
        <v>42</v>
      </c>
      <c r="F1247" s="34" t="s">
        <v>1028</v>
      </c>
      <c r="G1247" s="19" t="n">
        <v>12</v>
      </c>
      <c r="H1247" s="19" t="n">
        <v>25</v>
      </c>
      <c r="I1247" s="19" t="n">
        <v>5</v>
      </c>
      <c r="J1247" s="19" t="n">
        <v>48.7</v>
      </c>
      <c r="K1247" s="39" t="n">
        <v>370000</v>
      </c>
      <c r="L1247" s="39" t="n">
        <f aca="false">ROUND(K1247/J1247,2)</f>
        <v>7597.54</v>
      </c>
      <c r="M1247" s="34"/>
      <c r="N1247" s="40"/>
      <c r="O1247" s="30" t="n">
        <f aca="false">K1247+N1247</f>
        <v>370000</v>
      </c>
      <c r="P1247" s="39" t="n">
        <f aca="false">ROUND(O1247/J1247,2)</f>
        <v>7597.54</v>
      </c>
      <c r="Q1247" s="19" t="s">
        <v>1351</v>
      </c>
      <c r="R1247" s="22" t="s">
        <v>26</v>
      </c>
      <c r="S1247" s="19" t="s">
        <v>29</v>
      </c>
      <c r="T1247" s="19" t="s">
        <v>30</v>
      </c>
      <c r="U1247" s="31" t="s">
        <v>31</v>
      </c>
      <c r="V1247" s="41" t="n">
        <v>43514</v>
      </c>
      <c r="W1247" s="18"/>
      <c r="X1247" s="18"/>
    </row>
    <row r="1248" s="32" customFormat="true" ht="13.8" hidden="false" customHeight="false" outlineLevel="0" collapsed="false">
      <c r="A1248" s="34"/>
      <c r="B1248" s="19" t="n">
        <v>3469</v>
      </c>
      <c r="C1248" s="20" t="n">
        <v>43409</v>
      </c>
      <c r="D1248" s="38" t="s">
        <v>22</v>
      </c>
      <c r="E1248" s="22" t="s">
        <v>212</v>
      </c>
      <c r="F1248" s="34" t="s">
        <v>957</v>
      </c>
      <c r="G1248" s="19" t="s">
        <v>213</v>
      </c>
      <c r="H1248" s="19" t="n">
        <v>315</v>
      </c>
      <c r="I1248" s="19" t="n">
        <v>10</v>
      </c>
      <c r="J1248" s="19" t="n">
        <v>31.06</v>
      </c>
      <c r="K1248" s="39" t="n">
        <v>238000</v>
      </c>
      <c r="L1248" s="39" t="n">
        <f aca="false">K1248/J1248</f>
        <v>7662.58853831294</v>
      </c>
      <c r="M1248" s="34" t="s">
        <v>189</v>
      </c>
      <c r="N1248" s="40"/>
      <c r="O1248" s="30" t="n">
        <f aca="false">K1248+N1248</f>
        <v>238000</v>
      </c>
      <c r="P1248" s="39" t="n">
        <f aca="false">O1248/J1248</f>
        <v>7662.58853831294</v>
      </c>
      <c r="Q1248" s="19" t="s">
        <v>1320</v>
      </c>
      <c r="R1248" s="22" t="s">
        <v>36</v>
      </c>
      <c r="S1248" s="19" t="s">
        <v>29</v>
      </c>
      <c r="T1248" s="19" t="s">
        <v>30</v>
      </c>
      <c r="U1248" s="19" t="s">
        <v>31</v>
      </c>
      <c r="V1248" s="41" t="n">
        <v>43514</v>
      </c>
      <c r="W1248" s="34" t="s">
        <v>1711</v>
      </c>
      <c r="X1248" s="18"/>
    </row>
    <row r="1249" customFormat="false" ht="13.8" hidden="false" customHeight="false" outlineLevel="0" collapsed="false">
      <c r="A1249" s="34"/>
      <c r="B1249" s="19" t="n">
        <v>5497</v>
      </c>
      <c r="C1249" s="20" t="n">
        <v>43409</v>
      </c>
      <c r="D1249" s="38" t="s">
        <v>22</v>
      </c>
      <c r="E1249" s="22" t="s">
        <v>175</v>
      </c>
      <c r="F1249" s="34" t="s">
        <v>176</v>
      </c>
      <c r="G1249" s="19" t="n">
        <v>77</v>
      </c>
      <c r="H1249" s="19" t="n">
        <v>23</v>
      </c>
      <c r="I1249" s="19" t="n">
        <v>1</v>
      </c>
      <c r="J1249" s="19" t="n">
        <v>13.7</v>
      </c>
      <c r="K1249" s="39" t="n">
        <v>205000</v>
      </c>
      <c r="L1249" s="39" t="n">
        <f aca="false">K1249/J1249</f>
        <v>14963.503649635</v>
      </c>
      <c r="M1249" s="18"/>
      <c r="N1249" s="40"/>
      <c r="O1249" s="30" t="n">
        <f aca="false">K1249+N1249</f>
        <v>205000</v>
      </c>
      <c r="P1249" s="39" t="n">
        <f aca="false">O1249/J1249</f>
        <v>14963.503649635</v>
      </c>
      <c r="Q1249" s="19" t="s">
        <v>1712</v>
      </c>
      <c r="R1249" s="22" t="s">
        <v>27</v>
      </c>
      <c r="S1249" s="19" t="s">
        <v>29</v>
      </c>
      <c r="T1249" s="19" t="s">
        <v>30</v>
      </c>
      <c r="U1249" s="19" t="s">
        <v>31</v>
      </c>
      <c r="V1249" s="41" t="n">
        <v>43514</v>
      </c>
      <c r="W1249" s="34" t="s">
        <v>1713</v>
      </c>
      <c r="X1249" s="18"/>
    </row>
    <row r="1250" customFormat="false" ht="13.8" hidden="false" customHeight="false" outlineLevel="0" collapsed="false">
      <c r="A1250" s="34"/>
      <c r="B1250" s="19" t="n">
        <v>11104</v>
      </c>
      <c r="C1250" s="20" t="n">
        <v>43409</v>
      </c>
      <c r="D1250" s="38" t="s">
        <v>22</v>
      </c>
      <c r="E1250" s="22" t="s">
        <v>1714</v>
      </c>
      <c r="F1250" s="34" t="s">
        <v>518</v>
      </c>
      <c r="G1250" s="19" t="s">
        <v>146</v>
      </c>
      <c r="H1250" s="19" t="n">
        <v>80</v>
      </c>
      <c r="I1250" s="19" t="n">
        <v>3</v>
      </c>
      <c r="J1250" s="19" t="n">
        <v>157.1</v>
      </c>
      <c r="K1250" s="39" t="n">
        <f aca="false">1919949+51</f>
        <v>1920000</v>
      </c>
      <c r="L1250" s="39" t="n">
        <f aca="false">ROUND(K1250/J1250,2)</f>
        <v>12221.51</v>
      </c>
      <c r="M1250" s="48" t="s">
        <v>1703</v>
      </c>
      <c r="N1250" s="40" t="n">
        <v>80000</v>
      </c>
      <c r="O1250" s="30" t="n">
        <f aca="false">K1250+N1250</f>
        <v>2000000</v>
      </c>
      <c r="P1250" s="39" t="n">
        <f aca="false">ROUND(O1250/J1250,2)</f>
        <v>12730.74</v>
      </c>
      <c r="Q1250" s="19" t="s">
        <v>1715</v>
      </c>
      <c r="R1250" s="22" t="s">
        <v>25</v>
      </c>
      <c r="S1250" s="19" t="s">
        <v>29</v>
      </c>
      <c r="T1250" s="19" t="s">
        <v>30</v>
      </c>
      <c r="U1250" s="31" t="s">
        <v>31</v>
      </c>
      <c r="V1250" s="41" t="n">
        <v>43514</v>
      </c>
      <c r="W1250" s="34"/>
      <c r="X1250" s="34"/>
    </row>
    <row r="1251" s="32" customFormat="true" ht="13.8" hidden="false" customHeight="false" outlineLevel="0" collapsed="false">
      <c r="A1251" s="34"/>
      <c r="B1251" s="19" t="n">
        <v>15912</v>
      </c>
      <c r="C1251" s="20" t="n">
        <v>43409</v>
      </c>
      <c r="D1251" s="38" t="s">
        <v>22</v>
      </c>
      <c r="E1251" s="22" t="s">
        <v>302</v>
      </c>
      <c r="F1251" s="34" t="s">
        <v>485</v>
      </c>
      <c r="G1251" s="19" t="n">
        <v>16</v>
      </c>
      <c r="H1251" s="19" t="n">
        <v>3</v>
      </c>
      <c r="I1251" s="19" t="n">
        <v>2</v>
      </c>
      <c r="J1251" s="19" t="n">
        <v>111.06</v>
      </c>
      <c r="K1251" s="39" t="n">
        <v>1450000</v>
      </c>
      <c r="L1251" s="39" t="n">
        <f aca="false">ROUND(K1251/J1251,2)</f>
        <v>13056.01</v>
      </c>
      <c r="M1251" s="48" t="s">
        <v>940</v>
      </c>
      <c r="N1251" s="40"/>
      <c r="O1251" s="30" t="n">
        <f aca="false">K1251+N1251</f>
        <v>1450000</v>
      </c>
      <c r="P1251" s="39" t="n">
        <f aca="false">ROUND(O1251/J1251,2)</f>
        <v>13056.01</v>
      </c>
      <c r="Q1251" s="19" t="s">
        <v>1667</v>
      </c>
      <c r="R1251" s="22" t="s">
        <v>49</v>
      </c>
      <c r="S1251" s="19" t="s">
        <v>29</v>
      </c>
      <c r="T1251" s="19" t="s">
        <v>30</v>
      </c>
      <c r="U1251" s="31" t="s">
        <v>31</v>
      </c>
      <c r="V1251" s="41" t="n">
        <v>43514</v>
      </c>
      <c r="W1251" s="18"/>
      <c r="X1251" s="18"/>
    </row>
    <row r="1252" customFormat="false" ht="13.8" hidden="false" customHeight="false" outlineLevel="0" collapsed="false">
      <c r="A1252" s="34"/>
      <c r="B1252" s="19" t="n">
        <v>10010</v>
      </c>
      <c r="C1252" s="20" t="n">
        <v>43409</v>
      </c>
      <c r="D1252" s="38" t="s">
        <v>22</v>
      </c>
      <c r="E1252" s="22" t="s">
        <v>906</v>
      </c>
      <c r="F1252" s="34" t="s">
        <v>907</v>
      </c>
      <c r="G1252" s="19" t="n">
        <v>12</v>
      </c>
      <c r="H1252" s="19" t="n">
        <v>45</v>
      </c>
      <c r="I1252" s="19" t="n">
        <v>9</v>
      </c>
      <c r="J1252" s="19" t="n">
        <v>65.3</v>
      </c>
      <c r="K1252" s="39" t="n">
        <v>515000</v>
      </c>
      <c r="L1252" s="39" t="n">
        <f aca="false">K1252/J1252</f>
        <v>7886.67687595712</v>
      </c>
      <c r="M1252" s="34"/>
      <c r="N1252" s="40"/>
      <c r="O1252" s="30" t="n">
        <f aca="false">K1252+N1252</f>
        <v>515000</v>
      </c>
      <c r="P1252" s="39" t="n">
        <f aca="false">O1252/J1252</f>
        <v>7886.67687595712</v>
      </c>
      <c r="Q1252" s="19" t="s">
        <v>1471</v>
      </c>
      <c r="R1252" s="22" t="s">
        <v>49</v>
      </c>
      <c r="S1252" s="19" t="s">
        <v>29</v>
      </c>
      <c r="T1252" s="19" t="s">
        <v>30</v>
      </c>
      <c r="U1252" s="19" t="s">
        <v>31</v>
      </c>
      <c r="V1252" s="41" t="n">
        <v>43514</v>
      </c>
      <c r="W1252" s="34" t="s">
        <v>1716</v>
      </c>
      <c r="X1252" s="18"/>
    </row>
    <row r="1253" customFormat="false" ht="13.8" hidden="false" customHeight="false" outlineLevel="0" collapsed="false">
      <c r="A1253" s="34"/>
      <c r="B1253" s="19" t="n">
        <v>3483</v>
      </c>
      <c r="C1253" s="20" t="n">
        <v>43410</v>
      </c>
      <c r="D1253" s="38" t="s">
        <v>22</v>
      </c>
      <c r="E1253" s="22" t="s">
        <v>251</v>
      </c>
      <c r="F1253" s="34" t="s">
        <v>252</v>
      </c>
      <c r="G1253" s="19" t="n">
        <v>1</v>
      </c>
      <c r="H1253" s="19" t="n">
        <v>122</v>
      </c>
      <c r="I1253" s="19" t="n">
        <v>8</v>
      </c>
      <c r="J1253" s="19" t="n">
        <v>25.71</v>
      </c>
      <c r="K1253" s="39" t="n">
        <v>170000</v>
      </c>
      <c r="L1253" s="39" t="n">
        <f aca="false">K1253/J1253</f>
        <v>6612.21314663555</v>
      </c>
      <c r="M1253" s="34" t="s">
        <v>1717</v>
      </c>
      <c r="N1253" s="40"/>
      <c r="O1253" s="30" t="n">
        <f aca="false">K1253+N1253</f>
        <v>170000</v>
      </c>
      <c r="P1253" s="39" t="n">
        <f aca="false">O1253/J1253</f>
        <v>6612.21314663555</v>
      </c>
      <c r="Q1253" s="19" t="s">
        <v>1718</v>
      </c>
      <c r="R1253" s="22" t="s">
        <v>36</v>
      </c>
      <c r="S1253" s="19" t="s">
        <v>29</v>
      </c>
      <c r="T1253" s="19" t="s">
        <v>30</v>
      </c>
      <c r="U1253" s="19" t="s">
        <v>31</v>
      </c>
      <c r="V1253" s="41" t="n">
        <v>43514</v>
      </c>
      <c r="W1253" s="34" t="s">
        <v>1719</v>
      </c>
      <c r="X1253" s="18"/>
    </row>
    <row r="1254" customFormat="false" ht="13.8" hidden="false" customHeight="false" outlineLevel="0" collapsed="false">
      <c r="A1254" s="34"/>
      <c r="B1254" s="19" t="n">
        <v>3514</v>
      </c>
      <c r="C1254" s="20" t="n">
        <v>43410</v>
      </c>
      <c r="D1254" s="38" t="s">
        <v>22</v>
      </c>
      <c r="E1254" s="22" t="s">
        <v>53</v>
      </c>
      <c r="F1254" s="34" t="s">
        <v>46</v>
      </c>
      <c r="G1254" s="19" t="n">
        <v>257</v>
      </c>
      <c r="H1254" s="19" t="n">
        <v>65</v>
      </c>
      <c r="I1254" s="19" t="n">
        <v>10</v>
      </c>
      <c r="J1254" s="19" t="n">
        <v>57.93</v>
      </c>
      <c r="K1254" s="39" t="n">
        <v>570000</v>
      </c>
      <c r="L1254" s="39" t="n">
        <f aca="false">K1254/J1254</f>
        <v>9839.46141895391</v>
      </c>
      <c r="M1254" s="34"/>
      <c r="N1254" s="40"/>
      <c r="O1254" s="30" t="n">
        <f aca="false">K1254+N1254</f>
        <v>570000</v>
      </c>
      <c r="P1254" s="39" t="n">
        <f aca="false">O1254/J1254</f>
        <v>9839.46141895391</v>
      </c>
      <c r="Q1254" s="19" t="s">
        <v>1720</v>
      </c>
      <c r="R1254" s="22" t="s">
        <v>27</v>
      </c>
      <c r="S1254" s="19" t="s">
        <v>29</v>
      </c>
      <c r="T1254" s="19" t="s">
        <v>30</v>
      </c>
      <c r="U1254" s="19" t="s">
        <v>31</v>
      </c>
      <c r="V1254" s="41" t="n">
        <v>43514</v>
      </c>
      <c r="W1254" s="34" t="s">
        <v>1721</v>
      </c>
      <c r="X1254" s="18"/>
      <c r="Y1254" s="35"/>
      <c r="Z1254" s="43"/>
    </row>
    <row r="1255" customFormat="false" ht="13.8" hidden="false" customHeight="false" outlineLevel="0" collapsed="false">
      <c r="A1255" s="34"/>
      <c r="B1255" s="19" t="n">
        <v>5267</v>
      </c>
      <c r="C1255" s="20" t="n">
        <v>43410</v>
      </c>
      <c r="D1255" s="38" t="s">
        <v>22</v>
      </c>
      <c r="E1255" s="22" t="s">
        <v>229</v>
      </c>
      <c r="F1255" s="34" t="s">
        <v>1722</v>
      </c>
      <c r="G1255" s="19" t="s">
        <v>358</v>
      </c>
      <c r="H1255" s="19" t="s">
        <v>1723</v>
      </c>
      <c r="I1255" s="19" t="n">
        <v>5</v>
      </c>
      <c r="J1255" s="19" t="n">
        <v>37.85</v>
      </c>
      <c r="K1255" s="39" t="n">
        <v>450000</v>
      </c>
      <c r="L1255" s="39" t="n">
        <f aca="false">ROUND(K1255/J1255,2)</f>
        <v>11889.04</v>
      </c>
      <c r="M1255" s="34"/>
      <c r="N1255" s="40"/>
      <c r="O1255" s="30" t="n">
        <f aca="false">K1255+N1255</f>
        <v>450000</v>
      </c>
      <c r="P1255" s="39" t="n">
        <f aca="false">ROUND(O1255/J1255,2)</f>
        <v>11889.04</v>
      </c>
      <c r="Q1255" s="19" t="s">
        <v>1724</v>
      </c>
      <c r="R1255" s="22" t="s">
        <v>36</v>
      </c>
      <c r="S1255" s="19" t="s">
        <v>29</v>
      </c>
      <c r="T1255" s="19" t="s">
        <v>30</v>
      </c>
      <c r="U1255" s="31" t="s">
        <v>31</v>
      </c>
      <c r="V1255" s="41" t="n">
        <v>43514</v>
      </c>
      <c r="W1255" s="18"/>
      <c r="X1255" s="18"/>
    </row>
    <row r="1256" s="32" customFormat="true" ht="13.8" hidden="false" customHeight="false" outlineLevel="0" collapsed="false">
      <c r="A1256" s="34"/>
      <c r="B1256" s="19" t="n">
        <v>11950</v>
      </c>
      <c r="C1256" s="20" t="n">
        <v>43410</v>
      </c>
      <c r="D1256" s="38" t="s">
        <v>22</v>
      </c>
      <c r="E1256" s="22" t="s">
        <v>178</v>
      </c>
      <c r="F1256" s="34" t="s">
        <v>926</v>
      </c>
      <c r="G1256" s="19" t="n">
        <v>6</v>
      </c>
      <c r="H1256" s="19" t="n">
        <v>4</v>
      </c>
      <c r="I1256" s="19"/>
      <c r="J1256" s="19" t="n">
        <v>49.2</v>
      </c>
      <c r="K1256" s="39" t="n">
        <f aca="false">61500*3.8</f>
        <v>233700</v>
      </c>
      <c r="L1256" s="39" t="n">
        <f aca="false">ROUND(K1256/J1256,2)</f>
        <v>4750</v>
      </c>
      <c r="M1256" s="34"/>
      <c r="N1256" s="40"/>
      <c r="O1256" s="30" t="n">
        <f aca="false">K1256+N1256</f>
        <v>233700</v>
      </c>
      <c r="P1256" s="39" t="n">
        <f aca="false">ROUND(O1256/J1256,2)</f>
        <v>4750</v>
      </c>
      <c r="Q1256" s="19" t="s">
        <v>1725</v>
      </c>
      <c r="R1256" s="22" t="s">
        <v>26</v>
      </c>
      <c r="S1256" s="19" t="s">
        <v>29</v>
      </c>
      <c r="T1256" s="19" t="s">
        <v>30</v>
      </c>
      <c r="U1256" s="31" t="s">
        <v>31</v>
      </c>
      <c r="V1256" s="41" t="n">
        <v>43514</v>
      </c>
      <c r="W1256" s="18"/>
      <c r="X1256" s="18"/>
    </row>
    <row r="1257" customFormat="false" ht="13.8" hidden="false" customHeight="false" outlineLevel="0" collapsed="false">
      <c r="A1257" s="34"/>
      <c r="B1257" s="19" t="n">
        <v>3674</v>
      </c>
      <c r="C1257" s="20" t="n">
        <v>43410</v>
      </c>
      <c r="D1257" s="38" t="s">
        <v>22</v>
      </c>
      <c r="E1257" s="22" t="s">
        <v>369</v>
      </c>
      <c r="F1257" s="34" t="s">
        <v>127</v>
      </c>
      <c r="G1257" s="19" t="n">
        <v>20</v>
      </c>
      <c r="H1257" s="19" t="n">
        <v>20</v>
      </c>
      <c r="I1257" s="19" t="n">
        <v>5</v>
      </c>
      <c r="J1257" s="19" t="n">
        <v>43.69</v>
      </c>
      <c r="K1257" s="39" t="n">
        <v>415000</v>
      </c>
      <c r="L1257" s="39" t="n">
        <f aca="false">K1257/J1257</f>
        <v>9498.74113069352</v>
      </c>
      <c r="M1257" s="34"/>
      <c r="N1257" s="40"/>
      <c r="O1257" s="30" t="n">
        <f aca="false">K1257+N1257</f>
        <v>415000</v>
      </c>
      <c r="P1257" s="39" t="n">
        <f aca="false">O1257/J1257</f>
        <v>9498.74113069352</v>
      </c>
      <c r="Q1257" s="19" t="s">
        <v>1486</v>
      </c>
      <c r="R1257" s="22" t="s">
        <v>26</v>
      </c>
      <c r="S1257" s="19" t="s">
        <v>29</v>
      </c>
      <c r="T1257" s="19" t="s">
        <v>30</v>
      </c>
      <c r="U1257" s="19" t="s">
        <v>31</v>
      </c>
      <c r="V1257" s="41" t="n">
        <v>43514</v>
      </c>
      <c r="W1257" s="34" t="s">
        <v>1726</v>
      </c>
      <c r="X1257" s="34"/>
    </row>
    <row r="1258" customFormat="false" ht="13.8" hidden="false" customHeight="false" outlineLevel="0" collapsed="false">
      <c r="A1258" s="34"/>
      <c r="B1258" s="19" t="n">
        <v>5334</v>
      </c>
      <c r="C1258" s="20" t="n">
        <v>43410</v>
      </c>
      <c r="D1258" s="38" t="s">
        <v>22</v>
      </c>
      <c r="E1258" s="22" t="s">
        <v>215</v>
      </c>
      <c r="F1258" s="34" t="s">
        <v>216</v>
      </c>
      <c r="G1258" s="19" t="n">
        <v>2</v>
      </c>
      <c r="H1258" s="19" t="n">
        <v>55</v>
      </c>
      <c r="I1258" s="19" t="n">
        <v>4</v>
      </c>
      <c r="J1258" s="19" t="n">
        <v>45.54</v>
      </c>
      <c r="K1258" s="39" t="n">
        <v>510000</v>
      </c>
      <c r="L1258" s="39" t="n">
        <f aca="false">K1258/J1258</f>
        <v>11198.9459815547</v>
      </c>
      <c r="M1258" s="18"/>
      <c r="N1258" s="40"/>
      <c r="O1258" s="30" t="n">
        <f aca="false">K1258+N1258</f>
        <v>510000</v>
      </c>
      <c r="P1258" s="39" t="n">
        <f aca="false">O1258/J1258</f>
        <v>11198.9459815547</v>
      </c>
      <c r="Q1258" s="19" t="s">
        <v>1727</v>
      </c>
      <c r="R1258" s="22" t="s">
        <v>36</v>
      </c>
      <c r="S1258" s="19" t="s">
        <v>29</v>
      </c>
      <c r="T1258" s="19" t="s">
        <v>30</v>
      </c>
      <c r="U1258" s="19" t="s">
        <v>31</v>
      </c>
      <c r="V1258" s="41" t="n">
        <v>43514</v>
      </c>
      <c r="W1258" s="34" t="s">
        <v>1728</v>
      </c>
      <c r="X1258" s="18"/>
    </row>
    <row r="1259" s="32" customFormat="true" ht="13.8" hidden="false" customHeight="false" outlineLevel="0" collapsed="false">
      <c r="A1259" s="34"/>
      <c r="B1259" s="19" t="n">
        <v>4824</v>
      </c>
      <c r="C1259" s="20" t="n">
        <v>43411</v>
      </c>
      <c r="D1259" s="38" t="s">
        <v>22</v>
      </c>
      <c r="E1259" s="22" t="s">
        <v>646</v>
      </c>
      <c r="F1259" s="34" t="s">
        <v>846</v>
      </c>
      <c r="G1259" s="19" t="n">
        <v>10</v>
      </c>
      <c r="H1259" s="19" t="n">
        <v>50</v>
      </c>
      <c r="I1259" s="19" t="n">
        <v>6</v>
      </c>
      <c r="J1259" s="19" t="n">
        <v>47.8</v>
      </c>
      <c r="K1259" s="39" t="n">
        <v>355000</v>
      </c>
      <c r="L1259" s="39" t="n">
        <f aca="false">K1259/J1259</f>
        <v>7426.77824267783</v>
      </c>
      <c r="M1259" s="34" t="s">
        <v>1729</v>
      </c>
      <c r="N1259" s="40"/>
      <c r="O1259" s="30" t="n">
        <f aca="false">K1259+N1259</f>
        <v>355000</v>
      </c>
      <c r="P1259" s="39" t="n">
        <f aca="false">O1259/J1259</f>
        <v>7426.77824267783</v>
      </c>
      <c r="Q1259" s="19" t="s">
        <v>1730</v>
      </c>
      <c r="R1259" s="22" t="s">
        <v>49</v>
      </c>
      <c r="S1259" s="19" t="s">
        <v>29</v>
      </c>
      <c r="T1259" s="19" t="s">
        <v>30</v>
      </c>
      <c r="U1259" s="19" t="s">
        <v>31</v>
      </c>
      <c r="V1259" s="41" t="n">
        <v>43514</v>
      </c>
      <c r="W1259" s="34" t="s">
        <v>1731</v>
      </c>
      <c r="X1259" s="18"/>
    </row>
    <row r="1260" customFormat="false" ht="13.8" hidden="false" customHeight="false" outlineLevel="0" collapsed="false">
      <c r="A1260" s="34"/>
      <c r="B1260" s="19" t="n">
        <v>2421</v>
      </c>
      <c r="C1260" s="20" t="n">
        <v>43411</v>
      </c>
      <c r="D1260" s="38" t="s">
        <v>22</v>
      </c>
      <c r="E1260" s="22" t="s">
        <v>1732</v>
      </c>
      <c r="F1260" s="34" t="s">
        <v>1733</v>
      </c>
      <c r="G1260" s="19" t="n">
        <v>7</v>
      </c>
      <c r="H1260" s="19" t="n">
        <v>11</v>
      </c>
      <c r="I1260" s="19" t="n">
        <v>3</v>
      </c>
      <c r="J1260" s="19" t="n">
        <v>24.92</v>
      </c>
      <c r="K1260" s="39" t="n">
        <v>326000</v>
      </c>
      <c r="L1260" s="39" t="n">
        <f aca="false">K1260/J1260</f>
        <v>13081.8619582665</v>
      </c>
      <c r="M1260" s="34"/>
      <c r="N1260" s="40"/>
      <c r="O1260" s="30" t="n">
        <f aca="false">K1260+N1260</f>
        <v>326000</v>
      </c>
      <c r="P1260" s="39" t="n">
        <f aca="false">O1260/J1260</f>
        <v>13081.8619582665</v>
      </c>
      <c r="Q1260" s="19" t="s">
        <v>1320</v>
      </c>
      <c r="R1260" s="22" t="s">
        <v>36</v>
      </c>
      <c r="S1260" s="19" t="s">
        <v>29</v>
      </c>
      <c r="T1260" s="19" t="s">
        <v>30</v>
      </c>
      <c r="U1260" s="19" t="s">
        <v>31</v>
      </c>
      <c r="V1260" s="41" t="n">
        <v>43514</v>
      </c>
      <c r="W1260" s="34" t="s">
        <v>1734</v>
      </c>
      <c r="X1260" s="34"/>
    </row>
    <row r="1261" customFormat="false" ht="13.8" hidden="false" customHeight="false" outlineLevel="0" collapsed="false">
      <c r="A1261" s="34"/>
      <c r="B1261" s="19" t="n">
        <v>3463</v>
      </c>
      <c r="C1261" s="20" t="n">
        <v>43411</v>
      </c>
      <c r="D1261" s="38" t="s">
        <v>22</v>
      </c>
      <c r="E1261" s="22" t="s">
        <v>1714</v>
      </c>
      <c r="F1261" s="34" t="s">
        <v>518</v>
      </c>
      <c r="G1261" s="19" t="n">
        <v>2</v>
      </c>
      <c r="H1261" s="19" t="n">
        <v>99</v>
      </c>
      <c r="I1261" s="19" t="n">
        <v>9</v>
      </c>
      <c r="J1261" s="19" t="n">
        <v>87.2</v>
      </c>
      <c r="K1261" s="39" t="n">
        <v>685000</v>
      </c>
      <c r="L1261" s="39" t="n">
        <f aca="false">ROUND(K1261/J1261,2)</f>
        <v>7855.5</v>
      </c>
      <c r="M1261" s="34"/>
      <c r="N1261" s="40"/>
      <c r="O1261" s="30" t="n">
        <f aca="false">K1261+N1261</f>
        <v>685000</v>
      </c>
      <c r="P1261" s="39" t="n">
        <f aca="false">ROUND(O1261/J1261,2)</f>
        <v>7855.5</v>
      </c>
      <c r="Q1261" s="19" t="s">
        <v>1704</v>
      </c>
      <c r="R1261" s="22" t="s">
        <v>26</v>
      </c>
      <c r="S1261" s="19" t="s">
        <v>29</v>
      </c>
      <c r="T1261" s="19" t="s">
        <v>30</v>
      </c>
      <c r="U1261" s="31" t="s">
        <v>31</v>
      </c>
      <c r="V1261" s="41" t="n">
        <v>43514</v>
      </c>
      <c r="W1261" s="18"/>
      <c r="X1261" s="18"/>
    </row>
    <row r="1262" customFormat="false" ht="13.8" hidden="false" customHeight="false" outlineLevel="0" collapsed="false">
      <c r="A1262" s="34"/>
      <c r="B1262" s="19" t="n">
        <v>4986</v>
      </c>
      <c r="C1262" s="20" t="n">
        <v>43411</v>
      </c>
      <c r="D1262" s="38" t="s">
        <v>22</v>
      </c>
      <c r="E1262" s="22" t="s">
        <v>433</v>
      </c>
      <c r="F1262" s="34" t="s">
        <v>1735</v>
      </c>
      <c r="G1262" s="19" t="n">
        <v>7</v>
      </c>
      <c r="H1262" s="19" t="n">
        <v>137</v>
      </c>
      <c r="I1262" s="19" t="n">
        <v>7</v>
      </c>
      <c r="J1262" s="19" t="n">
        <v>43.51</v>
      </c>
      <c r="K1262" s="39" t="n">
        <v>379224.89</v>
      </c>
      <c r="L1262" s="39" t="n">
        <f aca="false">ROUND(K1262/J1262,2)</f>
        <v>8715.81</v>
      </c>
      <c r="M1262" s="48" t="s">
        <v>940</v>
      </c>
      <c r="N1262" s="40" t="n">
        <v>20000</v>
      </c>
      <c r="O1262" s="30" t="n">
        <f aca="false">K1262+N1262</f>
        <v>399224.89</v>
      </c>
      <c r="P1262" s="39" t="n">
        <f aca="false">ROUND(O1262/J1262,2)</f>
        <v>9175.47</v>
      </c>
      <c r="Q1262" s="19" t="s">
        <v>1724</v>
      </c>
      <c r="R1262" s="22" t="s">
        <v>36</v>
      </c>
      <c r="S1262" s="19" t="s">
        <v>29</v>
      </c>
      <c r="T1262" s="19" t="s">
        <v>30</v>
      </c>
      <c r="U1262" s="31" t="s">
        <v>31</v>
      </c>
      <c r="V1262" s="41" t="n">
        <v>43514</v>
      </c>
      <c r="W1262" s="18"/>
      <c r="X1262" s="18"/>
      <c r="Y1262" s="35"/>
      <c r="Z1262" s="43"/>
    </row>
    <row r="1263" s="32" customFormat="true" ht="13.8" hidden="false" customHeight="false" outlineLevel="0" collapsed="false">
      <c r="A1263" s="34"/>
      <c r="B1263" s="19" t="n">
        <v>12289</v>
      </c>
      <c r="C1263" s="20" t="n">
        <v>43411</v>
      </c>
      <c r="D1263" s="38" t="s">
        <v>22</v>
      </c>
      <c r="E1263" s="22" t="s">
        <v>109</v>
      </c>
      <c r="F1263" s="34" t="s">
        <v>110</v>
      </c>
      <c r="G1263" s="19" t="n">
        <v>8</v>
      </c>
      <c r="H1263" s="19" t="n">
        <v>9</v>
      </c>
      <c r="I1263" s="19" t="n">
        <v>4</v>
      </c>
      <c r="J1263" s="19" t="n">
        <v>65.8</v>
      </c>
      <c r="K1263" s="39" t="n">
        <v>765000</v>
      </c>
      <c r="L1263" s="39" t="n">
        <f aca="false">ROUND(K1263/J1263,2)</f>
        <v>11626.14</v>
      </c>
      <c r="M1263" s="34"/>
      <c r="N1263" s="40"/>
      <c r="O1263" s="30" t="n">
        <f aca="false">K1263+N1263</f>
        <v>765000</v>
      </c>
      <c r="P1263" s="39" t="n">
        <f aca="false">ROUND(O1263/J1263,2)</f>
        <v>11626.14</v>
      </c>
      <c r="Q1263" s="19" t="s">
        <v>1351</v>
      </c>
      <c r="R1263" s="22" t="s">
        <v>26</v>
      </c>
      <c r="S1263" s="19" t="s">
        <v>29</v>
      </c>
      <c r="T1263" s="19" t="s">
        <v>30</v>
      </c>
      <c r="U1263" s="31" t="s">
        <v>31</v>
      </c>
      <c r="V1263" s="41" t="n">
        <v>43514</v>
      </c>
      <c r="W1263" s="18"/>
      <c r="X1263" s="18"/>
    </row>
    <row r="1264" customFormat="false" ht="13.8" hidden="false" customHeight="false" outlineLevel="0" collapsed="false">
      <c r="A1264" s="34"/>
      <c r="B1264" s="19" t="n">
        <v>2371</v>
      </c>
      <c r="C1264" s="20" t="n">
        <v>43411</v>
      </c>
      <c r="D1264" s="38" t="s">
        <v>22</v>
      </c>
      <c r="E1264" s="22" t="s">
        <v>284</v>
      </c>
      <c r="F1264" s="34" t="s">
        <v>404</v>
      </c>
      <c r="G1264" s="51" t="s">
        <v>1736</v>
      </c>
      <c r="H1264" s="19" t="n">
        <v>15</v>
      </c>
      <c r="I1264" s="19" t="n">
        <v>4</v>
      </c>
      <c r="J1264" s="19" t="n">
        <v>29.51</v>
      </c>
      <c r="K1264" s="39" t="n">
        <v>300000</v>
      </c>
      <c r="L1264" s="39" t="n">
        <f aca="false">ROUND(K1264/J1264,2)</f>
        <v>10166.05</v>
      </c>
      <c r="M1264" s="34"/>
      <c r="N1264" s="40"/>
      <c r="O1264" s="30" t="n">
        <f aca="false">K1264+N1264</f>
        <v>300000</v>
      </c>
      <c r="P1264" s="39" t="n">
        <f aca="false">ROUND(O1264/J1264,2)</f>
        <v>10166.05</v>
      </c>
      <c r="Q1264" s="19" t="s">
        <v>1695</v>
      </c>
      <c r="R1264" s="22" t="s">
        <v>36</v>
      </c>
      <c r="S1264" s="19" t="s">
        <v>29</v>
      </c>
      <c r="T1264" s="19" t="s">
        <v>30</v>
      </c>
      <c r="U1264" s="31" t="s">
        <v>31</v>
      </c>
      <c r="V1264" s="41" t="n">
        <v>43514</v>
      </c>
      <c r="W1264" s="18"/>
      <c r="X1264" s="18"/>
    </row>
    <row r="1265" customFormat="false" ht="13.8" hidden="false" customHeight="false" outlineLevel="0" collapsed="false">
      <c r="A1265" s="34"/>
      <c r="B1265" s="19" t="n">
        <v>6950</v>
      </c>
      <c r="C1265" s="20" t="n">
        <v>43411</v>
      </c>
      <c r="D1265" s="38" t="s">
        <v>22</v>
      </c>
      <c r="E1265" s="22" t="s">
        <v>302</v>
      </c>
      <c r="F1265" s="34" t="s">
        <v>1161</v>
      </c>
      <c r="G1265" s="51" t="s">
        <v>1737</v>
      </c>
      <c r="H1265" s="19" t="n">
        <v>51</v>
      </c>
      <c r="I1265" s="19" t="n">
        <v>10</v>
      </c>
      <c r="J1265" s="19" t="n">
        <v>28.05</v>
      </c>
      <c r="K1265" s="39" t="n">
        <v>240000</v>
      </c>
      <c r="L1265" s="27" t="n">
        <f aca="false">K1265/J1265</f>
        <v>8556.14973262032</v>
      </c>
      <c r="M1265" s="50"/>
      <c r="N1265" s="29"/>
      <c r="O1265" s="30" t="n">
        <f aca="false">K1265+N1265</f>
        <v>240000</v>
      </c>
      <c r="P1265" s="30" t="n">
        <f aca="false">O1265/J1265</f>
        <v>8556.14973262032</v>
      </c>
      <c r="Q1265" s="19" t="s">
        <v>1181</v>
      </c>
      <c r="R1265" s="22" t="s">
        <v>27</v>
      </c>
      <c r="S1265" s="19" t="s">
        <v>29</v>
      </c>
      <c r="T1265" s="19" t="s">
        <v>30</v>
      </c>
      <c r="U1265" s="31" t="s">
        <v>31</v>
      </c>
      <c r="V1265" s="41" t="n">
        <v>43601</v>
      </c>
      <c r="W1265" s="34" t="s">
        <v>1738</v>
      </c>
      <c r="X1265" s="18"/>
    </row>
    <row r="1266" customFormat="false" ht="13.8" hidden="false" customHeight="false" outlineLevel="0" collapsed="false">
      <c r="A1266" s="34"/>
      <c r="B1266" s="19" t="n">
        <v>12268</v>
      </c>
      <c r="C1266" s="20" t="n">
        <v>43411</v>
      </c>
      <c r="D1266" s="38" t="s">
        <v>22</v>
      </c>
      <c r="E1266" s="22" t="s">
        <v>175</v>
      </c>
      <c r="F1266" s="34" t="s">
        <v>485</v>
      </c>
      <c r="G1266" s="19" t="n">
        <v>45</v>
      </c>
      <c r="H1266" s="19" t="n">
        <v>18</v>
      </c>
      <c r="I1266" s="19" t="n">
        <v>4</v>
      </c>
      <c r="J1266" s="19" t="n">
        <v>36.12</v>
      </c>
      <c r="K1266" s="39" t="n">
        <v>260000</v>
      </c>
      <c r="L1266" s="39" t="n">
        <f aca="false">ROUND(K1266/J1266,2)</f>
        <v>7198.23</v>
      </c>
      <c r="M1266" s="34"/>
      <c r="N1266" s="40"/>
      <c r="O1266" s="30" t="n">
        <f aca="false">K1266+N1266</f>
        <v>260000</v>
      </c>
      <c r="P1266" s="39" t="n">
        <f aca="false">ROUND(O1266/J1266,2)</f>
        <v>7198.23</v>
      </c>
      <c r="Q1266" s="19" t="s">
        <v>1695</v>
      </c>
      <c r="R1266" s="22" t="s">
        <v>36</v>
      </c>
      <c r="S1266" s="19" t="s">
        <v>29</v>
      </c>
      <c r="T1266" s="19" t="s">
        <v>30</v>
      </c>
      <c r="U1266" s="31" t="s">
        <v>31</v>
      </c>
      <c r="V1266" s="41" t="n">
        <v>43514</v>
      </c>
      <c r="W1266" s="18"/>
      <c r="X1266" s="18"/>
    </row>
    <row r="1267" s="32" customFormat="true" ht="13.8" hidden="false" customHeight="false" outlineLevel="0" collapsed="false">
      <c r="A1267" s="34"/>
      <c r="B1267" s="19" t="n">
        <v>54903</v>
      </c>
      <c r="C1267" s="20" t="n">
        <v>43412</v>
      </c>
      <c r="D1267" s="38" t="s">
        <v>22</v>
      </c>
      <c r="E1267" s="22" t="s">
        <v>281</v>
      </c>
      <c r="F1267" s="34" t="s">
        <v>1707</v>
      </c>
      <c r="G1267" s="38" t="n">
        <v>133</v>
      </c>
      <c r="H1267" s="19" t="n">
        <v>26</v>
      </c>
      <c r="I1267" s="19" t="n">
        <v>5</v>
      </c>
      <c r="J1267" s="19" t="n">
        <v>45.33</v>
      </c>
      <c r="K1267" s="39" t="n">
        <v>465000</v>
      </c>
      <c r="L1267" s="39" t="n">
        <f aca="false">ROUND(K1267/J1267,2)</f>
        <v>10258.11</v>
      </c>
      <c r="M1267" s="34"/>
      <c r="N1267" s="40"/>
      <c r="O1267" s="30" t="n">
        <f aca="false">K1267+N1267</f>
        <v>465000</v>
      </c>
      <c r="P1267" s="39" t="n">
        <f aca="false">ROUND(O1267/J1267,2)</f>
        <v>10258.11</v>
      </c>
      <c r="Q1267" s="19" t="s">
        <v>1351</v>
      </c>
      <c r="R1267" s="22" t="s">
        <v>26</v>
      </c>
      <c r="S1267" s="19" t="s">
        <v>29</v>
      </c>
      <c r="T1267" s="19" t="s">
        <v>30</v>
      </c>
      <c r="U1267" s="31" t="s">
        <v>31</v>
      </c>
      <c r="V1267" s="41" t="n">
        <v>43514</v>
      </c>
      <c r="W1267" s="18"/>
      <c r="X1267" s="18"/>
    </row>
    <row r="1268" customFormat="false" ht="13.8" hidden="false" customHeight="false" outlineLevel="0" collapsed="false">
      <c r="A1268" s="34"/>
      <c r="B1268" s="19" t="n">
        <v>4661</v>
      </c>
      <c r="C1268" s="20" t="n">
        <v>43412</v>
      </c>
      <c r="D1268" s="38" t="s">
        <v>22</v>
      </c>
      <c r="E1268" s="22" t="s">
        <v>452</v>
      </c>
      <c r="F1268" s="34" t="s">
        <v>199</v>
      </c>
      <c r="G1268" s="19" t="s">
        <v>1001</v>
      </c>
      <c r="H1268" s="19" t="n">
        <v>33</v>
      </c>
      <c r="I1268" s="19" t="n">
        <v>3</v>
      </c>
      <c r="J1268" s="19" t="n">
        <v>77.33</v>
      </c>
      <c r="K1268" s="39" t="n">
        <v>850000</v>
      </c>
      <c r="L1268" s="39" t="n">
        <f aca="false">ROUND(K1268/J1268,2)</f>
        <v>10991.85</v>
      </c>
      <c r="M1268" s="48" t="s">
        <v>1739</v>
      </c>
      <c r="N1268" s="40"/>
      <c r="O1268" s="30" t="n">
        <f aca="false">K1268+N1268</f>
        <v>850000</v>
      </c>
      <c r="P1268" s="39" t="n">
        <f aca="false">ROUND(O1268/J1268,2)</f>
        <v>10991.85</v>
      </c>
      <c r="Q1268" s="19" t="s">
        <v>1667</v>
      </c>
      <c r="R1268" s="22" t="s">
        <v>49</v>
      </c>
      <c r="S1268" s="19" t="s">
        <v>29</v>
      </c>
      <c r="T1268" s="19" t="s">
        <v>30</v>
      </c>
      <c r="U1268" s="31" t="s">
        <v>31</v>
      </c>
      <c r="V1268" s="41" t="n">
        <v>43514</v>
      </c>
      <c r="W1268" s="18"/>
      <c r="X1268" s="18"/>
    </row>
    <row r="1269" customFormat="false" ht="13.8" hidden="false" customHeight="false" outlineLevel="0" collapsed="false">
      <c r="A1269" s="34"/>
      <c r="B1269" s="19" t="n">
        <v>3181</v>
      </c>
      <c r="C1269" s="20" t="n">
        <v>43412</v>
      </c>
      <c r="D1269" s="38" t="s">
        <v>22</v>
      </c>
      <c r="E1269" s="22" t="s">
        <v>65</v>
      </c>
      <c r="F1269" s="34" t="s">
        <v>1740</v>
      </c>
      <c r="G1269" s="19" t="n">
        <v>70</v>
      </c>
      <c r="H1269" s="19" t="n">
        <v>88</v>
      </c>
      <c r="I1269" s="19" t="n">
        <v>9</v>
      </c>
      <c r="J1269" s="19" t="n">
        <v>58</v>
      </c>
      <c r="K1269" s="39" t="n">
        <v>535000</v>
      </c>
      <c r="L1269" s="39" t="n">
        <f aca="false">K1269/J1269</f>
        <v>9224.13793103448</v>
      </c>
      <c r="M1269" s="34" t="s">
        <v>1461</v>
      </c>
      <c r="N1269" s="40"/>
      <c r="O1269" s="30" t="n">
        <f aca="false">K1269+N1269</f>
        <v>535000</v>
      </c>
      <c r="P1269" s="39" t="n">
        <f aca="false">O1269/J1269</f>
        <v>9224.13793103448</v>
      </c>
      <c r="Q1269" s="19" t="s">
        <v>1741</v>
      </c>
      <c r="R1269" s="22" t="s">
        <v>26</v>
      </c>
      <c r="S1269" s="19" t="s">
        <v>29</v>
      </c>
      <c r="T1269" s="19" t="s">
        <v>30</v>
      </c>
      <c r="U1269" s="19" t="s">
        <v>31</v>
      </c>
      <c r="V1269" s="41" t="n">
        <v>43514</v>
      </c>
      <c r="W1269" s="34" t="s">
        <v>1742</v>
      </c>
      <c r="X1269" s="34"/>
    </row>
    <row r="1270" customFormat="false" ht="13.8" hidden="false" customHeight="false" outlineLevel="0" collapsed="false">
      <c r="A1270" s="34"/>
      <c r="B1270" s="19" t="n">
        <v>8024</v>
      </c>
      <c r="C1270" s="20" t="n">
        <v>43412</v>
      </c>
      <c r="D1270" s="38" t="s">
        <v>22</v>
      </c>
      <c r="E1270" s="22" t="s">
        <v>187</v>
      </c>
      <c r="F1270" s="34" t="s">
        <v>429</v>
      </c>
      <c r="G1270" s="19" t="n">
        <v>40</v>
      </c>
      <c r="H1270" s="19" t="n">
        <v>4</v>
      </c>
      <c r="I1270" s="19" t="n">
        <v>2</v>
      </c>
      <c r="J1270" s="19" t="n">
        <v>73.32</v>
      </c>
      <c r="K1270" s="39" t="n">
        <v>700000</v>
      </c>
      <c r="L1270" s="39" t="n">
        <f aca="false">ROUND(K1270/J1270,2)</f>
        <v>9547.19</v>
      </c>
      <c r="M1270" s="18"/>
      <c r="N1270" s="40"/>
      <c r="O1270" s="30" t="n">
        <f aca="false">K1270+N1270</f>
        <v>700000</v>
      </c>
      <c r="P1270" s="39" t="n">
        <f aca="false">ROUND(O1270/J1270,2)</f>
        <v>9547.19</v>
      </c>
      <c r="Q1270" s="19" t="s">
        <v>1667</v>
      </c>
      <c r="R1270" s="22" t="s">
        <v>49</v>
      </c>
      <c r="S1270" s="19" t="s">
        <v>29</v>
      </c>
      <c r="T1270" s="19" t="s">
        <v>30</v>
      </c>
      <c r="U1270" s="31" t="s">
        <v>31</v>
      </c>
      <c r="V1270" s="41" t="n">
        <v>43514</v>
      </c>
      <c r="W1270" s="18"/>
      <c r="X1270" s="18"/>
    </row>
    <row r="1271" customFormat="false" ht="13.8" hidden="false" customHeight="false" outlineLevel="0" collapsed="false">
      <c r="A1271" s="34"/>
      <c r="B1271" s="19" t="n">
        <v>11805</v>
      </c>
      <c r="C1271" s="20" t="n">
        <v>43412</v>
      </c>
      <c r="D1271" s="38" t="s">
        <v>22</v>
      </c>
      <c r="E1271" s="22" t="s">
        <v>302</v>
      </c>
      <c r="F1271" s="34" t="s">
        <v>303</v>
      </c>
      <c r="G1271" s="19" t="s">
        <v>304</v>
      </c>
      <c r="H1271" s="19" t="n">
        <v>18</v>
      </c>
      <c r="I1271" s="19" t="n">
        <v>3</v>
      </c>
      <c r="J1271" s="19" t="n">
        <v>17.79</v>
      </c>
      <c r="K1271" s="39" t="n">
        <v>165000</v>
      </c>
      <c r="L1271" s="27" t="n">
        <f aca="false">K1271/J1271</f>
        <v>9274.87352445194</v>
      </c>
      <c r="M1271" s="50"/>
      <c r="N1271" s="29"/>
      <c r="O1271" s="30" t="n">
        <f aca="false">K1271+N1271</f>
        <v>165000</v>
      </c>
      <c r="P1271" s="30" t="n">
        <f aca="false">O1271/J1271</f>
        <v>9274.87352445194</v>
      </c>
      <c r="Q1271" s="19" t="s">
        <v>1181</v>
      </c>
      <c r="R1271" s="22" t="s">
        <v>27</v>
      </c>
      <c r="S1271" s="19" t="s">
        <v>29</v>
      </c>
      <c r="T1271" s="19" t="s">
        <v>30</v>
      </c>
      <c r="U1271" s="31" t="s">
        <v>31</v>
      </c>
      <c r="V1271" s="41" t="n">
        <v>43601</v>
      </c>
      <c r="W1271" s="34" t="s">
        <v>1743</v>
      </c>
      <c r="X1271" s="18"/>
    </row>
    <row r="1272" customFormat="false" ht="13.8" hidden="false" customHeight="false" outlineLevel="0" collapsed="false">
      <c r="A1272" s="34"/>
      <c r="B1272" s="19" t="n">
        <v>4118</v>
      </c>
      <c r="C1272" s="20" t="n">
        <v>43413</v>
      </c>
      <c r="D1272" s="38" t="s">
        <v>22</v>
      </c>
      <c r="E1272" s="22" t="s">
        <v>65</v>
      </c>
      <c r="F1272" s="34" t="s">
        <v>100</v>
      </c>
      <c r="G1272" s="19" t="n">
        <v>5</v>
      </c>
      <c r="H1272" s="19" t="n">
        <v>93</v>
      </c>
      <c r="I1272" s="19" t="n">
        <v>11</v>
      </c>
      <c r="J1272" s="19" t="n">
        <v>30.9</v>
      </c>
      <c r="K1272" s="39" t="n">
        <v>195000</v>
      </c>
      <c r="L1272" s="39" t="n">
        <f aca="false">ROUND(K1272/J1272,2)</f>
        <v>6310.68</v>
      </c>
      <c r="M1272" s="34"/>
      <c r="N1272" s="40"/>
      <c r="O1272" s="30" t="n">
        <f aca="false">K1272+N1272</f>
        <v>195000</v>
      </c>
      <c r="P1272" s="39" t="n">
        <f aca="false">ROUND(O1272/J1272,2)</f>
        <v>6310.68</v>
      </c>
      <c r="Q1272" s="19" t="s">
        <v>1695</v>
      </c>
      <c r="R1272" s="22" t="s">
        <v>36</v>
      </c>
      <c r="S1272" s="19" t="s">
        <v>29</v>
      </c>
      <c r="T1272" s="19" t="s">
        <v>30</v>
      </c>
      <c r="U1272" s="31" t="s">
        <v>31</v>
      </c>
      <c r="V1272" s="41" t="n">
        <v>43514</v>
      </c>
      <c r="W1272" s="34"/>
      <c r="X1272" s="34"/>
    </row>
    <row r="1273" customFormat="false" ht="13.8" hidden="false" customHeight="false" outlineLevel="0" collapsed="false">
      <c r="A1273" s="34"/>
      <c r="B1273" s="19" t="n">
        <v>3574</v>
      </c>
      <c r="C1273" s="20" t="n">
        <v>43413</v>
      </c>
      <c r="D1273" s="38" t="s">
        <v>22</v>
      </c>
      <c r="E1273" s="22" t="s">
        <v>61</v>
      </c>
      <c r="F1273" s="34" t="s">
        <v>62</v>
      </c>
      <c r="G1273" s="19" t="n">
        <v>1</v>
      </c>
      <c r="H1273" s="19" t="n">
        <v>506</v>
      </c>
      <c r="I1273" s="19" t="n">
        <v>9</v>
      </c>
      <c r="J1273" s="19" t="n">
        <v>42.86</v>
      </c>
      <c r="K1273" s="39" t="n">
        <v>356850</v>
      </c>
      <c r="L1273" s="39" t="n">
        <f aca="false">ROUND(K1273/J1273,2)</f>
        <v>8325.94</v>
      </c>
      <c r="M1273" s="34"/>
      <c r="N1273" s="40"/>
      <c r="O1273" s="30" t="n">
        <f aca="false">K1273+N1273</f>
        <v>356850</v>
      </c>
      <c r="P1273" s="39" t="n">
        <f aca="false">ROUND(O1273/J1273,2)</f>
        <v>8325.94</v>
      </c>
      <c r="Q1273" s="19" t="s">
        <v>1351</v>
      </c>
      <c r="R1273" s="22" t="s">
        <v>26</v>
      </c>
      <c r="S1273" s="19" t="s">
        <v>29</v>
      </c>
      <c r="T1273" s="19" t="s">
        <v>30</v>
      </c>
      <c r="U1273" s="31" t="s">
        <v>31</v>
      </c>
      <c r="V1273" s="41" t="n">
        <v>43514</v>
      </c>
      <c r="W1273" s="18"/>
      <c r="X1273" s="18"/>
    </row>
    <row r="1274" s="32" customFormat="true" ht="13.8" hidden="false" customHeight="false" outlineLevel="0" collapsed="false">
      <c r="A1274" s="34"/>
      <c r="B1274" s="19" t="n">
        <v>10307</v>
      </c>
      <c r="C1274" s="20" t="n">
        <v>43413</v>
      </c>
      <c r="D1274" s="38" t="s">
        <v>22</v>
      </c>
      <c r="E1274" s="22" t="s">
        <v>287</v>
      </c>
      <c r="F1274" s="34" t="s">
        <v>288</v>
      </c>
      <c r="G1274" s="19" t="s">
        <v>1744</v>
      </c>
      <c r="H1274" s="19" t="n">
        <v>2</v>
      </c>
      <c r="I1274" s="19" t="n">
        <v>1</v>
      </c>
      <c r="J1274" s="19" t="n">
        <v>48.11</v>
      </c>
      <c r="K1274" s="39" t="n">
        <v>468000</v>
      </c>
      <c r="L1274" s="39" t="n">
        <f aca="false">ROUND(K1274/J1274,2)</f>
        <v>9727.71</v>
      </c>
      <c r="M1274" s="34"/>
      <c r="N1274" s="40"/>
      <c r="O1274" s="30" t="n">
        <f aca="false">K1274+N1274</f>
        <v>468000</v>
      </c>
      <c r="P1274" s="39" t="n">
        <f aca="false">ROUND(O1274/J1274,2)</f>
        <v>9727.71</v>
      </c>
      <c r="Q1274" s="19" t="s">
        <v>1351</v>
      </c>
      <c r="R1274" s="22" t="s">
        <v>26</v>
      </c>
      <c r="S1274" s="19" t="s">
        <v>29</v>
      </c>
      <c r="T1274" s="19" t="s">
        <v>30</v>
      </c>
      <c r="U1274" s="31" t="s">
        <v>31</v>
      </c>
      <c r="V1274" s="41" t="n">
        <v>43514</v>
      </c>
      <c r="W1274" s="18"/>
      <c r="X1274" s="18"/>
    </row>
    <row r="1275" customFormat="false" ht="13.8" hidden="false" customHeight="false" outlineLevel="0" collapsed="false">
      <c r="A1275" s="34"/>
      <c r="B1275" s="19" t="n">
        <v>3363</v>
      </c>
      <c r="C1275" s="20" t="n">
        <v>43413</v>
      </c>
      <c r="D1275" s="38" t="s">
        <v>22</v>
      </c>
      <c r="E1275" s="22" t="s">
        <v>190</v>
      </c>
      <c r="F1275" s="34" t="s">
        <v>386</v>
      </c>
      <c r="G1275" s="19" t="n">
        <v>17</v>
      </c>
      <c r="H1275" s="19" t="n">
        <v>20</v>
      </c>
      <c r="I1275" s="19" t="n">
        <v>2</v>
      </c>
      <c r="J1275" s="19" t="n">
        <v>39.7</v>
      </c>
      <c r="K1275" s="39" t="n">
        <v>300000</v>
      </c>
      <c r="L1275" s="39" t="n">
        <f aca="false">ROUND(K1275/J1275,2)</f>
        <v>7556.68</v>
      </c>
      <c r="M1275" s="34"/>
      <c r="N1275" s="40"/>
      <c r="O1275" s="30" t="n">
        <f aca="false">K1275+N1275</f>
        <v>300000</v>
      </c>
      <c r="P1275" s="39" t="n">
        <f aca="false">ROUND(O1275/J1275,2)</f>
        <v>7556.68</v>
      </c>
      <c r="Q1275" s="19" t="s">
        <v>1695</v>
      </c>
      <c r="R1275" s="22" t="s">
        <v>36</v>
      </c>
      <c r="S1275" s="19" t="s">
        <v>29</v>
      </c>
      <c r="T1275" s="19" t="s">
        <v>30</v>
      </c>
      <c r="U1275" s="31" t="s">
        <v>31</v>
      </c>
      <c r="V1275" s="41" t="n">
        <v>43514</v>
      </c>
      <c r="W1275" s="18"/>
      <c r="X1275" s="18"/>
    </row>
    <row r="1276" customFormat="false" ht="13.8" hidden="false" customHeight="false" outlineLevel="0" collapsed="false">
      <c r="A1276" s="34"/>
      <c r="B1276" s="19" t="n">
        <v>9473</v>
      </c>
      <c r="C1276" s="20" t="n">
        <v>43413</v>
      </c>
      <c r="D1276" s="38" t="s">
        <v>22</v>
      </c>
      <c r="E1276" s="22" t="s">
        <v>65</v>
      </c>
      <c r="F1276" s="34" t="s">
        <v>507</v>
      </c>
      <c r="G1276" s="19" t="n">
        <v>1</v>
      </c>
      <c r="H1276" s="19" t="n">
        <v>359</v>
      </c>
      <c r="I1276" s="19" t="n">
        <v>8</v>
      </c>
      <c r="J1276" s="19" t="n">
        <v>56.2</v>
      </c>
      <c r="K1276" s="39" t="n">
        <v>399000</v>
      </c>
      <c r="L1276" s="39" t="n">
        <f aca="false">ROUND(K1276/J1276,2)</f>
        <v>7099.64</v>
      </c>
      <c r="M1276" s="34"/>
      <c r="N1276" s="40"/>
      <c r="O1276" s="30" t="n">
        <f aca="false">K1276+N1276</f>
        <v>399000</v>
      </c>
      <c r="P1276" s="39" t="n">
        <f aca="false">ROUND(O1276/J1276,2)</f>
        <v>7099.64</v>
      </c>
      <c r="Q1276" s="19" t="s">
        <v>1667</v>
      </c>
      <c r="R1276" s="22" t="s">
        <v>49</v>
      </c>
      <c r="S1276" s="19" t="s">
        <v>29</v>
      </c>
      <c r="T1276" s="19" t="s">
        <v>30</v>
      </c>
      <c r="U1276" s="31" t="s">
        <v>31</v>
      </c>
      <c r="V1276" s="41" t="n">
        <v>43514</v>
      </c>
      <c r="W1276" s="34"/>
      <c r="X1276" s="34"/>
    </row>
    <row r="1277" s="32" customFormat="true" ht="13.8" hidden="false" customHeight="false" outlineLevel="0" collapsed="false">
      <c r="A1277" s="34"/>
      <c r="B1277" s="19" t="n">
        <v>3754</v>
      </c>
      <c r="C1277" s="20" t="n">
        <v>43413</v>
      </c>
      <c r="D1277" s="38" t="s">
        <v>22</v>
      </c>
      <c r="E1277" s="22" t="s">
        <v>543</v>
      </c>
      <c r="F1277" s="34" t="s">
        <v>351</v>
      </c>
      <c r="G1277" s="19" t="s">
        <v>274</v>
      </c>
      <c r="H1277" s="19" t="n">
        <v>207</v>
      </c>
      <c r="I1277" s="19" t="n">
        <v>4</v>
      </c>
      <c r="J1277" s="19" t="n">
        <v>69.72</v>
      </c>
      <c r="K1277" s="39" t="n">
        <v>660000</v>
      </c>
      <c r="L1277" s="39" t="n">
        <f aca="false">ROUND(K1277/J1277,2)</f>
        <v>9466.44</v>
      </c>
      <c r="M1277" s="48" t="s">
        <v>940</v>
      </c>
      <c r="N1277" s="40" t="n">
        <v>25000</v>
      </c>
      <c r="O1277" s="30" t="n">
        <f aca="false">K1277+N1277</f>
        <v>685000</v>
      </c>
      <c r="P1277" s="39" t="n">
        <f aca="false">ROUND(O1277/J1277,2)</f>
        <v>9825.01</v>
      </c>
      <c r="Q1277" s="19" t="s">
        <v>1351</v>
      </c>
      <c r="R1277" s="22" t="s">
        <v>26</v>
      </c>
      <c r="S1277" s="19" t="s">
        <v>29</v>
      </c>
      <c r="T1277" s="19" t="s">
        <v>30</v>
      </c>
      <c r="U1277" s="31" t="s">
        <v>31</v>
      </c>
      <c r="V1277" s="41" t="n">
        <v>43514</v>
      </c>
      <c r="W1277" s="18"/>
      <c r="X1277" s="18"/>
    </row>
    <row r="1278" customFormat="false" ht="13.8" hidden="false" customHeight="false" outlineLevel="0" collapsed="false">
      <c r="A1278" s="34"/>
      <c r="B1278" s="19" t="n">
        <v>3192</v>
      </c>
      <c r="C1278" s="20" t="n">
        <v>43413</v>
      </c>
      <c r="D1278" s="38" t="s">
        <v>22</v>
      </c>
      <c r="E1278" s="22" t="s">
        <v>178</v>
      </c>
      <c r="F1278" s="34" t="s">
        <v>387</v>
      </c>
      <c r="G1278" s="19" t="n">
        <v>67</v>
      </c>
      <c r="H1278" s="19" t="n">
        <v>72</v>
      </c>
      <c r="I1278" s="19" t="n">
        <v>4</v>
      </c>
      <c r="J1278" s="19" t="n">
        <v>73.2</v>
      </c>
      <c r="K1278" s="39" t="n">
        <v>660000</v>
      </c>
      <c r="L1278" s="39" t="n">
        <f aca="false">K1278/J1278</f>
        <v>9016.39344262295</v>
      </c>
      <c r="M1278" s="34" t="s">
        <v>1745</v>
      </c>
      <c r="N1278" s="40"/>
      <c r="O1278" s="30" t="n">
        <f aca="false">K1278+N1278</f>
        <v>660000</v>
      </c>
      <c r="P1278" s="39" t="n">
        <f aca="false">O1278/J1278</f>
        <v>9016.39344262295</v>
      </c>
      <c r="Q1278" s="19" t="s">
        <v>1573</v>
      </c>
      <c r="R1278" s="22" t="s">
        <v>26</v>
      </c>
      <c r="S1278" s="19" t="s">
        <v>29</v>
      </c>
      <c r="T1278" s="19" t="s">
        <v>30</v>
      </c>
      <c r="U1278" s="31" t="s">
        <v>31</v>
      </c>
      <c r="V1278" s="41" t="n">
        <v>43691</v>
      </c>
      <c r="W1278" s="34" t="s">
        <v>1746</v>
      </c>
      <c r="X1278" s="34"/>
    </row>
    <row r="1279" customFormat="false" ht="13.8" hidden="false" customHeight="false" outlineLevel="0" collapsed="false">
      <c r="A1279" s="34"/>
      <c r="B1279" s="19" t="n">
        <v>6275</v>
      </c>
      <c r="C1279" s="20" t="n">
        <v>43413</v>
      </c>
      <c r="D1279" s="38" t="s">
        <v>22</v>
      </c>
      <c r="E1279" s="22" t="s">
        <v>934</v>
      </c>
      <c r="F1279" s="34" t="s">
        <v>46</v>
      </c>
      <c r="G1279" s="19" t="s">
        <v>1747</v>
      </c>
      <c r="H1279" s="19"/>
      <c r="I1279" s="19" t="n">
        <v>3</v>
      </c>
      <c r="J1279" s="25" t="n">
        <v>63.24</v>
      </c>
      <c r="K1279" s="39" t="n">
        <v>620000</v>
      </c>
      <c r="L1279" s="39" t="n">
        <v>9803.92</v>
      </c>
      <c r="M1279" s="34"/>
      <c r="N1279" s="40"/>
      <c r="O1279" s="39" t="n">
        <v>620000</v>
      </c>
      <c r="P1279" s="39" t="n">
        <v>9803.92156862745</v>
      </c>
      <c r="Q1279" s="19" t="s">
        <v>1369</v>
      </c>
      <c r="R1279" s="22" t="s">
        <v>26</v>
      </c>
      <c r="S1279" s="19"/>
      <c r="T1279" s="19"/>
      <c r="U1279" s="19"/>
      <c r="V1279" s="19"/>
      <c r="W1279" s="34" t="s">
        <v>1748</v>
      </c>
      <c r="X1279" s="18"/>
    </row>
    <row r="1280" customFormat="false" ht="13.8" hidden="false" customHeight="false" outlineLevel="0" collapsed="false">
      <c r="A1280" s="34"/>
      <c r="B1280" s="19" t="n">
        <v>5945</v>
      </c>
      <c r="C1280" s="20" t="n">
        <v>43413</v>
      </c>
      <c r="D1280" s="38" t="s">
        <v>22</v>
      </c>
      <c r="E1280" s="22" t="s">
        <v>284</v>
      </c>
      <c r="F1280" s="34" t="s">
        <v>744</v>
      </c>
      <c r="G1280" s="19" t="n">
        <v>7</v>
      </c>
      <c r="H1280" s="19"/>
      <c r="I1280" s="19" t="n">
        <v>4</v>
      </c>
      <c r="J1280" s="25" t="n">
        <v>41.63</v>
      </c>
      <c r="K1280" s="39" t="n">
        <v>400000</v>
      </c>
      <c r="L1280" s="39" t="n">
        <v>9608.46</v>
      </c>
      <c r="M1280" s="34"/>
      <c r="N1280" s="40"/>
      <c r="O1280" s="39" t="n">
        <v>400000</v>
      </c>
      <c r="P1280" s="39" t="n">
        <v>9608.45544078789</v>
      </c>
      <c r="Q1280" s="19" t="s">
        <v>1320</v>
      </c>
      <c r="R1280" s="22" t="s">
        <v>36</v>
      </c>
      <c r="S1280" s="19"/>
      <c r="T1280" s="19"/>
      <c r="U1280" s="19"/>
      <c r="V1280" s="19"/>
      <c r="W1280" s="34" t="s">
        <v>1749</v>
      </c>
      <c r="X1280" s="18"/>
      <c r="Y1280" s="35"/>
      <c r="Z1280" s="36"/>
    </row>
    <row r="1281" customFormat="false" ht="13.8" hidden="false" customHeight="false" outlineLevel="0" collapsed="false">
      <c r="A1281" s="34"/>
      <c r="B1281" s="19" t="n">
        <v>4355</v>
      </c>
      <c r="C1281" s="20" t="n">
        <v>43413</v>
      </c>
      <c r="D1281" s="38" t="s">
        <v>22</v>
      </c>
      <c r="E1281" s="22" t="s">
        <v>229</v>
      </c>
      <c r="F1281" s="34" t="s">
        <v>1722</v>
      </c>
      <c r="G1281" s="19" t="s">
        <v>1567</v>
      </c>
      <c r="H1281" s="19" t="s">
        <v>1750</v>
      </c>
      <c r="I1281" s="19" t="n">
        <v>7</v>
      </c>
      <c r="J1281" s="19" t="n">
        <v>61.85</v>
      </c>
      <c r="K1281" s="39" t="n">
        <v>750000</v>
      </c>
      <c r="L1281" s="39" t="n">
        <f aca="false">ROUND(K1281/J1281,2)</f>
        <v>12126.11</v>
      </c>
      <c r="M1281" s="34" t="s">
        <v>1751</v>
      </c>
      <c r="N1281" s="40"/>
      <c r="O1281" s="30" t="n">
        <f aca="false">K1281+N1281</f>
        <v>750000</v>
      </c>
      <c r="P1281" s="39" t="n">
        <f aca="false">O1281/J1281</f>
        <v>12126.1115602264</v>
      </c>
      <c r="Q1281" s="19" t="s">
        <v>1752</v>
      </c>
      <c r="R1281" s="22" t="s">
        <v>36</v>
      </c>
      <c r="S1281" s="19" t="s">
        <v>29</v>
      </c>
      <c r="T1281" s="19"/>
      <c r="U1281" s="31" t="s">
        <v>31</v>
      </c>
      <c r="V1281" s="41" t="n">
        <v>43598</v>
      </c>
      <c r="W1281" s="34" t="s">
        <v>1753</v>
      </c>
      <c r="X1281" s="18"/>
    </row>
    <row r="1282" customFormat="false" ht="13.8" hidden="false" customHeight="false" outlineLevel="0" collapsed="false">
      <c r="A1282" s="34"/>
      <c r="B1282" s="19" t="s">
        <v>887</v>
      </c>
      <c r="C1282" s="20" t="n">
        <v>43413</v>
      </c>
      <c r="D1282" s="38" t="s">
        <v>22</v>
      </c>
      <c r="E1282" s="22" t="s">
        <v>281</v>
      </c>
      <c r="F1282" s="45" t="s">
        <v>569</v>
      </c>
      <c r="G1282" s="19" t="n">
        <v>82</v>
      </c>
      <c r="H1282" s="19"/>
      <c r="I1282" s="19" t="n">
        <v>2</v>
      </c>
      <c r="J1282" s="25" t="n">
        <v>33.5</v>
      </c>
      <c r="K1282" s="39" t="n">
        <v>310000</v>
      </c>
      <c r="L1282" s="39" t="n">
        <f aca="false">K1282/J1282</f>
        <v>9253.73134328358</v>
      </c>
      <c r="M1282" s="34"/>
      <c r="N1282" s="40"/>
      <c r="O1282" s="30" t="n">
        <f aca="false">K1282+N1282</f>
        <v>310000</v>
      </c>
      <c r="P1282" s="39" t="n">
        <f aca="false">O1282/J1282</f>
        <v>9253.73134328358</v>
      </c>
      <c r="Q1282" s="19" t="s">
        <v>889</v>
      </c>
      <c r="R1282" s="19" t="n">
        <v>3</v>
      </c>
      <c r="S1282" s="19" t="s">
        <v>1141</v>
      </c>
      <c r="T1282" s="19"/>
      <c r="U1282" s="19" t="s">
        <v>31</v>
      </c>
      <c r="V1282" s="41" t="n">
        <v>43727</v>
      </c>
      <c r="W1282" s="18"/>
      <c r="X1282" s="18"/>
    </row>
    <row r="1283" customFormat="false" ht="13.8" hidden="false" customHeight="false" outlineLevel="0" collapsed="false">
      <c r="A1283" s="34"/>
      <c r="B1283" s="19" t="n">
        <v>55084</v>
      </c>
      <c r="C1283" s="20" t="n">
        <v>43413</v>
      </c>
      <c r="D1283" s="38" t="s">
        <v>22</v>
      </c>
      <c r="E1283" s="22" t="s">
        <v>187</v>
      </c>
      <c r="F1283" s="34" t="s">
        <v>569</v>
      </c>
      <c r="G1283" s="19" t="n">
        <v>82</v>
      </c>
      <c r="H1283" s="19" t="n">
        <v>53</v>
      </c>
      <c r="I1283" s="19" t="n">
        <v>2</v>
      </c>
      <c r="J1283" s="19" t="n">
        <v>33.5</v>
      </c>
      <c r="K1283" s="39" t="n">
        <v>310000</v>
      </c>
      <c r="L1283" s="39" t="n">
        <f aca="false">ROUND(K1283/J1283,2)</f>
        <v>9253.73</v>
      </c>
      <c r="M1283" s="34"/>
      <c r="N1283" s="40"/>
      <c r="O1283" s="30" t="n">
        <f aca="false">K1283+N1283</f>
        <v>310000</v>
      </c>
      <c r="P1283" s="39" t="n">
        <f aca="false">ROUND(O1283/J1283,2)</f>
        <v>9253.73</v>
      </c>
      <c r="Q1283" s="19" t="s">
        <v>1351</v>
      </c>
      <c r="R1283" s="22" t="s">
        <v>26</v>
      </c>
      <c r="S1283" s="19" t="s">
        <v>29</v>
      </c>
      <c r="T1283" s="19" t="s">
        <v>30</v>
      </c>
      <c r="U1283" s="31" t="s">
        <v>31</v>
      </c>
      <c r="V1283" s="41" t="n">
        <v>43514</v>
      </c>
      <c r="W1283" s="18"/>
      <c r="X1283" s="18"/>
    </row>
    <row r="1284" customFormat="false" ht="13.8" hidden="false" customHeight="false" outlineLevel="0" collapsed="false">
      <c r="A1284" s="34"/>
      <c r="B1284" s="19" t="n">
        <v>3970</v>
      </c>
      <c r="C1284" s="20" t="n">
        <v>43417</v>
      </c>
      <c r="D1284" s="38" t="s">
        <v>22</v>
      </c>
      <c r="E1284" s="22" t="s">
        <v>440</v>
      </c>
      <c r="F1284" s="34" t="s">
        <v>441</v>
      </c>
      <c r="G1284" s="19" t="n">
        <v>37</v>
      </c>
      <c r="H1284" s="19" t="n">
        <v>51</v>
      </c>
      <c r="I1284" s="19" t="n">
        <v>5</v>
      </c>
      <c r="J1284" s="19" t="n">
        <v>37.9</v>
      </c>
      <c r="K1284" s="39" t="n">
        <v>370000</v>
      </c>
      <c r="L1284" s="39" t="n">
        <f aca="false">ROUND(K1284/J1284,2)</f>
        <v>9762.53</v>
      </c>
      <c r="M1284" s="48" t="s">
        <v>189</v>
      </c>
      <c r="N1284" s="40"/>
      <c r="O1284" s="30" t="n">
        <f aca="false">K1284+N1284</f>
        <v>370000</v>
      </c>
      <c r="P1284" s="39" t="n">
        <f aca="false">ROUND(O1284/J1284,2)</f>
        <v>9762.53</v>
      </c>
      <c r="Q1284" s="19" t="s">
        <v>1351</v>
      </c>
      <c r="R1284" s="22" t="s">
        <v>26</v>
      </c>
      <c r="S1284" s="19" t="s">
        <v>29</v>
      </c>
      <c r="T1284" s="19" t="s">
        <v>30</v>
      </c>
      <c r="U1284" s="31" t="s">
        <v>31</v>
      </c>
      <c r="V1284" s="41" t="n">
        <v>43514</v>
      </c>
      <c r="W1284" s="18"/>
      <c r="X1284" s="18"/>
    </row>
    <row r="1285" customFormat="false" ht="13.8" hidden="false" customHeight="false" outlineLevel="0" collapsed="false">
      <c r="A1285" s="34"/>
      <c r="B1285" s="19" t="n">
        <v>2464</v>
      </c>
      <c r="C1285" s="20" t="n">
        <v>43417</v>
      </c>
      <c r="D1285" s="38" t="s">
        <v>22</v>
      </c>
      <c r="E1285" s="22" t="s">
        <v>665</v>
      </c>
      <c r="F1285" s="34" t="s">
        <v>666</v>
      </c>
      <c r="G1285" s="19" t="n">
        <v>9</v>
      </c>
      <c r="H1285" s="19" t="n">
        <v>234</v>
      </c>
      <c r="I1285" s="19" t="n">
        <v>4</v>
      </c>
      <c r="J1285" s="19" t="n">
        <v>63.3</v>
      </c>
      <c r="K1285" s="39" t="n">
        <v>1000000</v>
      </c>
      <c r="L1285" s="39" t="n">
        <f aca="false">ROUND(K1285/J1285,2)</f>
        <v>15797.79</v>
      </c>
      <c r="M1285" s="48" t="s">
        <v>940</v>
      </c>
      <c r="N1285" s="40" t="n">
        <v>50000</v>
      </c>
      <c r="O1285" s="30" t="n">
        <f aca="false">K1285+N1285</f>
        <v>1050000</v>
      </c>
      <c r="P1285" s="39" t="n">
        <f aca="false">ROUND(O1285/J1285,2)</f>
        <v>16587.68</v>
      </c>
      <c r="Q1285" s="19" t="s">
        <v>1351</v>
      </c>
      <c r="R1285" s="22" t="s">
        <v>26</v>
      </c>
      <c r="S1285" s="19" t="s">
        <v>29</v>
      </c>
      <c r="T1285" s="19" t="s">
        <v>30</v>
      </c>
      <c r="U1285" s="31" t="s">
        <v>31</v>
      </c>
      <c r="V1285" s="41" t="n">
        <v>43514</v>
      </c>
      <c r="W1285" s="34"/>
      <c r="X1285" s="34"/>
    </row>
    <row r="1286" s="32" customFormat="true" ht="13.8" hidden="false" customHeight="false" outlineLevel="0" collapsed="false">
      <c r="A1286" s="34"/>
      <c r="B1286" s="19" t="n">
        <v>15568</v>
      </c>
      <c r="C1286" s="20" t="n">
        <v>43417</v>
      </c>
      <c r="D1286" s="38" t="s">
        <v>22</v>
      </c>
      <c r="E1286" s="22" t="s">
        <v>137</v>
      </c>
      <c r="F1286" s="34" t="s">
        <v>138</v>
      </c>
      <c r="G1286" s="19" t="n">
        <v>10</v>
      </c>
      <c r="H1286" s="19" t="n">
        <v>72</v>
      </c>
      <c r="I1286" s="19" t="n">
        <v>2</v>
      </c>
      <c r="J1286" s="19" t="n">
        <v>30.73</v>
      </c>
      <c r="K1286" s="39" t="n">
        <v>310000</v>
      </c>
      <c r="L1286" s="39" t="n">
        <f aca="false">ROUND(K1286/J1286,2)</f>
        <v>10087.86</v>
      </c>
      <c r="M1286" s="48" t="s">
        <v>940</v>
      </c>
      <c r="N1286" s="40" t="n">
        <v>10000</v>
      </c>
      <c r="O1286" s="30" t="n">
        <f aca="false">K1286+N1286</f>
        <v>320000</v>
      </c>
      <c r="P1286" s="39" t="n">
        <f aca="false">ROUND(O1286/J1286,2)</f>
        <v>10413.28</v>
      </c>
      <c r="Q1286" s="19" t="s">
        <v>1695</v>
      </c>
      <c r="R1286" s="22" t="s">
        <v>36</v>
      </c>
      <c r="S1286" s="19" t="s">
        <v>29</v>
      </c>
      <c r="T1286" s="19" t="s">
        <v>30</v>
      </c>
      <c r="U1286" s="31" t="s">
        <v>31</v>
      </c>
      <c r="V1286" s="41" t="n">
        <v>43514</v>
      </c>
      <c r="W1286" s="34"/>
      <c r="X1286" s="34"/>
    </row>
    <row r="1287" customFormat="false" ht="13.8" hidden="false" customHeight="false" outlineLevel="0" collapsed="false">
      <c r="A1287" s="34"/>
      <c r="B1287" s="19" t="n">
        <v>3950</v>
      </c>
      <c r="C1287" s="20" t="n">
        <v>43417</v>
      </c>
      <c r="D1287" s="38" t="s">
        <v>22</v>
      </c>
      <c r="E1287" s="22" t="s">
        <v>148</v>
      </c>
      <c r="F1287" s="34" t="s">
        <v>340</v>
      </c>
      <c r="G1287" s="19" t="n">
        <v>6</v>
      </c>
      <c r="H1287" s="19" t="n">
        <v>88</v>
      </c>
      <c r="I1287" s="19" t="n">
        <v>8</v>
      </c>
      <c r="J1287" s="19" t="n">
        <v>31.06</v>
      </c>
      <c r="K1287" s="39" t="n">
        <v>299000</v>
      </c>
      <c r="L1287" s="27" t="n">
        <f aca="false">K1287/J1287</f>
        <v>9626.52929813265</v>
      </c>
      <c r="M1287" s="50"/>
      <c r="N1287" s="29"/>
      <c r="O1287" s="30" t="n">
        <f aca="false">K1287+N1287</f>
        <v>299000</v>
      </c>
      <c r="P1287" s="30" t="n">
        <f aca="false">O1287/J1287</f>
        <v>9626.52929813265</v>
      </c>
      <c r="Q1287" s="19" t="s">
        <v>1754</v>
      </c>
      <c r="R1287" s="22" t="s">
        <v>27</v>
      </c>
      <c r="S1287" s="19" t="s">
        <v>29</v>
      </c>
      <c r="T1287" s="19" t="s">
        <v>30</v>
      </c>
      <c r="U1287" s="31" t="s">
        <v>31</v>
      </c>
      <c r="V1287" s="41" t="n">
        <v>43601</v>
      </c>
      <c r="W1287" s="34" t="s">
        <v>1755</v>
      </c>
      <c r="X1287" s="18"/>
    </row>
    <row r="1288" customFormat="false" ht="13.8" hidden="false" customHeight="false" outlineLevel="0" collapsed="false">
      <c r="A1288" s="34"/>
      <c r="B1288" s="19" t="n">
        <v>6599</v>
      </c>
      <c r="C1288" s="20" t="n">
        <v>43418</v>
      </c>
      <c r="D1288" s="38" t="s">
        <v>22</v>
      </c>
      <c r="E1288" s="22" t="s">
        <v>378</v>
      </c>
      <c r="F1288" s="34" t="s">
        <v>379</v>
      </c>
      <c r="G1288" s="19" t="n">
        <v>3</v>
      </c>
      <c r="H1288" s="19" t="n">
        <v>15</v>
      </c>
      <c r="I1288" s="19" t="n">
        <v>4</v>
      </c>
      <c r="J1288" s="19" t="n">
        <v>53.19</v>
      </c>
      <c r="K1288" s="39" t="n">
        <v>590000</v>
      </c>
      <c r="L1288" s="27" t="n">
        <f aca="false">K1288/J1288</f>
        <v>11092.3105846964</v>
      </c>
      <c r="M1288" s="50" t="s">
        <v>1756</v>
      </c>
      <c r="N1288" s="29"/>
      <c r="O1288" s="30" t="n">
        <f aca="false">K1288+N1288</f>
        <v>590000</v>
      </c>
      <c r="P1288" s="30" t="n">
        <f aca="false">O1288/J1288</f>
        <v>11092.3105846964</v>
      </c>
      <c r="Q1288" s="19" t="s">
        <v>903</v>
      </c>
      <c r="R1288" s="22" t="s">
        <v>36</v>
      </c>
      <c r="S1288" s="19" t="s">
        <v>29</v>
      </c>
      <c r="T1288" s="19" t="s">
        <v>30</v>
      </c>
      <c r="U1288" s="31" t="s">
        <v>31</v>
      </c>
      <c r="V1288" s="41" t="n">
        <v>43601</v>
      </c>
      <c r="W1288" s="34" t="s">
        <v>1757</v>
      </c>
      <c r="X1288" s="18"/>
    </row>
    <row r="1289" s="32" customFormat="true" ht="13.8" hidden="false" customHeight="false" outlineLevel="0" collapsed="false">
      <c r="A1289" s="34"/>
      <c r="B1289" s="19" t="n">
        <v>3853</v>
      </c>
      <c r="C1289" s="20" t="n">
        <v>43418</v>
      </c>
      <c r="D1289" s="38" t="s">
        <v>22</v>
      </c>
      <c r="E1289" s="22" t="s">
        <v>652</v>
      </c>
      <c r="F1289" s="34" t="s">
        <v>669</v>
      </c>
      <c r="G1289" s="19" t="n">
        <v>1</v>
      </c>
      <c r="H1289" s="19" t="n">
        <v>1101</v>
      </c>
      <c r="I1289" s="19" t="n">
        <v>11</v>
      </c>
      <c r="J1289" s="19" t="n">
        <v>56.7</v>
      </c>
      <c r="K1289" s="39" t="n">
        <v>180000</v>
      </c>
      <c r="L1289" s="39" t="n">
        <f aca="false">ROUND(K1289/J1289,2)</f>
        <v>3174.6</v>
      </c>
      <c r="M1289" s="18"/>
      <c r="N1289" s="40"/>
      <c r="O1289" s="30" t="n">
        <f aca="false">K1289+N1289</f>
        <v>180000</v>
      </c>
      <c r="P1289" s="39" t="n">
        <f aca="false">ROUND(O1289/J1289,2)</f>
        <v>3174.6</v>
      </c>
      <c r="Q1289" s="19" t="s">
        <v>1667</v>
      </c>
      <c r="R1289" s="22" t="s">
        <v>49</v>
      </c>
      <c r="S1289" s="19" t="s">
        <v>29</v>
      </c>
      <c r="T1289" s="19" t="s">
        <v>30</v>
      </c>
      <c r="U1289" s="31" t="s">
        <v>31</v>
      </c>
      <c r="V1289" s="41" t="n">
        <v>43514</v>
      </c>
      <c r="W1289" s="18"/>
      <c r="X1289" s="18"/>
    </row>
    <row r="1290" customFormat="false" ht="13.8" hidden="false" customHeight="false" outlineLevel="0" collapsed="false">
      <c r="A1290" s="34"/>
      <c r="B1290" s="19" t="n">
        <v>6060</v>
      </c>
      <c r="C1290" s="20" t="n">
        <v>43418</v>
      </c>
      <c r="D1290" s="38" t="s">
        <v>22</v>
      </c>
      <c r="E1290" s="22" t="s">
        <v>109</v>
      </c>
      <c r="F1290" s="34" t="s">
        <v>110</v>
      </c>
      <c r="G1290" s="19" t="n">
        <v>4</v>
      </c>
      <c r="H1290" s="19" t="n">
        <v>14</v>
      </c>
      <c r="I1290" s="19" t="n">
        <v>4</v>
      </c>
      <c r="J1290" s="19" t="n">
        <v>39.56</v>
      </c>
      <c r="K1290" s="39" t="n">
        <v>430000</v>
      </c>
      <c r="L1290" s="27" t="n">
        <f aca="false">K1290/J1290</f>
        <v>10869.5652173913</v>
      </c>
      <c r="M1290" s="50"/>
      <c r="N1290" s="29"/>
      <c r="O1290" s="30" t="n">
        <f aca="false">K1290+N1290</f>
        <v>430000</v>
      </c>
      <c r="P1290" s="30" t="n">
        <f aca="false">O1290/J1290</f>
        <v>10869.5652173913</v>
      </c>
      <c r="Q1290" s="19" t="s">
        <v>1181</v>
      </c>
      <c r="R1290" s="22" t="s">
        <v>27</v>
      </c>
      <c r="S1290" s="19" t="s">
        <v>29</v>
      </c>
      <c r="T1290" s="19" t="s">
        <v>30</v>
      </c>
      <c r="U1290" s="31" t="s">
        <v>31</v>
      </c>
      <c r="V1290" s="41" t="n">
        <v>43601</v>
      </c>
      <c r="W1290" s="34" t="s">
        <v>1758</v>
      </c>
      <c r="X1290" s="18"/>
    </row>
    <row r="1291" customFormat="false" ht="13.8" hidden="false" customHeight="false" outlineLevel="0" collapsed="false">
      <c r="A1291" s="34"/>
      <c r="B1291" s="19" t="n">
        <v>4023</v>
      </c>
      <c r="C1291" s="20" t="n">
        <v>43418</v>
      </c>
      <c r="D1291" s="38" t="s">
        <v>22</v>
      </c>
      <c r="E1291" s="22" t="s">
        <v>175</v>
      </c>
      <c r="F1291" s="34" t="s">
        <v>485</v>
      </c>
      <c r="G1291" s="19" t="n">
        <v>37</v>
      </c>
      <c r="H1291" s="19" t="n">
        <v>5</v>
      </c>
      <c r="I1291" s="19" t="n">
        <v>1</v>
      </c>
      <c r="J1291" s="19" t="n">
        <v>33.12</v>
      </c>
      <c r="K1291" s="39" t="n">
        <v>360000</v>
      </c>
      <c r="L1291" s="39" t="n">
        <f aca="false">ROUND(K1291/J1291,2)</f>
        <v>10869.57</v>
      </c>
      <c r="M1291" s="34"/>
      <c r="N1291" s="40"/>
      <c r="O1291" s="30" t="n">
        <f aca="false">K1291+N1291</f>
        <v>360000</v>
      </c>
      <c r="P1291" s="39" t="n">
        <f aca="false">ROUND(O1291/J1291,2)</f>
        <v>10869.57</v>
      </c>
      <c r="Q1291" s="19" t="s">
        <v>1695</v>
      </c>
      <c r="R1291" s="22" t="s">
        <v>36</v>
      </c>
      <c r="S1291" s="19" t="s">
        <v>29</v>
      </c>
      <c r="T1291" s="19" t="s">
        <v>30</v>
      </c>
      <c r="U1291" s="31" t="s">
        <v>31</v>
      </c>
      <c r="V1291" s="41" t="n">
        <v>43514</v>
      </c>
      <c r="W1291" s="34"/>
      <c r="X1291" s="34"/>
    </row>
    <row r="1292" customFormat="false" ht="13.8" hidden="false" customHeight="false" outlineLevel="0" collapsed="false">
      <c r="A1292" s="34"/>
      <c r="B1292" s="19" t="n">
        <v>12793</v>
      </c>
      <c r="C1292" s="20" t="n">
        <v>43418</v>
      </c>
      <c r="D1292" s="38" t="s">
        <v>22</v>
      </c>
      <c r="E1292" s="22" t="s">
        <v>543</v>
      </c>
      <c r="F1292" s="34" t="s">
        <v>351</v>
      </c>
      <c r="G1292" s="19" t="n">
        <v>24</v>
      </c>
      <c r="H1292" s="19" t="n">
        <v>3</v>
      </c>
      <c r="I1292" s="19" t="n">
        <v>1</v>
      </c>
      <c r="J1292" s="19" t="n">
        <v>36.9</v>
      </c>
      <c r="K1292" s="39" t="n">
        <v>325000</v>
      </c>
      <c r="L1292" s="39" t="n">
        <f aca="false">ROUND(K1292/J1292,2)</f>
        <v>8807.59</v>
      </c>
      <c r="M1292" s="34"/>
      <c r="N1292" s="40"/>
      <c r="O1292" s="30" t="n">
        <f aca="false">K1292+N1292</f>
        <v>325000</v>
      </c>
      <c r="P1292" s="39" t="n">
        <f aca="false">ROUND(O1292/J1292,2)</f>
        <v>8807.59</v>
      </c>
      <c r="Q1292" s="19" t="s">
        <v>1695</v>
      </c>
      <c r="R1292" s="22" t="s">
        <v>36</v>
      </c>
      <c r="S1292" s="19" t="s">
        <v>29</v>
      </c>
      <c r="T1292" s="19" t="s">
        <v>30</v>
      </c>
      <c r="U1292" s="31" t="s">
        <v>31</v>
      </c>
      <c r="V1292" s="41" t="n">
        <v>43514</v>
      </c>
      <c r="W1292" s="34"/>
      <c r="X1292" s="34"/>
    </row>
    <row r="1293" s="32" customFormat="true" ht="13.8" hidden="false" customHeight="false" outlineLevel="0" collapsed="false">
      <c r="A1293" s="34"/>
      <c r="B1293" s="19" t="n">
        <v>5820</v>
      </c>
      <c r="C1293" s="20" t="n">
        <v>43418</v>
      </c>
      <c r="D1293" s="38" t="s">
        <v>22</v>
      </c>
      <c r="E1293" s="22" t="s">
        <v>23</v>
      </c>
      <c r="F1293" s="34" t="s">
        <v>387</v>
      </c>
      <c r="G1293" s="19" t="s">
        <v>1759</v>
      </c>
      <c r="H1293" s="19" t="n">
        <v>5</v>
      </c>
      <c r="I1293" s="19" t="n">
        <v>2</v>
      </c>
      <c r="J1293" s="19" t="n">
        <v>44.73</v>
      </c>
      <c r="K1293" s="39" t="n">
        <v>120000</v>
      </c>
      <c r="L1293" s="39" t="n">
        <f aca="false">ROUND(K1293/J1293,2)</f>
        <v>2682.76</v>
      </c>
      <c r="M1293" s="34"/>
      <c r="N1293" s="40"/>
      <c r="O1293" s="30" t="n">
        <f aca="false">K1293+N1293</f>
        <v>120000</v>
      </c>
      <c r="P1293" s="39" t="n">
        <f aca="false">ROUND(O1293/J1293,2)</f>
        <v>2682.76</v>
      </c>
      <c r="Q1293" s="19" t="s">
        <v>1760</v>
      </c>
      <c r="R1293" s="22" t="s">
        <v>26</v>
      </c>
      <c r="S1293" s="19" t="s">
        <v>29</v>
      </c>
      <c r="T1293" s="19" t="s">
        <v>30</v>
      </c>
      <c r="U1293" s="31" t="s">
        <v>31</v>
      </c>
      <c r="V1293" s="41" t="n">
        <v>43514</v>
      </c>
      <c r="W1293" s="34"/>
      <c r="X1293" s="34"/>
    </row>
    <row r="1294" customFormat="false" ht="13.8" hidden="false" customHeight="false" outlineLevel="0" collapsed="false">
      <c r="A1294" s="34"/>
      <c r="B1294" s="19" t="n">
        <v>55867</v>
      </c>
      <c r="C1294" s="20" t="n">
        <v>43418</v>
      </c>
      <c r="D1294" s="38" t="s">
        <v>22</v>
      </c>
      <c r="E1294" s="22" t="s">
        <v>308</v>
      </c>
      <c r="F1294" s="34" t="s">
        <v>46</v>
      </c>
      <c r="G1294" s="19" t="n">
        <v>35</v>
      </c>
      <c r="H1294" s="19" t="n">
        <v>9</v>
      </c>
      <c r="I1294" s="19" t="n">
        <v>4</v>
      </c>
      <c r="J1294" s="19" t="n">
        <v>62.51</v>
      </c>
      <c r="K1294" s="39" t="n">
        <v>480000</v>
      </c>
      <c r="L1294" s="39" t="n">
        <f aca="false">ROUND(K1294/J1294,2)</f>
        <v>7678.77</v>
      </c>
      <c r="M1294" s="34"/>
      <c r="N1294" s="40"/>
      <c r="O1294" s="30" t="n">
        <f aca="false">K1294+N1294</f>
        <v>480000</v>
      </c>
      <c r="P1294" s="39" t="n">
        <f aca="false">ROUND(O1294/J1294,2)</f>
        <v>7678.77</v>
      </c>
      <c r="Q1294" s="19" t="s">
        <v>1351</v>
      </c>
      <c r="R1294" s="22" t="s">
        <v>26</v>
      </c>
      <c r="S1294" s="19" t="s">
        <v>29</v>
      </c>
      <c r="T1294" s="19" t="s">
        <v>30</v>
      </c>
      <c r="U1294" s="31" t="s">
        <v>31</v>
      </c>
      <c r="V1294" s="41" t="n">
        <v>43514</v>
      </c>
      <c r="W1294" s="34"/>
      <c r="X1294" s="34"/>
    </row>
    <row r="1295" s="32" customFormat="true" ht="13.8" hidden="false" customHeight="false" outlineLevel="0" collapsed="false">
      <c r="A1295" s="34"/>
      <c r="B1295" s="19" t="n">
        <v>4239</v>
      </c>
      <c r="C1295" s="20" t="n">
        <v>43418</v>
      </c>
      <c r="D1295" s="38" t="s">
        <v>22</v>
      </c>
      <c r="E1295" s="22" t="s">
        <v>369</v>
      </c>
      <c r="F1295" s="34" t="s">
        <v>46</v>
      </c>
      <c r="G1295" s="19" t="n">
        <v>51</v>
      </c>
      <c r="H1295" s="19" t="n">
        <v>19</v>
      </c>
      <c r="I1295" s="19" t="n">
        <v>5</v>
      </c>
      <c r="J1295" s="19" t="n">
        <v>73.19</v>
      </c>
      <c r="K1295" s="39" t="n">
        <v>600000</v>
      </c>
      <c r="L1295" s="27" t="n">
        <f aca="false">K1295/J1295</f>
        <v>8197.84123514141</v>
      </c>
      <c r="M1295" s="50" t="s">
        <v>1761</v>
      </c>
      <c r="N1295" s="29"/>
      <c r="O1295" s="30" t="n">
        <f aca="false">K1295+N1295</f>
        <v>600000</v>
      </c>
      <c r="P1295" s="30" t="n">
        <f aca="false">O1295/J1295</f>
        <v>8197.84123514141</v>
      </c>
      <c r="Q1295" s="19" t="s">
        <v>861</v>
      </c>
      <c r="R1295" s="22" t="s">
        <v>26</v>
      </c>
      <c r="S1295" s="19" t="s">
        <v>29</v>
      </c>
      <c r="T1295" s="19" t="s">
        <v>30</v>
      </c>
      <c r="U1295" s="31" t="s">
        <v>31</v>
      </c>
      <c r="V1295" s="41" t="n">
        <v>43601</v>
      </c>
      <c r="W1295" s="34" t="s">
        <v>1762</v>
      </c>
      <c r="X1295" s="18"/>
    </row>
    <row r="1296" customFormat="false" ht="13.8" hidden="false" customHeight="false" outlineLevel="0" collapsed="false">
      <c r="A1296" s="34"/>
      <c r="B1296" s="19" t="n">
        <v>5452</v>
      </c>
      <c r="C1296" s="20" t="n">
        <v>43419</v>
      </c>
      <c r="D1296" s="38" t="s">
        <v>22</v>
      </c>
      <c r="E1296" s="22" t="s">
        <v>75</v>
      </c>
      <c r="F1296" s="34" t="s">
        <v>1594</v>
      </c>
      <c r="G1296" s="19" t="n">
        <v>81</v>
      </c>
      <c r="H1296" s="19" t="n">
        <v>24</v>
      </c>
      <c r="I1296" s="19" t="n">
        <v>4</v>
      </c>
      <c r="J1296" s="19" t="n">
        <v>60.75</v>
      </c>
      <c r="K1296" s="39" t="n">
        <v>495000</v>
      </c>
      <c r="L1296" s="27" t="n">
        <f aca="false">K1296/J1296</f>
        <v>8148.14814814815</v>
      </c>
      <c r="M1296" s="50" t="s">
        <v>1763</v>
      </c>
      <c r="N1296" s="29"/>
      <c r="O1296" s="30" t="n">
        <f aca="false">K1296+N1296</f>
        <v>495000</v>
      </c>
      <c r="P1296" s="30" t="n">
        <f aca="false">O1296/J1296</f>
        <v>8148.14814814815</v>
      </c>
      <c r="Q1296" s="19" t="s">
        <v>1224</v>
      </c>
      <c r="R1296" s="22" t="s">
        <v>27</v>
      </c>
      <c r="S1296" s="19" t="s">
        <v>29</v>
      </c>
      <c r="T1296" s="19" t="s">
        <v>30</v>
      </c>
      <c r="U1296" s="31" t="s">
        <v>31</v>
      </c>
      <c r="V1296" s="41" t="n">
        <v>43601</v>
      </c>
      <c r="W1296" s="34" t="s">
        <v>1764</v>
      </c>
      <c r="X1296" s="18"/>
    </row>
    <row r="1297" customFormat="false" ht="13.8" hidden="false" customHeight="false" outlineLevel="0" collapsed="false">
      <c r="A1297" s="34"/>
      <c r="B1297" s="19" t="n">
        <v>11372</v>
      </c>
      <c r="C1297" s="20" t="n">
        <v>43419</v>
      </c>
      <c r="D1297" s="38" t="s">
        <v>22</v>
      </c>
      <c r="E1297" s="22" t="s">
        <v>287</v>
      </c>
      <c r="F1297" s="34" t="s">
        <v>854</v>
      </c>
      <c r="G1297" s="19" t="n">
        <v>9</v>
      </c>
      <c r="H1297" s="19" t="n">
        <v>16</v>
      </c>
      <c r="I1297" s="19" t="n">
        <v>9</v>
      </c>
      <c r="J1297" s="19" t="n">
        <v>57.8</v>
      </c>
      <c r="K1297" s="39" t="n">
        <v>875000</v>
      </c>
      <c r="L1297" s="39" t="n">
        <f aca="false">ROUND(K1297/J1297,2)</f>
        <v>15138.41</v>
      </c>
      <c r="M1297" s="18"/>
      <c r="N1297" s="40"/>
      <c r="O1297" s="30" t="n">
        <f aca="false">K1297+N1297</f>
        <v>875000</v>
      </c>
      <c r="P1297" s="39" t="n">
        <f aca="false">ROUND(O1297/J1297,2)</f>
        <v>15138.41</v>
      </c>
      <c r="Q1297" s="19" t="s">
        <v>1704</v>
      </c>
      <c r="R1297" s="22" t="s">
        <v>26</v>
      </c>
      <c r="S1297" s="19" t="s">
        <v>29</v>
      </c>
      <c r="T1297" s="19" t="s">
        <v>30</v>
      </c>
      <c r="U1297" s="31" t="s">
        <v>31</v>
      </c>
      <c r="V1297" s="41" t="n">
        <v>43514</v>
      </c>
      <c r="W1297" s="18"/>
      <c r="X1297" s="18"/>
    </row>
    <row r="1298" customFormat="false" ht="13.8" hidden="false" customHeight="false" outlineLevel="0" collapsed="false">
      <c r="A1298" s="34"/>
      <c r="B1298" s="19" t="n">
        <v>3543</v>
      </c>
      <c r="C1298" s="20" t="n">
        <v>43419</v>
      </c>
      <c r="D1298" s="38" t="s">
        <v>22</v>
      </c>
      <c r="E1298" s="22" t="s">
        <v>665</v>
      </c>
      <c r="F1298" s="34" t="s">
        <v>666</v>
      </c>
      <c r="G1298" s="19" t="s">
        <v>384</v>
      </c>
      <c r="H1298" s="19" t="n">
        <v>50</v>
      </c>
      <c r="I1298" s="19" t="n">
        <v>10</v>
      </c>
      <c r="J1298" s="19" t="n">
        <v>36.6</v>
      </c>
      <c r="K1298" s="39" t="n">
        <v>345000</v>
      </c>
      <c r="L1298" s="39" t="n">
        <f aca="false">ROUND(K1298/J1298,2)</f>
        <v>9426.23</v>
      </c>
      <c r="M1298" s="48" t="s">
        <v>189</v>
      </c>
      <c r="N1298" s="40"/>
      <c r="O1298" s="30" t="n">
        <f aca="false">K1298+N1298</f>
        <v>345000</v>
      </c>
      <c r="P1298" s="39" t="n">
        <f aca="false">ROUND(O1298/J1298,2)</f>
        <v>9426.23</v>
      </c>
      <c r="Q1298" s="19" t="s">
        <v>1695</v>
      </c>
      <c r="R1298" s="22" t="s">
        <v>36</v>
      </c>
      <c r="S1298" s="19" t="s">
        <v>29</v>
      </c>
      <c r="T1298" s="19" t="s">
        <v>30</v>
      </c>
      <c r="U1298" s="31" t="s">
        <v>31</v>
      </c>
      <c r="V1298" s="41" t="n">
        <v>43514</v>
      </c>
      <c r="W1298" s="18"/>
      <c r="X1298" s="18"/>
      <c r="Y1298" s="35"/>
      <c r="Z1298" s="43"/>
    </row>
    <row r="1299" customFormat="false" ht="13.8" hidden="false" customHeight="false" outlineLevel="0" collapsed="false">
      <c r="A1299" s="34"/>
      <c r="B1299" s="19" t="n">
        <v>5602</v>
      </c>
      <c r="C1299" s="20" t="n">
        <v>43419</v>
      </c>
      <c r="D1299" s="38" t="s">
        <v>22</v>
      </c>
      <c r="E1299" s="22" t="s">
        <v>65</v>
      </c>
      <c r="F1299" s="34" t="s">
        <v>507</v>
      </c>
      <c r="G1299" s="19" t="n">
        <v>1</v>
      </c>
      <c r="H1299" s="19" t="n">
        <v>79</v>
      </c>
      <c r="I1299" s="19" t="n">
        <v>3</v>
      </c>
      <c r="J1299" s="19" t="n">
        <v>31</v>
      </c>
      <c r="K1299" s="39" t="n">
        <v>286000</v>
      </c>
      <c r="L1299" s="39" t="n">
        <f aca="false">ROUND(K1299/J1299,2)</f>
        <v>9225.81</v>
      </c>
      <c r="M1299" s="18"/>
      <c r="N1299" s="40"/>
      <c r="O1299" s="30" t="n">
        <f aca="false">K1299+N1299</f>
        <v>286000</v>
      </c>
      <c r="P1299" s="39" t="n">
        <f aca="false">ROUND(O1299/J1299,2)</f>
        <v>9225.81</v>
      </c>
      <c r="Q1299" s="19" t="s">
        <v>1695</v>
      </c>
      <c r="R1299" s="22" t="s">
        <v>36</v>
      </c>
      <c r="S1299" s="19" t="s">
        <v>29</v>
      </c>
      <c r="T1299" s="19" t="s">
        <v>30</v>
      </c>
      <c r="U1299" s="31" t="s">
        <v>31</v>
      </c>
      <c r="V1299" s="41" t="n">
        <v>43514</v>
      </c>
      <c r="W1299" s="18"/>
      <c r="X1299" s="18"/>
    </row>
    <row r="1300" customFormat="false" ht="13.8" hidden="false" customHeight="false" outlineLevel="0" collapsed="false">
      <c r="A1300" s="34"/>
      <c r="B1300" s="19" t="n">
        <v>3380</v>
      </c>
      <c r="C1300" s="20" t="n">
        <v>43419</v>
      </c>
      <c r="D1300" s="38" t="s">
        <v>22</v>
      </c>
      <c r="E1300" s="22" t="s">
        <v>175</v>
      </c>
      <c r="F1300" s="34" t="s">
        <v>176</v>
      </c>
      <c r="G1300" s="19" t="s">
        <v>1765</v>
      </c>
      <c r="H1300" s="19" t="n">
        <v>45</v>
      </c>
      <c r="I1300" s="19" t="n">
        <v>6</v>
      </c>
      <c r="J1300" s="19" t="n">
        <v>165.9</v>
      </c>
      <c r="K1300" s="39" t="n">
        <v>2776020</v>
      </c>
      <c r="L1300" s="39" t="n">
        <f aca="false">ROUND(K1300/J1300,2)</f>
        <v>16733.09</v>
      </c>
      <c r="M1300" s="34" t="s">
        <v>1766</v>
      </c>
      <c r="N1300" s="40"/>
      <c r="O1300" s="30" t="n">
        <f aca="false">K1300+N1300</f>
        <v>2776020</v>
      </c>
      <c r="P1300" s="39" t="n">
        <f aca="false">O1300/J1300</f>
        <v>16733.0922242315</v>
      </c>
      <c r="Q1300" s="19" t="s">
        <v>1767</v>
      </c>
      <c r="R1300" s="22" t="s">
        <v>25</v>
      </c>
      <c r="S1300" s="19"/>
      <c r="T1300" s="19"/>
      <c r="U1300" s="19"/>
      <c r="V1300" s="19"/>
      <c r="W1300" s="34" t="s">
        <v>1768</v>
      </c>
      <c r="X1300" s="34"/>
    </row>
    <row r="1301" customFormat="false" ht="13.8" hidden="false" customHeight="false" outlineLevel="0" collapsed="false">
      <c r="A1301" s="34"/>
      <c r="B1301" s="19" t="n">
        <v>3510</v>
      </c>
      <c r="C1301" s="20" t="n">
        <v>43419</v>
      </c>
      <c r="D1301" s="38" t="s">
        <v>22</v>
      </c>
      <c r="E1301" s="22" t="s">
        <v>1714</v>
      </c>
      <c r="F1301" s="34" t="s">
        <v>518</v>
      </c>
      <c r="G1301" s="19" t="n">
        <v>2</v>
      </c>
      <c r="H1301" s="19" t="n">
        <v>69</v>
      </c>
      <c r="I1301" s="19" t="n">
        <v>8</v>
      </c>
      <c r="J1301" s="19" t="n">
        <v>47.1</v>
      </c>
      <c r="K1301" s="39" t="n">
        <v>460000</v>
      </c>
      <c r="L1301" s="39" t="n">
        <f aca="false">ROUND(K1301/J1301,2)</f>
        <v>9766.45</v>
      </c>
      <c r="M1301" s="34"/>
      <c r="N1301" s="40"/>
      <c r="O1301" s="30" t="n">
        <f aca="false">K1301+N1301</f>
        <v>460000</v>
      </c>
      <c r="P1301" s="39" t="n">
        <f aca="false">ROUND(O1301/J1301,2)</f>
        <v>9766.45</v>
      </c>
      <c r="Q1301" s="19" t="s">
        <v>1724</v>
      </c>
      <c r="R1301" s="22" t="s">
        <v>36</v>
      </c>
      <c r="S1301" s="19" t="s">
        <v>29</v>
      </c>
      <c r="T1301" s="19" t="s">
        <v>30</v>
      </c>
      <c r="U1301" s="31" t="s">
        <v>31</v>
      </c>
      <c r="V1301" s="41" t="n">
        <v>43514</v>
      </c>
      <c r="W1301" s="18"/>
      <c r="X1301" s="18"/>
    </row>
    <row r="1302" s="32" customFormat="true" ht="13.8" hidden="false" customHeight="false" outlineLevel="0" collapsed="false">
      <c r="A1302" s="34"/>
      <c r="B1302" s="19" t="n">
        <v>5976</v>
      </c>
      <c r="C1302" s="20" t="n">
        <v>43419</v>
      </c>
      <c r="D1302" s="38" t="s">
        <v>22</v>
      </c>
      <c r="E1302" s="22" t="s">
        <v>281</v>
      </c>
      <c r="F1302" s="34" t="s">
        <v>1769</v>
      </c>
      <c r="G1302" s="19" t="n">
        <v>1</v>
      </c>
      <c r="H1302" s="19" t="n">
        <v>38</v>
      </c>
      <c r="I1302" s="19" t="n">
        <v>3</v>
      </c>
      <c r="J1302" s="19" t="n">
        <v>52</v>
      </c>
      <c r="K1302" s="39" t="n">
        <v>670000</v>
      </c>
      <c r="L1302" s="27" t="n">
        <f aca="false">K1302/J1302</f>
        <v>12884.6153846154</v>
      </c>
      <c r="M1302" s="50"/>
      <c r="N1302" s="29"/>
      <c r="O1302" s="30" t="n">
        <f aca="false">K1302+N1302</f>
        <v>670000</v>
      </c>
      <c r="P1302" s="30" t="n">
        <f aca="false">O1302/J1302</f>
        <v>12884.6153846154</v>
      </c>
      <c r="Q1302" s="19" t="s">
        <v>1770</v>
      </c>
      <c r="R1302" s="22" t="s">
        <v>26</v>
      </c>
      <c r="S1302" s="19" t="s">
        <v>29</v>
      </c>
      <c r="T1302" s="19" t="s">
        <v>30</v>
      </c>
      <c r="U1302" s="31" t="s">
        <v>31</v>
      </c>
      <c r="V1302" s="41" t="n">
        <v>43601</v>
      </c>
      <c r="W1302" s="34" t="s">
        <v>1771</v>
      </c>
      <c r="X1302" s="18"/>
    </row>
    <row r="1303" s="32" customFormat="true" ht="13.8" hidden="false" customHeight="false" outlineLevel="0" collapsed="false">
      <c r="A1303" s="34"/>
      <c r="B1303" s="19" t="n">
        <v>1186</v>
      </c>
      <c r="C1303" s="20" t="n">
        <v>43419</v>
      </c>
      <c r="D1303" s="38" t="s">
        <v>22</v>
      </c>
      <c r="E1303" s="22" t="s">
        <v>175</v>
      </c>
      <c r="F1303" s="34" t="s">
        <v>485</v>
      </c>
      <c r="G1303" s="19" t="n">
        <v>53</v>
      </c>
      <c r="H1303" s="19" t="n">
        <v>6</v>
      </c>
      <c r="I1303" s="19" t="n">
        <v>3</v>
      </c>
      <c r="J1303" s="19" t="n">
        <v>129.72</v>
      </c>
      <c r="K1303" s="39" t="n">
        <v>1320000</v>
      </c>
      <c r="L1303" s="27" t="n">
        <f aca="false">K1303/J1303</f>
        <v>10175.7631822387</v>
      </c>
      <c r="M1303" s="50"/>
      <c r="N1303" s="29"/>
      <c r="O1303" s="30" t="n">
        <f aca="false">K1303+N1303</f>
        <v>1320000</v>
      </c>
      <c r="P1303" s="30" t="n">
        <f aca="false">O1303/J1303</f>
        <v>10175.7631822387</v>
      </c>
      <c r="Q1303" s="19" t="s">
        <v>1772</v>
      </c>
      <c r="R1303" s="22" t="s">
        <v>49</v>
      </c>
      <c r="S1303" s="19" t="s">
        <v>29</v>
      </c>
      <c r="T1303" s="19" t="s">
        <v>30</v>
      </c>
      <c r="U1303" s="31" t="s">
        <v>31</v>
      </c>
      <c r="V1303" s="41" t="n">
        <v>43601</v>
      </c>
      <c r="W1303" s="34" t="s">
        <v>1773</v>
      </c>
      <c r="X1303" s="18"/>
    </row>
    <row r="1304" customFormat="false" ht="13.8" hidden="false" customHeight="false" outlineLevel="0" collapsed="false">
      <c r="A1304" s="34"/>
      <c r="B1304" s="19" t="n">
        <v>43221</v>
      </c>
      <c r="C1304" s="20" t="n">
        <v>43419</v>
      </c>
      <c r="D1304" s="38" t="s">
        <v>22</v>
      </c>
      <c r="E1304" s="22" t="s">
        <v>1774</v>
      </c>
      <c r="F1304" s="34" t="s">
        <v>1775</v>
      </c>
      <c r="G1304" s="19" t="n">
        <v>12</v>
      </c>
      <c r="H1304" s="19" t="n">
        <v>46</v>
      </c>
      <c r="I1304" s="19" t="n">
        <v>3</v>
      </c>
      <c r="J1304" s="19" t="n">
        <v>101.26</v>
      </c>
      <c r="K1304" s="39" t="n">
        <v>1100000</v>
      </c>
      <c r="L1304" s="27" t="n">
        <f aca="false">K1304/J1304</f>
        <v>10863.1246296662</v>
      </c>
      <c r="M1304" s="50" t="s">
        <v>1776</v>
      </c>
      <c r="N1304" s="29"/>
      <c r="O1304" s="30" t="n">
        <f aca="false">K1304+N1304</f>
        <v>1100000</v>
      </c>
      <c r="P1304" s="30" t="n">
        <f aca="false">O1304/J1304</f>
        <v>10863.1246296662</v>
      </c>
      <c r="Q1304" s="19" t="s">
        <v>1136</v>
      </c>
      <c r="R1304" s="22" t="s">
        <v>26</v>
      </c>
      <c r="S1304" s="19" t="s">
        <v>29</v>
      </c>
      <c r="T1304" s="19" t="s">
        <v>30</v>
      </c>
      <c r="U1304" s="31" t="s">
        <v>31</v>
      </c>
      <c r="V1304" s="41" t="n">
        <v>43601</v>
      </c>
      <c r="W1304" s="34" t="s">
        <v>1777</v>
      </c>
      <c r="X1304" s="34"/>
    </row>
    <row r="1305" customFormat="false" ht="13.8" hidden="false" customHeight="false" outlineLevel="0" collapsed="false">
      <c r="A1305" s="34"/>
      <c r="B1305" s="19" t="s">
        <v>887</v>
      </c>
      <c r="C1305" s="20" t="n">
        <v>43420</v>
      </c>
      <c r="D1305" s="38" t="s">
        <v>22</v>
      </c>
      <c r="E1305" s="22" t="s">
        <v>251</v>
      </c>
      <c r="F1305" s="45" t="s">
        <v>252</v>
      </c>
      <c r="G1305" s="19" t="n">
        <v>4</v>
      </c>
      <c r="H1305" s="19"/>
      <c r="I1305" s="19" t="n">
        <v>1</v>
      </c>
      <c r="J1305" s="25" t="n">
        <v>29.44</v>
      </c>
      <c r="K1305" s="39" t="n">
        <v>298000</v>
      </c>
      <c r="L1305" s="39" t="n">
        <f aca="false">K1305/J1305</f>
        <v>10122.2826086957</v>
      </c>
      <c r="M1305" s="18"/>
      <c r="N1305" s="40"/>
      <c r="O1305" s="30" t="n">
        <f aca="false">K1305+N1305</f>
        <v>298000</v>
      </c>
      <c r="P1305" s="39" t="n">
        <f aca="false">O1305/J1305</f>
        <v>10122.2826086957</v>
      </c>
      <c r="Q1305" s="19" t="s">
        <v>889</v>
      </c>
      <c r="R1305" s="19" t="n">
        <v>3</v>
      </c>
      <c r="S1305" s="19" t="s">
        <v>1141</v>
      </c>
      <c r="T1305" s="19"/>
      <c r="U1305" s="19" t="s">
        <v>31</v>
      </c>
      <c r="V1305" s="41" t="n">
        <v>43727</v>
      </c>
      <c r="W1305" s="18"/>
      <c r="X1305" s="18"/>
    </row>
    <row r="1306" customFormat="false" ht="13.8" hidden="false" customHeight="false" outlineLevel="0" collapsed="false">
      <c r="A1306" s="34"/>
      <c r="B1306" s="19" t="n">
        <v>11141</v>
      </c>
      <c r="C1306" s="20" t="n">
        <v>43420</v>
      </c>
      <c r="D1306" s="38" t="s">
        <v>22</v>
      </c>
      <c r="E1306" s="22" t="s">
        <v>86</v>
      </c>
      <c r="F1306" s="34" t="s">
        <v>695</v>
      </c>
      <c r="G1306" s="19" t="n">
        <v>6</v>
      </c>
      <c r="H1306" s="19" t="n">
        <v>61</v>
      </c>
      <c r="I1306" s="19" t="n">
        <v>5</v>
      </c>
      <c r="J1306" s="19" t="n">
        <v>37</v>
      </c>
      <c r="K1306" s="39" t="n">
        <v>326000</v>
      </c>
      <c r="L1306" s="39" t="n">
        <f aca="false">ROUND(K1306/J1306,2)</f>
        <v>8810.81</v>
      </c>
      <c r="M1306" s="34"/>
      <c r="N1306" s="40"/>
      <c r="O1306" s="30" t="n">
        <f aca="false">K1306+N1306</f>
        <v>326000</v>
      </c>
      <c r="P1306" s="39" t="n">
        <f aca="false">ROUND(O1306/J1306,2)</f>
        <v>8810.81</v>
      </c>
      <c r="Q1306" s="19" t="s">
        <v>1351</v>
      </c>
      <c r="R1306" s="22" t="s">
        <v>26</v>
      </c>
      <c r="S1306" s="19" t="s">
        <v>29</v>
      </c>
      <c r="T1306" s="19" t="s">
        <v>30</v>
      </c>
      <c r="U1306" s="31" t="s">
        <v>31</v>
      </c>
      <c r="V1306" s="41" t="n">
        <v>43514</v>
      </c>
      <c r="W1306" s="34"/>
      <c r="X1306" s="34"/>
    </row>
    <row r="1307" customFormat="false" ht="13.8" hidden="false" customHeight="false" outlineLevel="0" collapsed="false">
      <c r="A1307" s="34"/>
      <c r="B1307" s="19" t="n">
        <v>600</v>
      </c>
      <c r="C1307" s="20" t="n">
        <v>43420</v>
      </c>
      <c r="D1307" s="38" t="s">
        <v>22</v>
      </c>
      <c r="E1307" s="22" t="s">
        <v>281</v>
      </c>
      <c r="F1307" s="34" t="s">
        <v>404</v>
      </c>
      <c r="G1307" s="19" t="n">
        <v>97</v>
      </c>
      <c r="H1307" s="19" t="n">
        <v>19</v>
      </c>
      <c r="I1307" s="19" t="n">
        <v>3</v>
      </c>
      <c r="J1307" s="19" t="n">
        <v>40.75</v>
      </c>
      <c r="K1307" s="39" t="n">
        <v>365000</v>
      </c>
      <c r="L1307" s="39" t="n">
        <f aca="false">ROUND(K1307/J1307,2)</f>
        <v>8957.06</v>
      </c>
      <c r="M1307" s="34"/>
      <c r="N1307" s="40"/>
      <c r="O1307" s="30" t="n">
        <f aca="false">K1307+N1307</f>
        <v>365000</v>
      </c>
      <c r="P1307" s="39" t="n">
        <f aca="false">ROUND(O1307/J1307,2)</f>
        <v>8957.06</v>
      </c>
      <c r="Q1307" s="19" t="s">
        <v>1351</v>
      </c>
      <c r="R1307" s="22" t="s">
        <v>26</v>
      </c>
      <c r="S1307" s="19" t="s">
        <v>29</v>
      </c>
      <c r="T1307" s="19" t="s">
        <v>30</v>
      </c>
      <c r="U1307" s="31" t="s">
        <v>31</v>
      </c>
      <c r="V1307" s="41" t="n">
        <v>43514</v>
      </c>
      <c r="W1307" s="18"/>
      <c r="X1307" s="18"/>
    </row>
    <row r="1308" s="32" customFormat="true" ht="13.8" hidden="false" customHeight="false" outlineLevel="0" collapsed="false">
      <c r="A1308" s="34"/>
      <c r="B1308" s="19" t="n">
        <v>8145</v>
      </c>
      <c r="C1308" s="20" t="n">
        <v>43420</v>
      </c>
      <c r="D1308" s="38" t="s">
        <v>22</v>
      </c>
      <c r="E1308" s="22" t="s">
        <v>637</v>
      </c>
      <c r="F1308" s="34" t="s">
        <v>638</v>
      </c>
      <c r="G1308" s="19" t="n">
        <v>9</v>
      </c>
      <c r="H1308" s="19" t="n">
        <v>33</v>
      </c>
      <c r="I1308" s="19" t="n">
        <v>3</v>
      </c>
      <c r="J1308" s="19" t="n">
        <v>54.61</v>
      </c>
      <c r="K1308" s="39" t="n">
        <v>590000</v>
      </c>
      <c r="L1308" s="39" t="n">
        <f aca="false">ROUND(K1308/J1308,2)</f>
        <v>10803.88</v>
      </c>
      <c r="M1308" s="34"/>
      <c r="N1308" s="40"/>
      <c r="O1308" s="30" t="n">
        <f aca="false">K1308+N1308</f>
        <v>590000</v>
      </c>
      <c r="P1308" s="39" t="n">
        <f aca="false">ROUND(O1308/J1308,2)</f>
        <v>10803.88</v>
      </c>
      <c r="Q1308" s="19" t="s">
        <v>1351</v>
      </c>
      <c r="R1308" s="22" t="s">
        <v>26</v>
      </c>
      <c r="S1308" s="19" t="s">
        <v>29</v>
      </c>
      <c r="T1308" s="19" t="s">
        <v>30</v>
      </c>
      <c r="U1308" s="31" t="s">
        <v>31</v>
      </c>
      <c r="V1308" s="41" t="n">
        <v>43514</v>
      </c>
      <c r="W1308" s="18"/>
      <c r="X1308" s="18"/>
    </row>
    <row r="1309" s="32" customFormat="true" ht="13.8" hidden="false" customHeight="false" outlineLevel="0" collapsed="false">
      <c r="A1309" s="34"/>
      <c r="B1309" s="19" t="n">
        <v>16694</v>
      </c>
      <c r="C1309" s="20" t="n">
        <v>43420</v>
      </c>
      <c r="D1309" s="38" t="s">
        <v>22</v>
      </c>
      <c r="E1309" s="22" t="s">
        <v>45</v>
      </c>
      <c r="F1309" s="34" t="s">
        <v>46</v>
      </c>
      <c r="G1309" s="19" t="s">
        <v>417</v>
      </c>
      <c r="H1309" s="19" t="n">
        <v>10</v>
      </c>
      <c r="I1309" s="19" t="n">
        <v>3</v>
      </c>
      <c r="J1309" s="19" t="n">
        <v>73.9</v>
      </c>
      <c r="K1309" s="39" t="n">
        <v>820000</v>
      </c>
      <c r="L1309" s="39" t="n">
        <f aca="false">ROUND(K1309/J1309,2)</f>
        <v>11096.08</v>
      </c>
      <c r="M1309" s="48" t="s">
        <v>189</v>
      </c>
      <c r="N1309" s="40"/>
      <c r="O1309" s="30" t="n">
        <f aca="false">K1309+N1309</f>
        <v>820000</v>
      </c>
      <c r="P1309" s="39" t="n">
        <f aca="false">ROUND(O1309/J1309,2)</f>
        <v>11096.08</v>
      </c>
      <c r="Q1309" s="19" t="s">
        <v>1351</v>
      </c>
      <c r="R1309" s="22" t="s">
        <v>26</v>
      </c>
      <c r="S1309" s="19" t="s">
        <v>29</v>
      </c>
      <c r="T1309" s="19" t="s">
        <v>30</v>
      </c>
      <c r="U1309" s="31" t="s">
        <v>31</v>
      </c>
      <c r="V1309" s="41" t="n">
        <v>43514</v>
      </c>
      <c r="W1309" s="34"/>
      <c r="X1309" s="34"/>
    </row>
    <row r="1310" s="32" customFormat="true" ht="13.8" hidden="false" customHeight="false" outlineLevel="0" collapsed="false">
      <c r="A1310" s="34"/>
      <c r="B1310" s="19" t="n">
        <v>3456</v>
      </c>
      <c r="C1310" s="20" t="n">
        <v>43420</v>
      </c>
      <c r="D1310" s="38" t="s">
        <v>22</v>
      </c>
      <c r="E1310" s="22" t="s">
        <v>399</v>
      </c>
      <c r="F1310" s="34" t="s">
        <v>503</v>
      </c>
      <c r="G1310" s="19" t="n">
        <v>10</v>
      </c>
      <c r="H1310" s="19" t="n">
        <v>23</v>
      </c>
      <c r="I1310" s="19" t="n">
        <v>8</v>
      </c>
      <c r="J1310" s="19" t="n">
        <v>67.93</v>
      </c>
      <c r="K1310" s="39" t="n">
        <v>760000</v>
      </c>
      <c r="L1310" s="39" t="n">
        <f aca="false">ROUND(K1310/J1310,2)</f>
        <v>11187.99</v>
      </c>
      <c r="M1310" s="48" t="s">
        <v>940</v>
      </c>
      <c r="N1310" s="40" t="n">
        <v>40000</v>
      </c>
      <c r="O1310" s="30" t="n">
        <f aca="false">K1310+N1310</f>
        <v>800000</v>
      </c>
      <c r="P1310" s="39" t="n">
        <f aca="false">ROUND(O1310/J1310,2)</f>
        <v>11776.83</v>
      </c>
      <c r="Q1310" s="19" t="s">
        <v>1667</v>
      </c>
      <c r="R1310" s="22" t="s">
        <v>49</v>
      </c>
      <c r="S1310" s="19" t="s">
        <v>29</v>
      </c>
      <c r="T1310" s="19" t="s">
        <v>30</v>
      </c>
      <c r="U1310" s="31" t="s">
        <v>31</v>
      </c>
      <c r="V1310" s="41" t="n">
        <v>43514</v>
      </c>
      <c r="W1310" s="18"/>
      <c r="X1310" s="18"/>
    </row>
    <row r="1311" s="32" customFormat="true" ht="13.8" hidden="false" customHeight="false" outlineLevel="0" collapsed="false">
      <c r="A1311" s="34"/>
      <c r="B1311" s="19" t="n">
        <v>18773</v>
      </c>
      <c r="C1311" s="20" t="n">
        <v>43420</v>
      </c>
      <c r="D1311" s="38" t="s">
        <v>22</v>
      </c>
      <c r="E1311" s="22" t="s">
        <v>215</v>
      </c>
      <c r="F1311" s="34" t="s">
        <v>216</v>
      </c>
      <c r="G1311" s="19" t="n">
        <v>2</v>
      </c>
      <c r="H1311" s="19" t="n">
        <v>91</v>
      </c>
      <c r="I1311" s="19" t="n">
        <v>5</v>
      </c>
      <c r="J1311" s="19" t="n">
        <v>33.95</v>
      </c>
      <c r="K1311" s="39" t="n">
        <v>436000</v>
      </c>
      <c r="L1311" s="27" t="n">
        <f aca="false">K1311/J1311</f>
        <v>12842.4153166421</v>
      </c>
      <c r="M1311" s="50" t="s">
        <v>1778</v>
      </c>
      <c r="N1311" s="29"/>
      <c r="O1311" s="30" t="n">
        <f aca="false">K1311+N1311</f>
        <v>436000</v>
      </c>
      <c r="P1311" s="30" t="n">
        <f aca="false">O1311/J1311</f>
        <v>12842.4153166421</v>
      </c>
      <c r="Q1311" s="19" t="s">
        <v>1181</v>
      </c>
      <c r="R1311" s="22" t="s">
        <v>27</v>
      </c>
      <c r="S1311" s="19" t="s">
        <v>29</v>
      </c>
      <c r="T1311" s="19" t="s">
        <v>30</v>
      </c>
      <c r="U1311" s="31" t="s">
        <v>31</v>
      </c>
      <c r="V1311" s="41" t="n">
        <v>43601</v>
      </c>
      <c r="W1311" s="34" t="s">
        <v>1779</v>
      </c>
      <c r="X1311" s="34"/>
    </row>
    <row r="1312" customFormat="false" ht="13.8" hidden="false" customHeight="false" outlineLevel="0" collapsed="false">
      <c r="A1312" s="34"/>
      <c r="B1312" s="19" t="n">
        <v>2195</v>
      </c>
      <c r="C1312" s="20" t="n">
        <v>43423</v>
      </c>
      <c r="D1312" s="38" t="s">
        <v>22</v>
      </c>
      <c r="E1312" s="22" t="s">
        <v>75</v>
      </c>
      <c r="F1312" s="34" t="s">
        <v>1594</v>
      </c>
      <c r="G1312" s="19" t="n">
        <v>69</v>
      </c>
      <c r="H1312" s="19" t="n">
        <v>7</v>
      </c>
      <c r="I1312" s="19" t="n">
        <v>4</v>
      </c>
      <c r="J1312" s="19" t="n">
        <v>182.65</v>
      </c>
      <c r="K1312" s="39" t="n">
        <v>2340000</v>
      </c>
      <c r="L1312" s="27" t="n">
        <f aca="false">K1312/J1312</f>
        <v>12811.3879003559</v>
      </c>
      <c r="M1312" s="50" t="s">
        <v>1780</v>
      </c>
      <c r="N1312" s="29" t="n">
        <v>50000</v>
      </c>
      <c r="O1312" s="30" t="n">
        <f aca="false">K1312+N1312</f>
        <v>2390000</v>
      </c>
      <c r="P1312" s="30" t="n">
        <f aca="false">O1312/J1312</f>
        <v>13085.1355050643</v>
      </c>
      <c r="Q1312" s="19" t="s">
        <v>1781</v>
      </c>
      <c r="R1312" s="22" t="s">
        <v>49</v>
      </c>
      <c r="S1312" s="19" t="s">
        <v>29</v>
      </c>
      <c r="T1312" s="19" t="s">
        <v>30</v>
      </c>
      <c r="U1312" s="31" t="s">
        <v>31</v>
      </c>
      <c r="V1312" s="41" t="n">
        <v>43601</v>
      </c>
      <c r="W1312" s="34" t="s">
        <v>1782</v>
      </c>
      <c r="X1312" s="18"/>
    </row>
    <row r="1313" customFormat="false" ht="13.8" hidden="false" customHeight="false" outlineLevel="0" collapsed="false">
      <c r="A1313" s="34"/>
      <c r="B1313" s="19" t="n">
        <v>2452</v>
      </c>
      <c r="C1313" s="20" t="n">
        <v>43423</v>
      </c>
      <c r="D1313" s="38" t="s">
        <v>22</v>
      </c>
      <c r="E1313" s="22" t="s">
        <v>690</v>
      </c>
      <c r="F1313" s="34" t="s">
        <v>1783</v>
      </c>
      <c r="G1313" s="19" t="n">
        <v>29</v>
      </c>
      <c r="H1313" s="19" t="n">
        <v>2</v>
      </c>
      <c r="I1313" s="19" t="n">
        <v>1</v>
      </c>
      <c r="J1313" s="19" t="n">
        <v>30.4</v>
      </c>
      <c r="K1313" s="39" t="n">
        <v>386111</v>
      </c>
      <c r="L1313" s="39" t="n">
        <f aca="false">K1313/J1313</f>
        <v>12701.0197368421</v>
      </c>
      <c r="M1313" s="34" t="s">
        <v>1784</v>
      </c>
      <c r="N1313" s="40"/>
      <c r="O1313" s="30" t="n">
        <f aca="false">K1313+N1313</f>
        <v>386111</v>
      </c>
      <c r="P1313" s="39" t="n">
        <f aca="false">O1313/J1313</f>
        <v>12701.0197368421</v>
      </c>
      <c r="Q1313" s="19" t="s">
        <v>1785</v>
      </c>
      <c r="R1313" s="22" t="s">
        <v>27</v>
      </c>
      <c r="S1313" s="19" t="s">
        <v>29</v>
      </c>
      <c r="T1313" s="19" t="s">
        <v>30</v>
      </c>
      <c r="U1313" s="19" t="s">
        <v>31</v>
      </c>
      <c r="V1313" s="41" t="n">
        <v>43693</v>
      </c>
      <c r="W1313" s="34" t="s">
        <v>1786</v>
      </c>
      <c r="X1313" s="18"/>
    </row>
    <row r="1314" customFormat="false" ht="13.8" hidden="false" customHeight="false" outlineLevel="0" collapsed="false">
      <c r="A1314" s="34"/>
      <c r="B1314" s="19" t="n">
        <v>5233</v>
      </c>
      <c r="C1314" s="20" t="n">
        <v>43423</v>
      </c>
      <c r="D1314" s="38" t="s">
        <v>22</v>
      </c>
      <c r="E1314" s="22" t="s">
        <v>623</v>
      </c>
      <c r="F1314" s="34" t="s">
        <v>434</v>
      </c>
      <c r="G1314" s="19" t="s">
        <v>624</v>
      </c>
      <c r="H1314" s="19" t="n">
        <v>88</v>
      </c>
      <c r="I1314" s="19" t="n">
        <v>3</v>
      </c>
      <c r="J1314" s="19" t="n">
        <v>42.91</v>
      </c>
      <c r="K1314" s="39" t="n">
        <v>490000</v>
      </c>
      <c r="L1314" s="27" t="n">
        <f aca="false">K1314/J1314</f>
        <v>11419.2495921697</v>
      </c>
      <c r="M1314" s="50"/>
      <c r="N1314" s="29"/>
      <c r="O1314" s="30" t="n">
        <f aca="false">K1314+N1314</f>
        <v>490000</v>
      </c>
      <c r="P1314" s="30" t="n">
        <f aca="false">O1314/J1314</f>
        <v>11419.2495921697</v>
      </c>
      <c r="Q1314" s="19" t="s">
        <v>1181</v>
      </c>
      <c r="R1314" s="22" t="s">
        <v>27</v>
      </c>
      <c r="S1314" s="19" t="s">
        <v>29</v>
      </c>
      <c r="T1314" s="19" t="s">
        <v>30</v>
      </c>
      <c r="U1314" s="31" t="s">
        <v>31</v>
      </c>
      <c r="V1314" s="41" t="n">
        <v>43601</v>
      </c>
      <c r="W1314" s="34" t="s">
        <v>1787</v>
      </c>
      <c r="X1314" s="18"/>
    </row>
    <row r="1315" customFormat="false" ht="13.8" hidden="false" customHeight="false" outlineLevel="0" collapsed="false">
      <c r="A1315" s="34"/>
      <c r="B1315" s="19" t="n">
        <v>14088</v>
      </c>
      <c r="C1315" s="20" t="n">
        <v>43423</v>
      </c>
      <c r="D1315" s="38" t="s">
        <v>22</v>
      </c>
      <c r="E1315" s="22" t="s">
        <v>122</v>
      </c>
      <c r="F1315" s="34" t="s">
        <v>805</v>
      </c>
      <c r="G1315" s="19" t="n">
        <v>44</v>
      </c>
      <c r="H1315" s="19" t="n">
        <v>64</v>
      </c>
      <c r="I1315" s="19" t="n">
        <v>11</v>
      </c>
      <c r="J1315" s="19" t="n">
        <v>57.05</v>
      </c>
      <c r="K1315" s="39" t="n">
        <v>400000</v>
      </c>
      <c r="L1315" s="27" t="n">
        <f aca="false">K1315/J1315</f>
        <v>7011.393514461</v>
      </c>
      <c r="M1315" s="50" t="s">
        <v>1140</v>
      </c>
      <c r="N1315" s="29"/>
      <c r="O1315" s="30" t="n">
        <f aca="false">K1315+N1315</f>
        <v>400000</v>
      </c>
      <c r="P1315" s="30" t="n">
        <f aca="false">O1315/J1315</f>
        <v>7011.393514461</v>
      </c>
      <c r="Q1315" s="19" t="s">
        <v>861</v>
      </c>
      <c r="R1315" s="22" t="s">
        <v>26</v>
      </c>
      <c r="S1315" s="19" t="s">
        <v>29</v>
      </c>
      <c r="T1315" s="19" t="s">
        <v>30</v>
      </c>
      <c r="U1315" s="31" t="s">
        <v>31</v>
      </c>
      <c r="V1315" s="41" t="n">
        <v>43601</v>
      </c>
      <c r="W1315" s="34" t="s">
        <v>1788</v>
      </c>
      <c r="X1315" s="18"/>
    </row>
    <row r="1316" customFormat="false" ht="13.8" hidden="false" customHeight="false" outlineLevel="0" collapsed="false">
      <c r="A1316" s="34"/>
      <c r="B1316" s="19" t="n">
        <v>13063</v>
      </c>
      <c r="C1316" s="20" t="n">
        <v>43424</v>
      </c>
      <c r="D1316" s="38" t="s">
        <v>22</v>
      </c>
      <c r="E1316" s="22" t="s">
        <v>206</v>
      </c>
      <c r="F1316" s="34" t="s">
        <v>320</v>
      </c>
      <c r="G1316" s="19" t="s">
        <v>631</v>
      </c>
      <c r="H1316" s="19" t="n">
        <v>116</v>
      </c>
      <c r="I1316" s="19" t="n">
        <v>5</v>
      </c>
      <c r="J1316" s="19" t="n">
        <v>39.74</v>
      </c>
      <c r="K1316" s="39" t="n">
        <v>447000</v>
      </c>
      <c r="L1316" s="27" t="n">
        <f aca="false">K1316/J1316</f>
        <v>11248.112732763</v>
      </c>
      <c r="M1316" s="50"/>
      <c r="N1316" s="29"/>
      <c r="O1316" s="30" t="n">
        <f aca="false">K1316+N1316</f>
        <v>447000</v>
      </c>
      <c r="P1316" s="30" t="n">
        <f aca="false">O1316/J1316</f>
        <v>11248.112732763</v>
      </c>
      <c r="Q1316" s="19" t="s">
        <v>1181</v>
      </c>
      <c r="R1316" s="22" t="s">
        <v>27</v>
      </c>
      <c r="S1316" s="19" t="s">
        <v>29</v>
      </c>
      <c r="T1316" s="19" t="s">
        <v>30</v>
      </c>
      <c r="U1316" s="31" t="s">
        <v>31</v>
      </c>
      <c r="V1316" s="41" t="n">
        <v>43601</v>
      </c>
      <c r="W1316" s="34" t="s">
        <v>1789</v>
      </c>
      <c r="X1316" s="18"/>
    </row>
    <row r="1317" s="32" customFormat="true" ht="13.8" hidden="false" customHeight="false" outlineLevel="0" collapsed="false">
      <c r="A1317" s="34"/>
      <c r="B1317" s="19" t="n">
        <v>2763</v>
      </c>
      <c r="C1317" s="20" t="n">
        <v>43424</v>
      </c>
      <c r="D1317" s="38" t="s">
        <v>22</v>
      </c>
      <c r="E1317" s="22" t="s">
        <v>251</v>
      </c>
      <c r="F1317" s="34" t="s">
        <v>252</v>
      </c>
      <c r="G1317" s="19" t="n">
        <v>1</v>
      </c>
      <c r="H1317" s="19" t="n">
        <v>122</v>
      </c>
      <c r="I1317" s="19" t="n">
        <v>8</v>
      </c>
      <c r="J1317" s="19" t="n">
        <v>25.71</v>
      </c>
      <c r="K1317" s="39" t="n">
        <v>270000</v>
      </c>
      <c r="L1317" s="39" t="n">
        <f aca="false">ROUND(K1317/J1317,2)</f>
        <v>10501.75</v>
      </c>
      <c r="M1317" s="48" t="s">
        <v>189</v>
      </c>
      <c r="N1317" s="40"/>
      <c r="O1317" s="30" t="n">
        <f aca="false">K1317+N1317</f>
        <v>270000</v>
      </c>
      <c r="P1317" s="39" t="n">
        <f aca="false">ROUND(O1317/J1317,2)</f>
        <v>10501.75</v>
      </c>
      <c r="Q1317" s="19" t="s">
        <v>1695</v>
      </c>
      <c r="R1317" s="22" t="s">
        <v>36</v>
      </c>
      <c r="S1317" s="19" t="s">
        <v>29</v>
      </c>
      <c r="T1317" s="19" t="s">
        <v>30</v>
      </c>
      <c r="U1317" s="31" t="s">
        <v>31</v>
      </c>
      <c r="V1317" s="41" t="n">
        <v>43514</v>
      </c>
      <c r="W1317" s="18"/>
      <c r="X1317" s="18"/>
    </row>
    <row r="1318" customFormat="false" ht="13.8" hidden="false" customHeight="false" outlineLevel="0" collapsed="false">
      <c r="A1318" s="34"/>
      <c r="B1318" s="19" t="s">
        <v>887</v>
      </c>
      <c r="C1318" s="20" t="n">
        <v>43424</v>
      </c>
      <c r="D1318" s="38" t="s">
        <v>22</v>
      </c>
      <c r="E1318" s="22" t="s">
        <v>251</v>
      </c>
      <c r="F1318" s="45" t="s">
        <v>252</v>
      </c>
      <c r="G1318" s="19" t="n">
        <v>1</v>
      </c>
      <c r="H1318" s="19"/>
      <c r="I1318" s="19" t="n">
        <v>8</v>
      </c>
      <c r="J1318" s="25" t="n">
        <v>25.71</v>
      </c>
      <c r="K1318" s="39" t="n">
        <v>270000</v>
      </c>
      <c r="L1318" s="39" t="n">
        <f aca="false">K1318/J1318</f>
        <v>10501.7502917153</v>
      </c>
      <c r="M1318" s="34"/>
      <c r="N1318" s="40"/>
      <c r="O1318" s="30" t="n">
        <f aca="false">K1318+N1318</f>
        <v>270000</v>
      </c>
      <c r="P1318" s="39" t="n">
        <f aca="false">O1318/J1318</f>
        <v>10501.7502917153</v>
      </c>
      <c r="Q1318" s="19" t="s">
        <v>889</v>
      </c>
      <c r="R1318" s="19" t="n">
        <v>2</v>
      </c>
      <c r="S1318" s="19" t="s">
        <v>890</v>
      </c>
      <c r="T1318" s="19"/>
      <c r="U1318" s="19" t="s">
        <v>31</v>
      </c>
      <c r="V1318" s="41" t="n">
        <v>43727</v>
      </c>
      <c r="W1318" s="34"/>
      <c r="X1318" s="34"/>
    </row>
    <row r="1319" customFormat="false" ht="13.8" hidden="false" customHeight="false" outlineLevel="0" collapsed="false">
      <c r="A1319" s="34"/>
      <c r="B1319" s="19" t="n">
        <v>14384</v>
      </c>
      <c r="C1319" s="20" t="n">
        <v>43424</v>
      </c>
      <c r="D1319" s="38" t="s">
        <v>22</v>
      </c>
      <c r="E1319" s="22" t="s">
        <v>302</v>
      </c>
      <c r="F1319" s="34" t="s">
        <v>485</v>
      </c>
      <c r="G1319" s="19" t="n">
        <v>27</v>
      </c>
      <c r="H1319" s="19" t="n">
        <v>22</v>
      </c>
      <c r="I1319" s="19" t="n">
        <v>5</v>
      </c>
      <c r="J1319" s="19" t="n">
        <v>28.41</v>
      </c>
      <c r="K1319" s="39" t="n">
        <v>230000</v>
      </c>
      <c r="L1319" s="27" t="n">
        <f aca="false">K1319/J1319</f>
        <v>8095.74093629004</v>
      </c>
      <c r="M1319" s="50"/>
      <c r="N1319" s="29"/>
      <c r="O1319" s="30" t="n">
        <f aca="false">K1319+N1319</f>
        <v>230000</v>
      </c>
      <c r="P1319" s="30" t="n">
        <f aca="false">O1319/J1319</f>
        <v>8095.74093629004</v>
      </c>
      <c r="Q1319" s="19" t="s">
        <v>1181</v>
      </c>
      <c r="R1319" s="22" t="s">
        <v>27</v>
      </c>
      <c r="S1319" s="19" t="s">
        <v>29</v>
      </c>
      <c r="T1319" s="19" t="s">
        <v>30</v>
      </c>
      <c r="U1319" s="31" t="s">
        <v>31</v>
      </c>
      <c r="V1319" s="41" t="n">
        <v>43601</v>
      </c>
      <c r="W1319" s="34" t="s">
        <v>1790</v>
      </c>
      <c r="X1319" s="18"/>
    </row>
    <row r="1320" customFormat="false" ht="13.8" hidden="false" customHeight="false" outlineLevel="0" collapsed="false">
      <c r="A1320" s="34"/>
      <c r="B1320" s="19" t="n">
        <v>9220</v>
      </c>
      <c r="C1320" s="20" t="n">
        <v>43424</v>
      </c>
      <c r="D1320" s="38" t="s">
        <v>22</v>
      </c>
      <c r="E1320" s="22" t="s">
        <v>375</v>
      </c>
      <c r="F1320" s="34" t="s">
        <v>560</v>
      </c>
      <c r="G1320" s="19" t="n">
        <v>7</v>
      </c>
      <c r="H1320" s="19" t="n">
        <v>7</v>
      </c>
      <c r="I1320" s="19" t="n">
        <v>2</v>
      </c>
      <c r="J1320" s="19" t="n">
        <v>98.5</v>
      </c>
      <c r="K1320" s="39" t="n">
        <v>1200000</v>
      </c>
      <c r="L1320" s="39" t="n">
        <f aca="false">ROUND(K1320/J1320,2)</f>
        <v>12182.74</v>
      </c>
      <c r="M1320" s="18"/>
      <c r="N1320" s="40"/>
      <c r="O1320" s="30" t="n">
        <f aca="false">K1320+N1320</f>
        <v>1200000</v>
      </c>
      <c r="P1320" s="39" t="n">
        <f aca="false">ROUND(O1320/J1320,2)</f>
        <v>12182.74</v>
      </c>
      <c r="Q1320" s="19" t="s">
        <v>1667</v>
      </c>
      <c r="R1320" s="22" t="s">
        <v>49</v>
      </c>
      <c r="S1320" s="19" t="s">
        <v>29</v>
      </c>
      <c r="T1320" s="19" t="s">
        <v>30</v>
      </c>
      <c r="U1320" s="31" t="s">
        <v>31</v>
      </c>
      <c r="V1320" s="41" t="n">
        <v>43514</v>
      </c>
      <c r="W1320" s="18"/>
      <c r="X1320" s="18"/>
    </row>
    <row r="1321" s="32" customFormat="true" ht="13.8" hidden="false" customHeight="false" outlineLevel="0" collapsed="false">
      <c r="A1321" s="34"/>
      <c r="B1321" s="19" t="n">
        <v>1349</v>
      </c>
      <c r="C1321" s="20" t="n">
        <v>43424</v>
      </c>
      <c r="D1321" s="38" t="s">
        <v>22</v>
      </c>
      <c r="E1321" s="22" t="s">
        <v>187</v>
      </c>
      <c r="F1321" s="34" t="s">
        <v>271</v>
      </c>
      <c r="G1321" s="19" t="n">
        <v>46</v>
      </c>
      <c r="H1321" s="19" t="n">
        <v>94</v>
      </c>
      <c r="I1321" s="19" t="n">
        <v>5</v>
      </c>
      <c r="J1321" s="19" t="n">
        <v>51.28</v>
      </c>
      <c r="K1321" s="39" t="n">
        <v>485000</v>
      </c>
      <c r="L1321" s="39" t="n">
        <f aca="false">ROUND(K1321/J1321,2)</f>
        <v>9457.88</v>
      </c>
      <c r="M1321" s="18"/>
      <c r="N1321" s="40"/>
      <c r="O1321" s="30" t="n">
        <f aca="false">K1321+N1321</f>
        <v>485000</v>
      </c>
      <c r="P1321" s="39" t="n">
        <f aca="false">ROUND(O1321/J1321,2)</f>
        <v>9457.88</v>
      </c>
      <c r="Q1321" s="19" t="s">
        <v>1351</v>
      </c>
      <c r="R1321" s="22" t="s">
        <v>26</v>
      </c>
      <c r="S1321" s="19" t="s">
        <v>29</v>
      </c>
      <c r="T1321" s="19" t="s">
        <v>30</v>
      </c>
      <c r="U1321" s="31" t="s">
        <v>31</v>
      </c>
      <c r="V1321" s="41" t="n">
        <v>43514</v>
      </c>
      <c r="W1321" s="18"/>
      <c r="X1321" s="18"/>
    </row>
    <row r="1322" customFormat="false" ht="13.8" hidden="false" customHeight="false" outlineLevel="0" collapsed="false">
      <c r="A1322" s="34"/>
      <c r="B1322" s="19" t="n">
        <v>2763</v>
      </c>
      <c r="C1322" s="20" t="n">
        <v>43424</v>
      </c>
      <c r="D1322" s="38" t="s">
        <v>22</v>
      </c>
      <c r="E1322" s="22" t="s">
        <v>299</v>
      </c>
      <c r="F1322" s="34" t="s">
        <v>1220</v>
      </c>
      <c r="G1322" s="19" t="n">
        <v>3</v>
      </c>
      <c r="H1322" s="19" t="n">
        <v>12</v>
      </c>
      <c r="I1322" s="19" t="n">
        <v>3</v>
      </c>
      <c r="J1322" s="19" t="n">
        <v>46.36</v>
      </c>
      <c r="K1322" s="39" t="n">
        <v>499000</v>
      </c>
      <c r="L1322" s="39" t="n">
        <f aca="false">ROUND(K1322/J1322,2)</f>
        <v>10763.59</v>
      </c>
      <c r="M1322" s="34"/>
      <c r="N1322" s="40"/>
      <c r="O1322" s="30" t="n">
        <f aca="false">K1322+N1322</f>
        <v>499000</v>
      </c>
      <c r="P1322" s="39" t="n">
        <f aca="false">ROUND(O1322/J1322,2)</f>
        <v>10763.59</v>
      </c>
      <c r="Q1322" s="19" t="s">
        <v>1351</v>
      </c>
      <c r="R1322" s="22" t="s">
        <v>26</v>
      </c>
      <c r="S1322" s="19" t="s">
        <v>29</v>
      </c>
      <c r="T1322" s="19" t="s">
        <v>30</v>
      </c>
      <c r="U1322" s="31" t="s">
        <v>31</v>
      </c>
      <c r="V1322" s="41" t="n">
        <v>43514</v>
      </c>
      <c r="W1322" s="34"/>
      <c r="X1322" s="34"/>
    </row>
    <row r="1323" s="32" customFormat="true" ht="13.8" hidden="false" customHeight="false" outlineLevel="0" collapsed="false">
      <c r="A1323" s="34"/>
      <c r="B1323" s="19" t="n">
        <v>13099</v>
      </c>
      <c r="C1323" s="20" t="n">
        <v>43425</v>
      </c>
      <c r="D1323" s="38" t="s">
        <v>22</v>
      </c>
      <c r="E1323" s="22" t="s">
        <v>343</v>
      </c>
      <c r="F1323" s="34" t="s">
        <v>392</v>
      </c>
      <c r="G1323" s="19" t="n">
        <v>52</v>
      </c>
      <c r="H1323" s="19" t="n">
        <v>8</v>
      </c>
      <c r="I1323" s="19" t="n">
        <v>2</v>
      </c>
      <c r="J1323" s="19" t="n">
        <v>44.24</v>
      </c>
      <c r="K1323" s="39" t="n">
        <v>474000</v>
      </c>
      <c r="L1323" s="39" t="n">
        <f aca="false">K1323/J1323</f>
        <v>10714.2857142857</v>
      </c>
      <c r="M1323" s="34" t="s">
        <v>1461</v>
      </c>
      <c r="N1323" s="40"/>
      <c r="O1323" s="30" t="n">
        <f aca="false">K1323+N1323</f>
        <v>474000</v>
      </c>
      <c r="P1323" s="39" t="n">
        <f aca="false">O1323/J1323</f>
        <v>10714.2857142857</v>
      </c>
      <c r="Q1323" s="19" t="s">
        <v>1791</v>
      </c>
      <c r="R1323" s="22" t="s">
        <v>36</v>
      </c>
      <c r="S1323" s="19" t="s">
        <v>29</v>
      </c>
      <c r="T1323" s="19" t="s">
        <v>30</v>
      </c>
      <c r="U1323" s="31" t="s">
        <v>31</v>
      </c>
      <c r="V1323" s="41" t="n">
        <v>43514</v>
      </c>
      <c r="W1323" s="34" t="s">
        <v>1792</v>
      </c>
      <c r="X1323" s="34"/>
    </row>
    <row r="1324" customFormat="false" ht="13.8" hidden="false" customHeight="false" outlineLevel="0" collapsed="false">
      <c r="A1324" s="34"/>
      <c r="B1324" s="19" t="n">
        <v>7530</v>
      </c>
      <c r="C1324" s="20" t="n">
        <v>43425</v>
      </c>
      <c r="D1324" s="38" t="s">
        <v>22</v>
      </c>
      <c r="E1324" s="22" t="s">
        <v>717</v>
      </c>
      <c r="F1324" s="34" t="s">
        <v>718</v>
      </c>
      <c r="G1324" s="19" t="n">
        <v>5</v>
      </c>
      <c r="H1324" s="19" t="n">
        <v>22</v>
      </c>
      <c r="I1324" s="19" t="n">
        <v>4</v>
      </c>
      <c r="J1324" s="19" t="n">
        <v>44.1</v>
      </c>
      <c r="K1324" s="39" t="n">
        <v>265000</v>
      </c>
      <c r="L1324" s="27" t="n">
        <f aca="false">K1324/J1324</f>
        <v>6009.07029478458</v>
      </c>
      <c r="M1324" s="50"/>
      <c r="N1324" s="29"/>
      <c r="O1324" s="30" t="n">
        <f aca="false">K1324+N1324</f>
        <v>265000</v>
      </c>
      <c r="P1324" s="30" t="n">
        <f aca="false">O1324/J1324</f>
        <v>6009.07029478458</v>
      </c>
      <c r="Q1324" s="19" t="s">
        <v>903</v>
      </c>
      <c r="R1324" s="22" t="s">
        <v>36</v>
      </c>
      <c r="S1324" s="19" t="s">
        <v>29</v>
      </c>
      <c r="T1324" s="19" t="s">
        <v>30</v>
      </c>
      <c r="U1324" s="31" t="s">
        <v>31</v>
      </c>
      <c r="V1324" s="41" t="n">
        <v>43601</v>
      </c>
      <c r="W1324" s="34" t="s">
        <v>1793</v>
      </c>
      <c r="X1324" s="18"/>
    </row>
    <row r="1325" customFormat="false" ht="13.8" hidden="false" customHeight="false" outlineLevel="0" collapsed="false">
      <c r="A1325" s="34"/>
      <c r="B1325" s="19" t="n">
        <v>5695</v>
      </c>
      <c r="C1325" s="20" t="n">
        <v>43425</v>
      </c>
      <c r="D1325" s="38" t="s">
        <v>22</v>
      </c>
      <c r="E1325" s="22" t="s">
        <v>235</v>
      </c>
      <c r="F1325" s="34" t="s">
        <v>456</v>
      </c>
      <c r="G1325" s="19" t="n">
        <v>5</v>
      </c>
      <c r="H1325" s="19" t="n">
        <v>35</v>
      </c>
      <c r="I1325" s="19" t="n">
        <v>4</v>
      </c>
      <c r="J1325" s="19" t="n">
        <v>29.41</v>
      </c>
      <c r="K1325" s="39" t="n">
        <v>286000</v>
      </c>
      <c r="L1325" s="39" t="n">
        <f aca="false">ROUND(K1325/J1325,2)</f>
        <v>9724.58</v>
      </c>
      <c r="M1325" s="34"/>
      <c r="N1325" s="40"/>
      <c r="O1325" s="30" t="n">
        <f aca="false">K1325+N1325</f>
        <v>286000</v>
      </c>
      <c r="P1325" s="39" t="n">
        <f aca="false">ROUND(O1325/J1325,2)</f>
        <v>9724.58</v>
      </c>
      <c r="Q1325" s="19" t="s">
        <v>1695</v>
      </c>
      <c r="R1325" s="22" t="s">
        <v>36</v>
      </c>
      <c r="S1325" s="19" t="s">
        <v>29</v>
      </c>
      <c r="T1325" s="19" t="s">
        <v>30</v>
      </c>
      <c r="U1325" s="31" t="s">
        <v>31</v>
      </c>
      <c r="V1325" s="41" t="n">
        <v>43514</v>
      </c>
      <c r="W1325" s="34"/>
      <c r="X1325" s="34"/>
    </row>
    <row r="1326" s="32" customFormat="true" ht="13.8" hidden="false" customHeight="false" outlineLevel="0" collapsed="false">
      <c r="A1326" s="34"/>
      <c r="B1326" s="19" t="s">
        <v>887</v>
      </c>
      <c r="C1326" s="20" t="n">
        <v>43426</v>
      </c>
      <c r="D1326" s="38" t="s">
        <v>22</v>
      </c>
      <c r="E1326" s="22" t="s">
        <v>212</v>
      </c>
      <c r="F1326" s="45" t="s">
        <v>514</v>
      </c>
      <c r="G1326" s="19" t="s">
        <v>1794</v>
      </c>
      <c r="H1326" s="19"/>
      <c r="I1326" s="19" t="n">
        <v>8</v>
      </c>
      <c r="J1326" s="25" t="n">
        <v>42.4</v>
      </c>
      <c r="K1326" s="39" t="n">
        <v>380000</v>
      </c>
      <c r="L1326" s="39" t="n">
        <f aca="false">K1326/J1326</f>
        <v>8962.2641509434</v>
      </c>
      <c r="M1326" s="34"/>
      <c r="N1326" s="40"/>
      <c r="O1326" s="30" t="n">
        <f aca="false">K1326+N1326</f>
        <v>380000</v>
      </c>
      <c r="P1326" s="39" t="n">
        <f aca="false">O1326/J1326</f>
        <v>8962.2641509434</v>
      </c>
      <c r="Q1326" s="19" t="s">
        <v>889</v>
      </c>
      <c r="R1326" s="19" t="n">
        <v>3</v>
      </c>
      <c r="S1326" s="19" t="s">
        <v>1141</v>
      </c>
      <c r="T1326" s="19"/>
      <c r="U1326" s="19" t="s">
        <v>31</v>
      </c>
      <c r="V1326" s="41" t="n">
        <v>43727</v>
      </c>
      <c r="W1326" s="18"/>
      <c r="X1326" s="18"/>
    </row>
    <row r="1327" customFormat="false" ht="13.8" hidden="false" customHeight="false" outlineLevel="0" collapsed="false">
      <c r="A1327" s="34"/>
      <c r="B1327" s="19" t="n">
        <v>8327</v>
      </c>
      <c r="C1327" s="20" t="n">
        <v>43426</v>
      </c>
      <c r="D1327" s="38" t="s">
        <v>22</v>
      </c>
      <c r="E1327" s="22" t="s">
        <v>65</v>
      </c>
      <c r="F1327" s="34" t="s">
        <v>764</v>
      </c>
      <c r="G1327" s="19" t="n">
        <v>2</v>
      </c>
      <c r="H1327" s="19" t="n">
        <v>37</v>
      </c>
      <c r="I1327" s="19" t="n">
        <v>4</v>
      </c>
      <c r="J1327" s="19" t="n">
        <v>63.5</v>
      </c>
      <c r="K1327" s="39" t="n">
        <v>473000</v>
      </c>
      <c r="L1327" s="27" t="n">
        <f aca="false">K1327/J1327</f>
        <v>7448.8188976378</v>
      </c>
      <c r="M1327" s="50"/>
      <c r="N1327" s="29"/>
      <c r="O1327" s="30" t="n">
        <f aca="false">K1327+N1327</f>
        <v>473000</v>
      </c>
      <c r="P1327" s="30" t="n">
        <f aca="false">O1327/J1327</f>
        <v>7448.8188976378</v>
      </c>
      <c r="Q1327" s="19" t="s">
        <v>1772</v>
      </c>
      <c r="R1327" s="22" t="s">
        <v>49</v>
      </c>
      <c r="S1327" s="19" t="s">
        <v>29</v>
      </c>
      <c r="T1327" s="19" t="s">
        <v>30</v>
      </c>
      <c r="U1327" s="31" t="s">
        <v>31</v>
      </c>
      <c r="V1327" s="41" t="n">
        <v>43601</v>
      </c>
      <c r="W1327" s="34" t="s">
        <v>1795</v>
      </c>
      <c r="X1327" s="18"/>
    </row>
    <row r="1328" s="32" customFormat="true" ht="13.8" hidden="false" customHeight="false" outlineLevel="0" collapsed="false">
      <c r="A1328" s="34"/>
      <c r="B1328" s="19" t="n">
        <v>3791</v>
      </c>
      <c r="C1328" s="20" t="n">
        <v>43426</v>
      </c>
      <c r="D1328" s="38" t="s">
        <v>22</v>
      </c>
      <c r="E1328" s="22" t="s">
        <v>517</v>
      </c>
      <c r="F1328" s="34" t="s">
        <v>518</v>
      </c>
      <c r="G1328" s="19" t="n">
        <v>1</v>
      </c>
      <c r="H1328" s="19" t="n">
        <v>10</v>
      </c>
      <c r="I1328" s="19" t="n">
        <v>1</v>
      </c>
      <c r="J1328" s="19" t="n">
        <v>48.2</v>
      </c>
      <c r="K1328" s="39" t="n">
        <v>345000</v>
      </c>
      <c r="L1328" s="27" t="n">
        <f aca="false">K1328/J1328</f>
        <v>7157.67634854772</v>
      </c>
      <c r="M1328" s="50"/>
      <c r="N1328" s="29"/>
      <c r="O1328" s="30" t="n">
        <f aca="false">K1328+N1328</f>
        <v>345000</v>
      </c>
      <c r="P1328" s="30" t="n">
        <f aca="false">O1328/J1328</f>
        <v>7157.67634854772</v>
      </c>
      <c r="Q1328" s="19" t="s">
        <v>861</v>
      </c>
      <c r="R1328" s="22" t="s">
        <v>26</v>
      </c>
      <c r="S1328" s="19" t="s">
        <v>29</v>
      </c>
      <c r="T1328" s="19" t="s">
        <v>30</v>
      </c>
      <c r="U1328" s="31" t="s">
        <v>31</v>
      </c>
      <c r="V1328" s="41" t="n">
        <v>43601</v>
      </c>
      <c r="W1328" s="34" t="s">
        <v>1796</v>
      </c>
      <c r="X1328" s="18"/>
    </row>
    <row r="1329" customFormat="false" ht="13.8" hidden="false" customHeight="false" outlineLevel="0" collapsed="false">
      <c r="A1329" s="34"/>
      <c r="B1329" s="19" t="n">
        <v>2876</v>
      </c>
      <c r="C1329" s="20" t="n">
        <v>43426</v>
      </c>
      <c r="D1329" s="38" t="s">
        <v>22</v>
      </c>
      <c r="E1329" s="22" t="s">
        <v>93</v>
      </c>
      <c r="F1329" s="34" t="s">
        <v>402</v>
      </c>
      <c r="G1329" s="19" t="n">
        <v>24</v>
      </c>
      <c r="H1329" s="19" t="n">
        <v>22</v>
      </c>
      <c r="I1329" s="19" t="n">
        <v>3</v>
      </c>
      <c r="J1329" s="19" t="n">
        <v>50.5</v>
      </c>
      <c r="K1329" s="39" t="n">
        <v>455000</v>
      </c>
      <c r="L1329" s="27" t="n">
        <f aca="false">K1329/J1329</f>
        <v>9009.90099009901</v>
      </c>
      <c r="M1329" s="50" t="s">
        <v>1797</v>
      </c>
      <c r="N1329" s="29"/>
      <c r="O1329" s="30" t="n">
        <f aca="false">K1329+N1329</f>
        <v>455000</v>
      </c>
      <c r="P1329" s="30" t="n">
        <f aca="false">O1329/J1329</f>
        <v>9009.90099009901</v>
      </c>
      <c r="Q1329" s="19" t="s">
        <v>861</v>
      </c>
      <c r="R1329" s="22" t="s">
        <v>26</v>
      </c>
      <c r="S1329" s="19" t="s">
        <v>29</v>
      </c>
      <c r="T1329" s="19" t="s">
        <v>30</v>
      </c>
      <c r="U1329" s="31" t="s">
        <v>31</v>
      </c>
      <c r="V1329" s="41" t="n">
        <v>43601</v>
      </c>
      <c r="W1329" s="34" t="s">
        <v>1798</v>
      </c>
      <c r="X1329" s="34"/>
    </row>
    <row r="1330" customFormat="false" ht="13.8" hidden="false" customHeight="false" outlineLevel="0" collapsed="false">
      <c r="A1330" s="34"/>
      <c r="B1330" s="19" t="n">
        <v>5751</v>
      </c>
      <c r="C1330" s="20" t="n">
        <v>43426</v>
      </c>
      <c r="D1330" s="38" t="s">
        <v>22</v>
      </c>
      <c r="E1330" s="22" t="s">
        <v>407</v>
      </c>
      <c r="F1330" s="34" t="s">
        <v>978</v>
      </c>
      <c r="G1330" s="19" t="n">
        <v>9</v>
      </c>
      <c r="H1330" s="19" t="n">
        <v>4</v>
      </c>
      <c r="I1330" s="19" t="n">
        <v>2</v>
      </c>
      <c r="J1330" s="19" t="n">
        <v>51.3</v>
      </c>
      <c r="K1330" s="39" t="n">
        <v>660000</v>
      </c>
      <c r="L1330" s="39" t="n">
        <f aca="false">ROUND(K1330/J1330,2)</f>
        <v>12865.5</v>
      </c>
      <c r="M1330" s="34" t="s">
        <v>1799</v>
      </c>
      <c r="N1330" s="40" t="n">
        <v>50000</v>
      </c>
      <c r="O1330" s="30" t="n">
        <f aca="false">K1330+N1330</f>
        <v>710000</v>
      </c>
      <c r="P1330" s="39" t="n">
        <f aca="false">ROUND(O1330/J1330,2)</f>
        <v>13840.16</v>
      </c>
      <c r="Q1330" s="19" t="s">
        <v>1800</v>
      </c>
      <c r="R1330" s="22" t="s">
        <v>36</v>
      </c>
      <c r="S1330" s="19" t="s">
        <v>29</v>
      </c>
      <c r="T1330" s="19" t="s">
        <v>30</v>
      </c>
      <c r="U1330" s="31" t="s">
        <v>31</v>
      </c>
      <c r="V1330" s="41" t="n">
        <v>43514</v>
      </c>
      <c r="W1330" s="34"/>
      <c r="X1330" s="34"/>
    </row>
    <row r="1331" customFormat="false" ht="13.8" hidden="false" customHeight="false" outlineLevel="0" collapsed="false">
      <c r="A1331" s="34"/>
      <c r="B1331" s="19" t="s">
        <v>887</v>
      </c>
      <c r="C1331" s="20" t="n">
        <v>43426</v>
      </c>
      <c r="D1331" s="38" t="s">
        <v>22</v>
      </c>
      <c r="E1331" s="22" t="s">
        <v>934</v>
      </c>
      <c r="F1331" s="45" t="s">
        <v>46</v>
      </c>
      <c r="G1331" s="19" t="s">
        <v>1801</v>
      </c>
      <c r="H1331" s="19"/>
      <c r="I1331" s="19" t="s">
        <v>1802</v>
      </c>
      <c r="J1331" s="25" t="n">
        <v>36</v>
      </c>
      <c r="K1331" s="39" t="n">
        <v>300000</v>
      </c>
      <c r="L1331" s="39" t="n">
        <f aca="false">K1331/J1331</f>
        <v>8333.33333333333</v>
      </c>
      <c r="M1331" s="34"/>
      <c r="N1331" s="40"/>
      <c r="O1331" s="30" t="n">
        <f aca="false">K1331+N1331</f>
        <v>300000</v>
      </c>
      <c r="P1331" s="39" t="n">
        <f aca="false">O1331/J1331</f>
        <v>8333.33333333333</v>
      </c>
      <c r="Q1331" s="19" t="s">
        <v>889</v>
      </c>
      <c r="R1331" s="19" t="n">
        <v>3</v>
      </c>
      <c r="S1331" s="19" t="s">
        <v>1141</v>
      </c>
      <c r="T1331" s="19"/>
      <c r="U1331" s="19" t="s">
        <v>31</v>
      </c>
      <c r="V1331" s="41" t="n">
        <v>43727</v>
      </c>
      <c r="W1331" s="18"/>
      <c r="X1331" s="18"/>
    </row>
    <row r="1332" customFormat="false" ht="13.8" hidden="false" customHeight="false" outlineLevel="0" collapsed="false">
      <c r="A1332" s="34"/>
      <c r="B1332" s="19" t="n">
        <v>12553</v>
      </c>
      <c r="C1332" s="20" t="n">
        <v>43426</v>
      </c>
      <c r="D1332" s="38" t="s">
        <v>22</v>
      </c>
      <c r="E1332" s="22" t="s">
        <v>109</v>
      </c>
      <c r="F1332" s="34" t="s">
        <v>271</v>
      </c>
      <c r="G1332" s="19" t="s">
        <v>455</v>
      </c>
      <c r="H1332" s="19" t="n">
        <v>84</v>
      </c>
      <c r="I1332" s="19" t="n">
        <v>5</v>
      </c>
      <c r="J1332" s="19" t="n">
        <v>26.3</v>
      </c>
      <c r="K1332" s="39" t="n">
        <v>335000</v>
      </c>
      <c r="L1332" s="27" t="n">
        <f aca="false">K1332/J1332</f>
        <v>12737.6425855513</v>
      </c>
      <c r="M1332" s="50"/>
      <c r="N1332" s="29"/>
      <c r="O1332" s="30" t="n">
        <f aca="false">K1332+N1332</f>
        <v>335000</v>
      </c>
      <c r="P1332" s="30" t="n">
        <f aca="false">O1332/J1332</f>
        <v>12737.6425855513</v>
      </c>
      <c r="Q1332" s="19" t="s">
        <v>1803</v>
      </c>
      <c r="R1332" s="22" t="s">
        <v>27</v>
      </c>
      <c r="S1332" s="19" t="s">
        <v>29</v>
      </c>
      <c r="T1332" s="19" t="s">
        <v>30</v>
      </c>
      <c r="U1332" s="31" t="s">
        <v>31</v>
      </c>
      <c r="V1332" s="41" t="n">
        <v>43601</v>
      </c>
      <c r="W1332" s="34" t="s">
        <v>1804</v>
      </c>
      <c r="X1332" s="18"/>
    </row>
    <row r="1333" customFormat="false" ht="13.8" hidden="false" customHeight="false" outlineLevel="0" collapsed="false">
      <c r="A1333" s="34"/>
      <c r="B1333" s="19" t="n">
        <v>3009</v>
      </c>
      <c r="C1333" s="20" t="n">
        <v>43426</v>
      </c>
      <c r="D1333" s="38" t="s">
        <v>22</v>
      </c>
      <c r="E1333" s="22" t="s">
        <v>103</v>
      </c>
      <c r="F1333" s="34" t="s">
        <v>240</v>
      </c>
      <c r="G1333" s="19" t="n">
        <v>1</v>
      </c>
      <c r="H1333" s="19" t="n">
        <v>33</v>
      </c>
      <c r="I1333" s="19" t="n">
        <v>6</v>
      </c>
      <c r="J1333" s="19" t="n">
        <v>105.8</v>
      </c>
      <c r="K1333" s="39" t="n">
        <v>708610</v>
      </c>
      <c r="L1333" s="27" t="n">
        <f aca="false">K1333/J1333</f>
        <v>6697.6370510397</v>
      </c>
      <c r="M1333" s="50"/>
      <c r="N1333" s="29"/>
      <c r="O1333" s="30" t="n">
        <f aca="false">K1333+N1333</f>
        <v>708610</v>
      </c>
      <c r="P1333" s="30" t="n">
        <f aca="false">O1333/J1333</f>
        <v>6697.6370510397</v>
      </c>
      <c r="Q1333" s="19" t="s">
        <v>1805</v>
      </c>
      <c r="R1333" s="22" t="s">
        <v>36</v>
      </c>
      <c r="S1333" s="19" t="s">
        <v>29</v>
      </c>
      <c r="T1333" s="19" t="s">
        <v>30</v>
      </c>
      <c r="U1333" s="31" t="s">
        <v>31</v>
      </c>
      <c r="V1333" s="41" t="n">
        <v>43601</v>
      </c>
      <c r="W1333" s="34" t="s">
        <v>1806</v>
      </c>
      <c r="X1333" s="34"/>
    </row>
    <row r="1334" customFormat="false" ht="13.8" hidden="false" customHeight="false" outlineLevel="0" collapsed="false">
      <c r="A1334" s="34"/>
      <c r="B1334" s="19" t="n">
        <v>4900</v>
      </c>
      <c r="C1334" s="20" t="n">
        <v>43427</v>
      </c>
      <c r="D1334" s="38" t="s">
        <v>22</v>
      </c>
      <c r="E1334" s="22" t="s">
        <v>93</v>
      </c>
      <c r="F1334" s="34" t="s">
        <v>94</v>
      </c>
      <c r="G1334" s="19" t="n">
        <v>33</v>
      </c>
      <c r="H1334" s="19" t="n">
        <v>26</v>
      </c>
      <c r="I1334" s="19" t="n">
        <v>2</v>
      </c>
      <c r="J1334" s="19" t="n">
        <v>57</v>
      </c>
      <c r="K1334" s="39" t="n">
        <v>440000</v>
      </c>
      <c r="L1334" s="27" t="n">
        <f aca="false">K1334/J1334</f>
        <v>7719.29824561404</v>
      </c>
      <c r="M1334" s="50" t="s">
        <v>1807</v>
      </c>
      <c r="N1334" s="29"/>
      <c r="O1334" s="30" t="n">
        <f aca="false">K1334+N1334</f>
        <v>440000</v>
      </c>
      <c r="P1334" s="30" t="n">
        <f aca="false">O1334/J1334</f>
        <v>7719.29824561404</v>
      </c>
      <c r="Q1334" s="19" t="s">
        <v>861</v>
      </c>
      <c r="R1334" s="22" t="s">
        <v>26</v>
      </c>
      <c r="S1334" s="19" t="s">
        <v>29</v>
      </c>
      <c r="T1334" s="19" t="s">
        <v>30</v>
      </c>
      <c r="U1334" s="31" t="s">
        <v>31</v>
      </c>
      <c r="V1334" s="41" t="n">
        <v>43601</v>
      </c>
      <c r="W1334" s="34" t="s">
        <v>1808</v>
      </c>
      <c r="X1334" s="34"/>
    </row>
    <row r="1335" s="32" customFormat="true" ht="13.8" hidden="false" customHeight="false" outlineLevel="0" collapsed="false">
      <c r="A1335" s="34"/>
      <c r="B1335" s="19" t="n">
        <v>17084</v>
      </c>
      <c r="C1335" s="20" t="n">
        <v>43427</v>
      </c>
      <c r="D1335" s="38" t="s">
        <v>22</v>
      </c>
      <c r="E1335" s="22" t="s">
        <v>572</v>
      </c>
      <c r="F1335" s="34" t="s">
        <v>366</v>
      </c>
      <c r="G1335" s="19" t="s">
        <v>752</v>
      </c>
      <c r="H1335" s="19" t="n">
        <v>24</v>
      </c>
      <c r="I1335" s="19" t="n">
        <v>2</v>
      </c>
      <c r="J1335" s="19" t="n">
        <v>64.2</v>
      </c>
      <c r="K1335" s="39" t="n">
        <v>420000</v>
      </c>
      <c r="L1335" s="27" t="n">
        <f aca="false">K1335/J1335</f>
        <v>6542.05607476635</v>
      </c>
      <c r="M1335" s="50"/>
      <c r="N1335" s="29"/>
      <c r="O1335" s="30" t="n">
        <f aca="false">K1335+N1335</f>
        <v>420000</v>
      </c>
      <c r="P1335" s="30" t="n">
        <f aca="false">O1335/J1335</f>
        <v>6542.05607476635</v>
      </c>
      <c r="Q1335" s="19" t="s">
        <v>1136</v>
      </c>
      <c r="R1335" s="22" t="s">
        <v>26</v>
      </c>
      <c r="S1335" s="19" t="s">
        <v>29</v>
      </c>
      <c r="T1335" s="19" t="s">
        <v>30</v>
      </c>
      <c r="U1335" s="31" t="s">
        <v>31</v>
      </c>
      <c r="V1335" s="41" t="n">
        <v>43601</v>
      </c>
      <c r="W1335" s="34" t="s">
        <v>1809</v>
      </c>
      <c r="X1335" s="34"/>
    </row>
    <row r="1336" customFormat="false" ht="13.8" hidden="false" customHeight="false" outlineLevel="0" collapsed="false">
      <c r="A1336" s="34"/>
      <c r="B1336" s="19" t="n">
        <v>7604</v>
      </c>
      <c r="C1336" s="20" t="n">
        <v>43427</v>
      </c>
      <c r="D1336" s="38" t="s">
        <v>22</v>
      </c>
      <c r="E1336" s="22" t="s">
        <v>178</v>
      </c>
      <c r="F1336" s="34" t="s">
        <v>513</v>
      </c>
      <c r="G1336" s="19" t="n">
        <v>5</v>
      </c>
      <c r="H1336" s="19" t="n">
        <v>56</v>
      </c>
      <c r="I1336" s="19" t="n">
        <v>4</v>
      </c>
      <c r="J1336" s="19" t="n">
        <v>35.4</v>
      </c>
      <c r="K1336" s="39" t="n">
        <v>430000</v>
      </c>
      <c r="L1336" s="27" t="n">
        <f aca="false">K1336/J1336</f>
        <v>12146.8926553672</v>
      </c>
      <c r="M1336" s="50"/>
      <c r="N1336" s="29"/>
      <c r="O1336" s="30" t="n">
        <f aca="false">K1336+N1336</f>
        <v>430000</v>
      </c>
      <c r="P1336" s="30" t="n">
        <f aca="false">O1336/J1336</f>
        <v>12146.8926553672</v>
      </c>
      <c r="Q1336" s="19" t="s">
        <v>1181</v>
      </c>
      <c r="R1336" s="22" t="s">
        <v>27</v>
      </c>
      <c r="S1336" s="19" t="s">
        <v>29</v>
      </c>
      <c r="T1336" s="19" t="s">
        <v>30</v>
      </c>
      <c r="U1336" s="31" t="s">
        <v>31</v>
      </c>
      <c r="V1336" s="41" t="n">
        <v>43601</v>
      </c>
      <c r="W1336" s="34" t="s">
        <v>1810</v>
      </c>
      <c r="X1336" s="18"/>
    </row>
    <row r="1337" customFormat="false" ht="13.8" hidden="false" customHeight="false" outlineLevel="0" collapsed="false">
      <c r="A1337" s="34"/>
      <c r="B1337" s="19" t="n">
        <v>4954</v>
      </c>
      <c r="C1337" s="20" t="n">
        <v>43427</v>
      </c>
      <c r="D1337" s="38" t="s">
        <v>22</v>
      </c>
      <c r="E1337" s="22" t="s">
        <v>171</v>
      </c>
      <c r="F1337" s="34" t="s">
        <v>315</v>
      </c>
      <c r="G1337" s="19" t="n">
        <v>34</v>
      </c>
      <c r="H1337" s="19" t="n">
        <v>148</v>
      </c>
      <c r="I1337" s="19" t="n">
        <v>11</v>
      </c>
      <c r="J1337" s="19" t="n">
        <v>41.8</v>
      </c>
      <c r="K1337" s="39" t="n">
        <v>340000</v>
      </c>
      <c r="L1337" s="27" t="n">
        <f aca="false">K1337/J1337</f>
        <v>8133.97129186603</v>
      </c>
      <c r="M1337" s="50"/>
      <c r="N1337" s="29"/>
      <c r="O1337" s="30" t="n">
        <f aca="false">K1337+N1337</f>
        <v>340000</v>
      </c>
      <c r="P1337" s="30" t="n">
        <f aca="false">O1337/J1337</f>
        <v>8133.97129186603</v>
      </c>
      <c r="Q1337" s="19" t="s">
        <v>903</v>
      </c>
      <c r="R1337" s="22" t="s">
        <v>36</v>
      </c>
      <c r="S1337" s="19" t="s">
        <v>29</v>
      </c>
      <c r="T1337" s="19" t="s">
        <v>30</v>
      </c>
      <c r="U1337" s="31" t="s">
        <v>31</v>
      </c>
      <c r="V1337" s="41" t="n">
        <v>43601</v>
      </c>
      <c r="W1337" s="34" t="s">
        <v>1811</v>
      </c>
      <c r="X1337" s="34"/>
    </row>
    <row r="1338" customFormat="false" ht="13.8" hidden="false" customHeight="false" outlineLevel="0" collapsed="false">
      <c r="A1338" s="34"/>
      <c r="B1338" s="19" t="n">
        <v>8114</v>
      </c>
      <c r="C1338" s="20" t="n">
        <v>43427</v>
      </c>
      <c r="D1338" s="38" t="s">
        <v>22</v>
      </c>
      <c r="E1338" s="22" t="s">
        <v>140</v>
      </c>
      <c r="F1338" s="34" t="s">
        <v>1278</v>
      </c>
      <c r="G1338" s="19" t="n">
        <v>2</v>
      </c>
      <c r="H1338" s="19" t="n">
        <v>218</v>
      </c>
      <c r="I1338" s="19" t="n">
        <v>2</v>
      </c>
      <c r="J1338" s="19" t="n">
        <v>47.1</v>
      </c>
      <c r="K1338" s="39" t="n">
        <v>478000</v>
      </c>
      <c r="L1338" s="27" t="n">
        <f aca="false">K1338/J1338</f>
        <v>10148.6199575372</v>
      </c>
      <c r="M1338" s="50" t="s">
        <v>1778</v>
      </c>
      <c r="N1338" s="29" t="n">
        <v>30000</v>
      </c>
      <c r="O1338" s="30" t="n">
        <f aca="false">K1338+N1338</f>
        <v>508000</v>
      </c>
      <c r="P1338" s="30" t="n">
        <f aca="false">O1338/J1338</f>
        <v>10785.5626326964</v>
      </c>
      <c r="Q1338" s="19" t="s">
        <v>903</v>
      </c>
      <c r="R1338" s="22" t="s">
        <v>36</v>
      </c>
      <c r="S1338" s="19" t="s">
        <v>29</v>
      </c>
      <c r="T1338" s="19" t="s">
        <v>30</v>
      </c>
      <c r="U1338" s="31" t="s">
        <v>31</v>
      </c>
      <c r="V1338" s="41" t="n">
        <v>43601</v>
      </c>
      <c r="W1338" s="34" t="s">
        <v>1812</v>
      </c>
      <c r="X1338" s="18"/>
    </row>
    <row r="1339" s="32" customFormat="true" ht="13.8" hidden="false" customHeight="false" outlineLevel="0" collapsed="false">
      <c r="A1339" s="34"/>
      <c r="B1339" s="19" t="n">
        <v>14265</v>
      </c>
      <c r="C1339" s="20" t="n">
        <v>43427</v>
      </c>
      <c r="D1339" s="38" t="s">
        <v>22</v>
      </c>
      <c r="E1339" s="22" t="s">
        <v>61</v>
      </c>
      <c r="F1339" s="34" t="s">
        <v>46</v>
      </c>
      <c r="G1339" s="19" t="n">
        <v>234</v>
      </c>
      <c r="H1339" s="19" t="n">
        <v>77</v>
      </c>
      <c r="I1339" s="19" t="n">
        <v>10</v>
      </c>
      <c r="J1339" s="19" t="n">
        <v>64.5</v>
      </c>
      <c r="K1339" s="39" t="n">
        <v>493000</v>
      </c>
      <c r="L1339" s="27" t="n">
        <f aca="false">K1339/J1339</f>
        <v>7643.41085271318</v>
      </c>
      <c r="M1339" s="50"/>
      <c r="N1339" s="29"/>
      <c r="O1339" s="30" t="n">
        <f aca="false">K1339+N1339</f>
        <v>493000</v>
      </c>
      <c r="P1339" s="30" t="n">
        <f aca="false">O1339/J1339</f>
        <v>7643.41085271318</v>
      </c>
      <c r="Q1339" s="19" t="s">
        <v>1772</v>
      </c>
      <c r="R1339" s="22" t="s">
        <v>49</v>
      </c>
      <c r="S1339" s="19" t="s">
        <v>29</v>
      </c>
      <c r="T1339" s="19" t="s">
        <v>30</v>
      </c>
      <c r="U1339" s="31" t="s">
        <v>31</v>
      </c>
      <c r="V1339" s="41" t="n">
        <v>43601</v>
      </c>
      <c r="W1339" s="34" t="s">
        <v>1813</v>
      </c>
      <c r="X1339" s="34"/>
    </row>
    <row r="1340" s="32" customFormat="true" ht="13.8" hidden="false" customHeight="false" outlineLevel="0" collapsed="false">
      <c r="A1340" s="34"/>
      <c r="B1340" s="19" t="n">
        <v>692</v>
      </c>
      <c r="C1340" s="20" t="n">
        <v>43428</v>
      </c>
      <c r="D1340" s="38" t="s">
        <v>22</v>
      </c>
      <c r="E1340" s="22" t="s">
        <v>389</v>
      </c>
      <c r="F1340" s="34" t="s">
        <v>582</v>
      </c>
      <c r="G1340" s="19" t="n">
        <v>36</v>
      </c>
      <c r="H1340" s="19" t="n">
        <v>51</v>
      </c>
      <c r="I1340" s="19" t="n">
        <v>5</v>
      </c>
      <c r="J1340" s="19" t="n">
        <v>79.27</v>
      </c>
      <c r="K1340" s="39" t="n">
        <v>910000</v>
      </c>
      <c r="L1340" s="27" t="n">
        <f aca="false">K1340/J1340</f>
        <v>11479.7527437871</v>
      </c>
      <c r="M1340" s="50" t="s">
        <v>1814</v>
      </c>
      <c r="N1340" s="29"/>
      <c r="O1340" s="30" t="n">
        <f aca="false">K1340+N1340</f>
        <v>910000</v>
      </c>
      <c r="P1340" s="30" t="n">
        <f aca="false">O1340/J1340</f>
        <v>11479.7527437871</v>
      </c>
      <c r="Q1340" s="19" t="s">
        <v>941</v>
      </c>
      <c r="R1340" s="22" t="s">
        <v>36</v>
      </c>
      <c r="S1340" s="19" t="s">
        <v>29</v>
      </c>
      <c r="T1340" s="19" t="s">
        <v>30</v>
      </c>
      <c r="U1340" s="31" t="s">
        <v>31</v>
      </c>
      <c r="V1340" s="41" t="n">
        <v>43601</v>
      </c>
      <c r="W1340" s="34" t="s">
        <v>1815</v>
      </c>
      <c r="X1340" s="34"/>
    </row>
    <row r="1341" customFormat="false" ht="13.8" hidden="false" customHeight="false" outlineLevel="0" collapsed="false">
      <c r="A1341" s="34"/>
      <c r="B1341" s="19" t="n">
        <v>3670</v>
      </c>
      <c r="C1341" s="20" t="n">
        <v>43430</v>
      </c>
      <c r="D1341" s="38" t="s">
        <v>22</v>
      </c>
      <c r="E1341" s="22" t="s">
        <v>343</v>
      </c>
      <c r="F1341" s="34" t="s">
        <v>392</v>
      </c>
      <c r="G1341" s="19" t="n">
        <v>68</v>
      </c>
      <c r="H1341" s="19" t="n">
        <v>5</v>
      </c>
      <c r="I1341" s="19" t="n">
        <v>3</v>
      </c>
      <c r="J1341" s="19" t="n">
        <v>84.86</v>
      </c>
      <c r="K1341" s="39" t="n">
        <v>825000</v>
      </c>
      <c r="L1341" s="27" t="n">
        <f aca="false">K1341/J1341</f>
        <v>9721.89488569408</v>
      </c>
      <c r="M1341" s="50" t="s">
        <v>1778</v>
      </c>
      <c r="N1341" s="29" t="n">
        <v>30000</v>
      </c>
      <c r="O1341" s="30" t="n">
        <f aca="false">K1341+N1341</f>
        <v>855000</v>
      </c>
      <c r="P1341" s="30" t="n">
        <f aca="false">O1341/J1341</f>
        <v>10075.418336083</v>
      </c>
      <c r="Q1341" s="19" t="s">
        <v>941</v>
      </c>
      <c r="R1341" s="22" t="s">
        <v>36</v>
      </c>
      <c r="S1341" s="19" t="s">
        <v>29</v>
      </c>
      <c r="T1341" s="19" t="s">
        <v>30</v>
      </c>
      <c r="U1341" s="31" t="s">
        <v>31</v>
      </c>
      <c r="V1341" s="41" t="n">
        <v>43601</v>
      </c>
      <c r="W1341" s="34" t="s">
        <v>1816</v>
      </c>
      <c r="X1341" s="18"/>
    </row>
    <row r="1342" s="32" customFormat="true" ht="13.8" hidden="false" customHeight="false" outlineLevel="0" collapsed="false">
      <c r="A1342" s="34"/>
      <c r="B1342" s="19" t="n">
        <v>14472</v>
      </c>
      <c r="C1342" s="20" t="n">
        <v>43430</v>
      </c>
      <c r="D1342" s="38" t="s">
        <v>22</v>
      </c>
      <c r="E1342" s="22" t="s">
        <v>322</v>
      </c>
      <c r="F1342" s="34" t="s">
        <v>323</v>
      </c>
      <c r="G1342" s="19" t="s">
        <v>1328</v>
      </c>
      <c r="H1342" s="19" t="n">
        <v>188</v>
      </c>
      <c r="I1342" s="19" t="n">
        <v>3</v>
      </c>
      <c r="J1342" s="19" t="n">
        <v>49.08</v>
      </c>
      <c r="K1342" s="39" t="n">
        <v>580000</v>
      </c>
      <c r="L1342" s="27" t="n">
        <f aca="false">K1342/J1342</f>
        <v>11817.4409127954</v>
      </c>
      <c r="M1342" s="50" t="s">
        <v>1778</v>
      </c>
      <c r="N1342" s="29" t="n">
        <v>30000</v>
      </c>
      <c r="O1342" s="30" t="n">
        <f aca="false">K1342+N1342</f>
        <v>610000</v>
      </c>
      <c r="P1342" s="30" t="n">
        <f aca="false">O1342/J1342</f>
        <v>12428.6878565607</v>
      </c>
      <c r="Q1342" s="19" t="s">
        <v>903</v>
      </c>
      <c r="R1342" s="22" t="s">
        <v>36</v>
      </c>
      <c r="S1342" s="19" t="s">
        <v>29</v>
      </c>
      <c r="T1342" s="19" t="s">
        <v>30</v>
      </c>
      <c r="U1342" s="31" t="s">
        <v>31</v>
      </c>
      <c r="V1342" s="41" t="n">
        <v>43601</v>
      </c>
      <c r="W1342" s="34" t="s">
        <v>1817</v>
      </c>
      <c r="X1342" s="18"/>
    </row>
    <row r="1343" customFormat="false" ht="13.8" hidden="false" customHeight="false" outlineLevel="0" collapsed="false">
      <c r="A1343" s="34"/>
      <c r="B1343" s="19" t="n">
        <v>4907</v>
      </c>
      <c r="C1343" s="20" t="n">
        <v>43430</v>
      </c>
      <c r="D1343" s="38" t="s">
        <v>22</v>
      </c>
      <c r="E1343" s="22" t="s">
        <v>322</v>
      </c>
      <c r="F1343" s="34" t="s">
        <v>323</v>
      </c>
      <c r="G1343" s="19" t="s">
        <v>384</v>
      </c>
      <c r="H1343" s="19" t="n">
        <v>237</v>
      </c>
      <c r="I1343" s="19" t="n">
        <v>7</v>
      </c>
      <c r="J1343" s="19" t="n">
        <v>36.92</v>
      </c>
      <c r="K1343" s="39" t="n">
        <v>530000</v>
      </c>
      <c r="L1343" s="27" t="n">
        <f aca="false">K1343/J1343</f>
        <v>14355.3629469122</v>
      </c>
      <c r="M1343" s="50" t="s">
        <v>1778</v>
      </c>
      <c r="N1343" s="29"/>
      <c r="O1343" s="30" t="n">
        <f aca="false">K1343+N1343</f>
        <v>530000</v>
      </c>
      <c r="P1343" s="30" t="n">
        <f aca="false">O1343/J1343</f>
        <v>14355.3629469122</v>
      </c>
      <c r="Q1343" s="19" t="s">
        <v>1181</v>
      </c>
      <c r="R1343" s="22" t="s">
        <v>27</v>
      </c>
      <c r="S1343" s="19" t="s">
        <v>29</v>
      </c>
      <c r="T1343" s="19" t="s">
        <v>30</v>
      </c>
      <c r="U1343" s="31" t="s">
        <v>31</v>
      </c>
      <c r="V1343" s="41" t="n">
        <v>43601</v>
      </c>
      <c r="W1343" s="34" t="s">
        <v>1818</v>
      </c>
      <c r="X1343" s="18"/>
    </row>
    <row r="1344" customFormat="false" ht="13.8" hidden="false" customHeight="false" outlineLevel="0" collapsed="false">
      <c r="A1344" s="34"/>
      <c r="B1344" s="19" t="n">
        <v>9756</v>
      </c>
      <c r="C1344" s="20" t="n">
        <v>43430</v>
      </c>
      <c r="D1344" s="38" t="s">
        <v>22</v>
      </c>
      <c r="E1344" s="22" t="s">
        <v>652</v>
      </c>
      <c r="F1344" s="34" t="s">
        <v>1819</v>
      </c>
      <c r="G1344" s="19" t="n">
        <v>32</v>
      </c>
      <c r="H1344" s="19" t="n">
        <v>2</v>
      </c>
      <c r="I1344" s="19" t="n">
        <v>1</v>
      </c>
      <c r="J1344" s="19" t="n">
        <v>133.16</v>
      </c>
      <c r="K1344" s="39" t="n">
        <v>1650000</v>
      </c>
      <c r="L1344" s="27" t="n">
        <f aca="false">K1344/J1344</f>
        <v>12391.1084409733</v>
      </c>
      <c r="M1344" s="50"/>
      <c r="N1344" s="29"/>
      <c r="O1344" s="30" t="n">
        <f aca="false">K1344+N1344</f>
        <v>1650000</v>
      </c>
      <c r="P1344" s="30" t="n">
        <f aca="false">O1344/J1344</f>
        <v>12391.1084409733</v>
      </c>
      <c r="Q1344" s="19" t="s">
        <v>1820</v>
      </c>
      <c r="R1344" s="22" t="s">
        <v>57</v>
      </c>
      <c r="S1344" s="19" t="s">
        <v>29</v>
      </c>
      <c r="T1344" s="19" t="s">
        <v>30</v>
      </c>
      <c r="U1344" s="31" t="s">
        <v>31</v>
      </c>
      <c r="V1344" s="41" t="n">
        <v>43601</v>
      </c>
      <c r="W1344" s="34" t="s">
        <v>1821</v>
      </c>
      <c r="X1344" s="18"/>
    </row>
    <row r="1345" customFormat="false" ht="13.8" hidden="false" customHeight="false" outlineLevel="0" collapsed="false">
      <c r="A1345" s="34"/>
      <c r="B1345" s="19" t="n">
        <v>3920</v>
      </c>
      <c r="C1345" s="20" t="n">
        <v>43430</v>
      </c>
      <c r="D1345" s="38" t="s">
        <v>22</v>
      </c>
      <c r="E1345" s="22" t="s">
        <v>148</v>
      </c>
      <c r="F1345" s="34" t="s">
        <v>1822</v>
      </c>
      <c r="G1345" s="19" t="s">
        <v>384</v>
      </c>
      <c r="H1345" s="19" t="n">
        <v>20</v>
      </c>
      <c r="I1345" s="19" t="n">
        <v>4</v>
      </c>
      <c r="J1345" s="19" t="n">
        <v>62.7</v>
      </c>
      <c r="K1345" s="39" t="n">
        <v>432000</v>
      </c>
      <c r="L1345" s="27" t="n">
        <f aca="false">K1345/J1345</f>
        <v>6889.95215311005</v>
      </c>
      <c r="M1345" s="50" t="s">
        <v>1823</v>
      </c>
      <c r="N1345" s="29" t="n">
        <v>30000</v>
      </c>
      <c r="O1345" s="30" t="n">
        <f aca="false">K1345+N1345</f>
        <v>462000</v>
      </c>
      <c r="P1345" s="30" t="n">
        <f aca="false">O1345/J1345</f>
        <v>7368.42105263158</v>
      </c>
      <c r="Q1345" s="19" t="s">
        <v>1824</v>
      </c>
      <c r="R1345" s="22" t="s">
        <v>36</v>
      </c>
      <c r="S1345" s="19" t="s">
        <v>29</v>
      </c>
      <c r="T1345" s="19" t="s">
        <v>30</v>
      </c>
      <c r="U1345" s="31" t="s">
        <v>31</v>
      </c>
      <c r="V1345" s="41" t="n">
        <v>43601</v>
      </c>
      <c r="W1345" s="34" t="s">
        <v>1825</v>
      </c>
      <c r="X1345" s="18"/>
    </row>
    <row r="1346" s="32" customFormat="true" ht="13.8" hidden="false" customHeight="false" outlineLevel="0" collapsed="false">
      <c r="A1346" s="34"/>
      <c r="B1346" s="19" t="n">
        <v>4209</v>
      </c>
      <c r="C1346" s="20" t="n">
        <v>43430</v>
      </c>
      <c r="D1346" s="38" t="s">
        <v>22</v>
      </c>
      <c r="E1346" s="22" t="s">
        <v>399</v>
      </c>
      <c r="F1346" s="34" t="s">
        <v>1826</v>
      </c>
      <c r="G1346" s="19" t="n">
        <v>2</v>
      </c>
      <c r="H1346" s="19" t="n">
        <v>1</v>
      </c>
      <c r="I1346" s="19" t="n">
        <v>2</v>
      </c>
      <c r="J1346" s="19" t="n">
        <v>72.21</v>
      </c>
      <c r="K1346" s="39" t="n">
        <v>750000</v>
      </c>
      <c r="L1346" s="27" t="n">
        <f aca="false">K1346/J1346</f>
        <v>10386.373078521</v>
      </c>
      <c r="M1346" s="50" t="s">
        <v>1827</v>
      </c>
      <c r="N1346" s="29"/>
      <c r="O1346" s="30" t="n">
        <f aca="false">K1346+N1346</f>
        <v>750000</v>
      </c>
      <c r="P1346" s="30" t="n">
        <f aca="false">O1346/J1346</f>
        <v>10386.373078521</v>
      </c>
      <c r="Q1346" s="19" t="s">
        <v>1828</v>
      </c>
      <c r="R1346" s="22" t="s">
        <v>36</v>
      </c>
      <c r="S1346" s="19" t="s">
        <v>29</v>
      </c>
      <c r="T1346" s="19" t="s">
        <v>30</v>
      </c>
      <c r="U1346" s="31" t="s">
        <v>31</v>
      </c>
      <c r="V1346" s="41" t="n">
        <v>43601</v>
      </c>
      <c r="W1346" s="34" t="s">
        <v>1829</v>
      </c>
      <c r="X1346" s="34"/>
    </row>
    <row r="1347" s="32" customFormat="true" ht="13.8" hidden="false" customHeight="false" outlineLevel="0" collapsed="false">
      <c r="A1347" s="34"/>
      <c r="B1347" s="19" t="n">
        <v>9442</v>
      </c>
      <c r="C1347" s="20" t="n">
        <v>43430</v>
      </c>
      <c r="D1347" s="38" t="s">
        <v>22</v>
      </c>
      <c r="E1347" s="22" t="s">
        <v>118</v>
      </c>
      <c r="F1347" s="34" t="s">
        <v>462</v>
      </c>
      <c r="G1347" s="19" t="n">
        <v>3</v>
      </c>
      <c r="H1347" s="19" t="n">
        <v>13</v>
      </c>
      <c r="I1347" s="19" t="n">
        <v>5</v>
      </c>
      <c r="J1347" s="19" t="n">
        <v>56.8</v>
      </c>
      <c r="K1347" s="39" t="n">
        <v>410000</v>
      </c>
      <c r="L1347" s="27" t="n">
        <f aca="false">K1347/J1347</f>
        <v>7218.30985915493</v>
      </c>
      <c r="M1347" s="50"/>
      <c r="N1347" s="29"/>
      <c r="O1347" s="30" t="n">
        <f aca="false">K1347+N1347</f>
        <v>410000</v>
      </c>
      <c r="P1347" s="30" t="n">
        <f aca="false">O1347/J1347</f>
        <v>7218.30985915493</v>
      </c>
      <c r="Q1347" s="19" t="s">
        <v>861</v>
      </c>
      <c r="R1347" s="22" t="s">
        <v>26</v>
      </c>
      <c r="S1347" s="19" t="s">
        <v>29</v>
      </c>
      <c r="T1347" s="19" t="s">
        <v>30</v>
      </c>
      <c r="U1347" s="31" t="s">
        <v>31</v>
      </c>
      <c r="V1347" s="41" t="n">
        <v>43601</v>
      </c>
      <c r="W1347" s="34" t="s">
        <v>1830</v>
      </c>
      <c r="X1347" s="34"/>
    </row>
    <row r="1348" customFormat="false" ht="13.8" hidden="false" customHeight="false" outlineLevel="0" collapsed="false">
      <c r="A1348" s="34"/>
      <c r="B1348" s="19" t="n">
        <v>57739</v>
      </c>
      <c r="C1348" s="20" t="n">
        <v>43430</v>
      </c>
      <c r="D1348" s="38" t="s">
        <v>22</v>
      </c>
      <c r="E1348" s="22" t="s">
        <v>118</v>
      </c>
      <c r="F1348" s="34" t="s">
        <v>462</v>
      </c>
      <c r="G1348" s="19" t="n">
        <v>4</v>
      </c>
      <c r="H1348" s="19" t="n">
        <v>37</v>
      </c>
      <c r="I1348" s="19" t="n">
        <v>4</v>
      </c>
      <c r="J1348" s="19" t="n">
        <v>36.3</v>
      </c>
      <c r="K1348" s="39" t="n">
        <v>365000</v>
      </c>
      <c r="L1348" s="27" t="n">
        <f aca="false">K1348/J1348</f>
        <v>10055.0964187328</v>
      </c>
      <c r="M1348" s="50"/>
      <c r="N1348" s="29"/>
      <c r="O1348" s="30" t="n">
        <f aca="false">K1348+N1348</f>
        <v>365000</v>
      </c>
      <c r="P1348" s="30" t="n">
        <f aca="false">O1348/J1348</f>
        <v>10055.0964187328</v>
      </c>
      <c r="Q1348" s="19" t="s">
        <v>903</v>
      </c>
      <c r="R1348" s="22" t="s">
        <v>36</v>
      </c>
      <c r="S1348" s="19" t="s">
        <v>29</v>
      </c>
      <c r="T1348" s="19" t="s">
        <v>30</v>
      </c>
      <c r="U1348" s="31" t="s">
        <v>31</v>
      </c>
      <c r="V1348" s="41" t="n">
        <v>43601</v>
      </c>
      <c r="W1348" s="34" t="s">
        <v>1636</v>
      </c>
      <c r="X1348" s="34"/>
    </row>
    <row r="1349" customFormat="false" ht="13.8" hidden="false" customHeight="false" outlineLevel="0" collapsed="false">
      <c r="A1349" s="34"/>
      <c r="B1349" s="19" t="n">
        <v>10823</v>
      </c>
      <c r="C1349" s="20" t="n">
        <v>43430</v>
      </c>
      <c r="D1349" s="38" t="s">
        <v>22</v>
      </c>
      <c r="E1349" s="22" t="s">
        <v>109</v>
      </c>
      <c r="F1349" s="34" t="s">
        <v>127</v>
      </c>
      <c r="G1349" s="19" t="n">
        <v>27</v>
      </c>
      <c r="H1349" s="19" t="n">
        <v>25</v>
      </c>
      <c r="I1349" s="19" t="n">
        <v>3</v>
      </c>
      <c r="J1349" s="19" t="n">
        <v>44.97</v>
      </c>
      <c r="K1349" s="39" t="n">
        <v>472000</v>
      </c>
      <c r="L1349" s="27" t="n">
        <f aca="false">K1349/J1349</f>
        <v>10495.8861463198</v>
      </c>
      <c r="M1349" s="50"/>
      <c r="N1349" s="29"/>
      <c r="O1349" s="30" t="n">
        <f aca="false">K1349+N1349</f>
        <v>472000</v>
      </c>
      <c r="P1349" s="30" t="n">
        <f aca="false">O1349/J1349</f>
        <v>10495.8861463198</v>
      </c>
      <c r="Q1349" s="19" t="s">
        <v>903</v>
      </c>
      <c r="R1349" s="22" t="s">
        <v>26</v>
      </c>
      <c r="S1349" s="19" t="s">
        <v>29</v>
      </c>
      <c r="T1349" s="19" t="s">
        <v>30</v>
      </c>
      <c r="U1349" s="31" t="s">
        <v>31</v>
      </c>
      <c r="V1349" s="41" t="n">
        <v>43601</v>
      </c>
      <c r="W1349" s="34" t="s">
        <v>1831</v>
      </c>
      <c r="X1349" s="34"/>
      <c r="Y1349" s="47"/>
      <c r="Z1349" s="43"/>
    </row>
    <row r="1350" s="32" customFormat="true" ht="13.8" hidden="false" customHeight="false" outlineLevel="0" collapsed="false">
      <c r="A1350" s="34"/>
      <c r="B1350" s="19" t="s">
        <v>887</v>
      </c>
      <c r="C1350" s="20" t="n">
        <v>43431</v>
      </c>
      <c r="D1350" s="38" t="s">
        <v>22</v>
      </c>
      <c r="E1350" s="22" t="s">
        <v>212</v>
      </c>
      <c r="F1350" s="45" t="s">
        <v>528</v>
      </c>
      <c r="G1350" s="19" t="s">
        <v>1832</v>
      </c>
      <c r="H1350" s="19"/>
      <c r="I1350" s="19" t="n">
        <v>3</v>
      </c>
      <c r="J1350" s="25" t="n">
        <v>55.64</v>
      </c>
      <c r="K1350" s="39" t="n">
        <v>485000</v>
      </c>
      <c r="L1350" s="39" t="n">
        <f aca="false">K1350/J1350</f>
        <v>8716.75053918045</v>
      </c>
      <c r="M1350" s="34" t="s">
        <v>1541</v>
      </c>
      <c r="N1350" s="40"/>
      <c r="O1350" s="30" t="n">
        <f aca="false">K1350+N1350</f>
        <v>485000</v>
      </c>
      <c r="P1350" s="39" t="n">
        <f aca="false">O1350/J1350</f>
        <v>8716.75053918045</v>
      </c>
      <c r="Q1350" s="19" t="s">
        <v>889</v>
      </c>
      <c r="R1350" s="19" t="n">
        <v>3</v>
      </c>
      <c r="S1350" s="19" t="s">
        <v>1141</v>
      </c>
      <c r="T1350" s="19"/>
      <c r="U1350" s="19" t="s">
        <v>31</v>
      </c>
      <c r="V1350" s="41" t="n">
        <v>43727</v>
      </c>
      <c r="W1350" s="18"/>
      <c r="X1350" s="18"/>
    </row>
    <row r="1351" s="32" customFormat="true" ht="13.8" hidden="false" customHeight="false" outlineLevel="0" collapsed="false">
      <c r="A1351" s="34"/>
      <c r="B1351" s="19" t="n">
        <v>17600</v>
      </c>
      <c r="C1351" s="20" t="n">
        <v>43431</v>
      </c>
      <c r="D1351" s="38" t="s">
        <v>22</v>
      </c>
      <c r="E1351" s="22" t="s">
        <v>203</v>
      </c>
      <c r="F1351" s="34" t="s">
        <v>138</v>
      </c>
      <c r="G1351" s="19" t="n">
        <v>8</v>
      </c>
      <c r="H1351" s="19" t="n">
        <v>1304</v>
      </c>
      <c r="I1351" s="19" t="n">
        <v>14</v>
      </c>
      <c r="J1351" s="19" t="n">
        <v>52.47</v>
      </c>
      <c r="K1351" s="39" t="n">
        <v>458000</v>
      </c>
      <c r="L1351" s="27" t="n">
        <f aca="false">K1351/J1351</f>
        <v>8728.79740804269</v>
      </c>
      <c r="M1351" s="50" t="s">
        <v>1833</v>
      </c>
      <c r="N1351" s="29" t="n">
        <v>22000</v>
      </c>
      <c r="O1351" s="30" t="n">
        <f aca="false">K1351+N1351</f>
        <v>480000</v>
      </c>
      <c r="P1351" s="30" t="n">
        <f aca="false">O1351/J1351</f>
        <v>9148.08461978273</v>
      </c>
      <c r="Q1351" s="19" t="s">
        <v>1834</v>
      </c>
      <c r="R1351" s="22" t="s">
        <v>36</v>
      </c>
      <c r="S1351" s="19" t="s">
        <v>29</v>
      </c>
      <c r="T1351" s="19" t="s">
        <v>30</v>
      </c>
      <c r="U1351" s="31" t="s">
        <v>31</v>
      </c>
      <c r="V1351" s="41" t="n">
        <v>43601</v>
      </c>
      <c r="W1351" s="34" t="s">
        <v>1835</v>
      </c>
      <c r="X1351" s="18"/>
    </row>
    <row r="1352" s="32" customFormat="true" ht="13.8" hidden="false" customHeight="false" outlineLevel="0" collapsed="false">
      <c r="A1352" s="34"/>
      <c r="B1352" s="19" t="n">
        <v>6565</v>
      </c>
      <c r="C1352" s="20" t="n">
        <v>43431</v>
      </c>
      <c r="D1352" s="38" t="s">
        <v>22</v>
      </c>
      <c r="E1352" s="22" t="s">
        <v>140</v>
      </c>
      <c r="F1352" s="34" t="s">
        <v>138</v>
      </c>
      <c r="G1352" s="19" t="s">
        <v>818</v>
      </c>
      <c r="H1352" s="19" t="n">
        <v>76</v>
      </c>
      <c r="I1352" s="19" t="n">
        <v>6</v>
      </c>
      <c r="J1352" s="19" t="n">
        <v>69.82</v>
      </c>
      <c r="K1352" s="39" t="n">
        <v>650000</v>
      </c>
      <c r="L1352" s="27" t="n">
        <f aca="false">K1352/J1352</f>
        <v>9309.65339444285</v>
      </c>
      <c r="M1352" s="50" t="s">
        <v>1778</v>
      </c>
      <c r="N1352" s="29"/>
      <c r="O1352" s="30" t="n">
        <f aca="false">K1352+N1352</f>
        <v>650000</v>
      </c>
      <c r="P1352" s="30" t="n">
        <f aca="false">O1352/J1352</f>
        <v>9309.65339444285</v>
      </c>
      <c r="Q1352" s="19" t="s">
        <v>1836</v>
      </c>
      <c r="R1352" s="22" t="s">
        <v>26</v>
      </c>
      <c r="S1352" s="19" t="s">
        <v>29</v>
      </c>
      <c r="T1352" s="19" t="s">
        <v>30</v>
      </c>
      <c r="U1352" s="31" t="s">
        <v>31</v>
      </c>
      <c r="V1352" s="41" t="n">
        <v>43601</v>
      </c>
      <c r="W1352" s="34" t="s">
        <v>1837</v>
      </c>
      <c r="X1352" s="18"/>
    </row>
    <row r="1353" customFormat="false" ht="13.8" hidden="false" customHeight="false" outlineLevel="0" collapsed="false">
      <c r="A1353" s="34"/>
      <c r="B1353" s="19" t="n">
        <v>4781</v>
      </c>
      <c r="C1353" s="20" t="n">
        <v>43431</v>
      </c>
      <c r="D1353" s="38" t="s">
        <v>22</v>
      </c>
      <c r="E1353" s="22" t="s">
        <v>206</v>
      </c>
      <c r="F1353" s="34" t="s">
        <v>191</v>
      </c>
      <c r="G1353" s="19" t="n">
        <v>10</v>
      </c>
      <c r="H1353" s="19" t="n">
        <v>26</v>
      </c>
      <c r="I1353" s="19" t="n">
        <v>3</v>
      </c>
      <c r="J1353" s="19" t="n">
        <v>49.5</v>
      </c>
      <c r="K1353" s="39" t="n">
        <v>485000</v>
      </c>
      <c r="L1353" s="27" t="n">
        <f aca="false">K1353/J1353</f>
        <v>9797.9797979798</v>
      </c>
      <c r="M1353" s="50"/>
      <c r="N1353" s="29"/>
      <c r="O1353" s="30" t="n">
        <f aca="false">K1353+N1353</f>
        <v>485000</v>
      </c>
      <c r="P1353" s="30" t="n">
        <f aca="false">O1353/J1353</f>
        <v>9797.9797979798</v>
      </c>
      <c r="Q1353" s="19" t="s">
        <v>1406</v>
      </c>
      <c r="R1353" s="22" t="s">
        <v>36</v>
      </c>
      <c r="S1353" s="19" t="s">
        <v>29</v>
      </c>
      <c r="T1353" s="19" t="s">
        <v>30</v>
      </c>
      <c r="U1353" s="31" t="s">
        <v>31</v>
      </c>
      <c r="V1353" s="41" t="n">
        <v>43601</v>
      </c>
      <c r="W1353" s="34" t="s">
        <v>1838</v>
      </c>
      <c r="X1353" s="18"/>
      <c r="Y1353" s="35"/>
      <c r="Z1353" s="43"/>
    </row>
    <row r="1354" s="32" customFormat="true" ht="13.8" hidden="false" customHeight="false" outlineLevel="0" collapsed="false">
      <c r="A1354" s="34"/>
      <c r="B1354" s="19" t="n">
        <v>4795</v>
      </c>
      <c r="C1354" s="20" t="n">
        <v>43431</v>
      </c>
      <c r="D1354" s="38" t="s">
        <v>22</v>
      </c>
      <c r="E1354" s="22" t="s">
        <v>80</v>
      </c>
      <c r="F1354" s="34" t="s">
        <v>81</v>
      </c>
      <c r="G1354" s="19" t="n">
        <v>8</v>
      </c>
      <c r="H1354" s="19" t="n">
        <v>62</v>
      </c>
      <c r="I1354" s="19" t="n">
        <v>3</v>
      </c>
      <c r="J1354" s="19" t="n">
        <v>76.97</v>
      </c>
      <c r="K1354" s="39" t="n">
        <v>1005000</v>
      </c>
      <c r="L1354" s="27" t="n">
        <f aca="false">K1354/J1354</f>
        <v>13057.0352085228</v>
      </c>
      <c r="M1354" s="50" t="s">
        <v>1839</v>
      </c>
      <c r="N1354" s="29" t="n">
        <v>65000</v>
      </c>
      <c r="O1354" s="30" t="n">
        <f aca="false">K1354+N1354</f>
        <v>1070000</v>
      </c>
      <c r="P1354" s="30" t="n">
        <f aca="false">O1354/J1354</f>
        <v>13901.5200727556</v>
      </c>
      <c r="Q1354" s="19" t="s">
        <v>1136</v>
      </c>
      <c r="R1354" s="22" t="s">
        <v>26</v>
      </c>
      <c r="S1354" s="19" t="s">
        <v>29</v>
      </c>
      <c r="T1354" s="19" t="s">
        <v>30</v>
      </c>
      <c r="U1354" s="31" t="s">
        <v>31</v>
      </c>
      <c r="V1354" s="41" t="n">
        <v>43601</v>
      </c>
      <c r="W1354" s="34" t="s">
        <v>1840</v>
      </c>
      <c r="X1354" s="18"/>
    </row>
    <row r="1355" customFormat="false" ht="13.8" hidden="false" customHeight="false" outlineLevel="0" collapsed="false">
      <c r="A1355" s="34"/>
      <c r="B1355" s="19" t="n">
        <v>11906</v>
      </c>
      <c r="C1355" s="20" t="n">
        <v>43431</v>
      </c>
      <c r="D1355" s="38" t="s">
        <v>22</v>
      </c>
      <c r="E1355" s="22" t="s">
        <v>118</v>
      </c>
      <c r="F1355" s="34" t="s">
        <v>119</v>
      </c>
      <c r="G1355" s="19" t="n">
        <v>18</v>
      </c>
      <c r="H1355" s="19" t="n">
        <v>54</v>
      </c>
      <c r="I1355" s="19" t="n">
        <v>11</v>
      </c>
      <c r="J1355" s="19" t="n">
        <v>45</v>
      </c>
      <c r="K1355" s="39" t="n">
        <v>388000</v>
      </c>
      <c r="L1355" s="27" t="n">
        <f aca="false">K1355/J1355</f>
        <v>8622.22222222222</v>
      </c>
      <c r="M1355" s="50" t="s">
        <v>1841</v>
      </c>
      <c r="N1355" s="29"/>
      <c r="O1355" s="30" t="n">
        <f aca="false">K1355+N1355</f>
        <v>388000</v>
      </c>
      <c r="P1355" s="30" t="n">
        <f aca="false">O1355/J1355</f>
        <v>8622.22222222222</v>
      </c>
      <c r="Q1355" s="19" t="s">
        <v>903</v>
      </c>
      <c r="R1355" s="22" t="s">
        <v>36</v>
      </c>
      <c r="S1355" s="19" t="s">
        <v>29</v>
      </c>
      <c r="T1355" s="19" t="s">
        <v>30</v>
      </c>
      <c r="U1355" s="31" t="s">
        <v>31</v>
      </c>
      <c r="V1355" s="41" t="n">
        <v>43601</v>
      </c>
      <c r="W1355" s="34" t="s">
        <v>1842</v>
      </c>
      <c r="X1355" s="34"/>
    </row>
    <row r="1356" s="32" customFormat="true" ht="13.8" hidden="false" customHeight="false" outlineLevel="0" collapsed="false">
      <c r="A1356" s="34"/>
      <c r="B1356" s="19" t="s">
        <v>887</v>
      </c>
      <c r="C1356" s="20" t="n">
        <v>43431</v>
      </c>
      <c r="D1356" s="38" t="s">
        <v>22</v>
      </c>
      <c r="E1356" s="22" t="s">
        <v>652</v>
      </c>
      <c r="F1356" s="45" t="s">
        <v>54</v>
      </c>
      <c r="G1356" s="19" t="n">
        <v>48</v>
      </c>
      <c r="H1356" s="19"/>
      <c r="I1356" s="19" t="n">
        <v>12</v>
      </c>
      <c r="J1356" s="25" t="n">
        <v>49.8</v>
      </c>
      <c r="K1356" s="39" t="n">
        <v>431000</v>
      </c>
      <c r="L1356" s="39" t="n">
        <f aca="false">K1356/J1356</f>
        <v>8654.61847389558</v>
      </c>
      <c r="M1356" s="34"/>
      <c r="N1356" s="40"/>
      <c r="O1356" s="30" t="n">
        <f aca="false">K1356+N1356</f>
        <v>431000</v>
      </c>
      <c r="P1356" s="39" t="n">
        <f aca="false">O1356/J1356</f>
        <v>8654.61847389558</v>
      </c>
      <c r="Q1356" s="19" t="s">
        <v>889</v>
      </c>
      <c r="R1356" s="19" t="n">
        <v>3</v>
      </c>
      <c r="S1356" s="19" t="s">
        <v>1141</v>
      </c>
      <c r="T1356" s="19"/>
      <c r="U1356" s="19" t="s">
        <v>31</v>
      </c>
      <c r="V1356" s="41" t="n">
        <v>43727</v>
      </c>
      <c r="W1356" s="18"/>
      <c r="X1356" s="18"/>
    </row>
    <row r="1357" s="32" customFormat="true" ht="13.8" hidden="false" customHeight="false" outlineLevel="0" collapsed="false">
      <c r="A1357" s="34"/>
      <c r="B1357" s="19" t="s">
        <v>887</v>
      </c>
      <c r="C1357" s="20" t="n">
        <v>43431</v>
      </c>
      <c r="D1357" s="38" t="s">
        <v>22</v>
      </c>
      <c r="E1357" s="22" t="s">
        <v>934</v>
      </c>
      <c r="F1357" s="45" t="s">
        <v>486</v>
      </c>
      <c r="G1357" s="19" t="n">
        <v>12</v>
      </c>
      <c r="H1357" s="19"/>
      <c r="I1357" s="19" t="s">
        <v>1802</v>
      </c>
      <c r="J1357" s="25" t="n">
        <v>36</v>
      </c>
      <c r="K1357" s="39" t="n">
        <v>385000</v>
      </c>
      <c r="L1357" s="39" t="n">
        <f aca="false">K1357/J1357</f>
        <v>10694.4444444444</v>
      </c>
      <c r="M1357" s="34"/>
      <c r="N1357" s="40"/>
      <c r="O1357" s="30" t="n">
        <f aca="false">K1357+N1357</f>
        <v>385000</v>
      </c>
      <c r="P1357" s="39" t="n">
        <f aca="false">O1357/J1357</f>
        <v>10694.4444444444</v>
      </c>
      <c r="Q1357" s="19" t="s">
        <v>889</v>
      </c>
      <c r="R1357" s="19" t="n">
        <v>3</v>
      </c>
      <c r="S1357" s="19" t="s">
        <v>1141</v>
      </c>
      <c r="T1357" s="19"/>
      <c r="U1357" s="19" t="s">
        <v>31</v>
      </c>
      <c r="V1357" s="41" t="n">
        <v>43727</v>
      </c>
      <c r="W1357" s="34"/>
      <c r="X1357" s="34"/>
    </row>
    <row r="1358" customFormat="false" ht="13.8" hidden="false" customHeight="false" outlineLevel="0" collapsed="false">
      <c r="A1358" s="34"/>
      <c r="B1358" s="19" t="n">
        <v>19354</v>
      </c>
      <c r="C1358" s="20" t="n">
        <v>43432</v>
      </c>
      <c r="D1358" s="38" t="s">
        <v>22</v>
      </c>
      <c r="E1358" s="22" t="s">
        <v>140</v>
      </c>
      <c r="F1358" s="34" t="s">
        <v>138</v>
      </c>
      <c r="G1358" s="19" t="s">
        <v>417</v>
      </c>
      <c r="H1358" s="19" t="n">
        <v>119</v>
      </c>
      <c r="I1358" s="19" t="n">
        <v>6</v>
      </c>
      <c r="J1358" s="19" t="n">
        <v>181.6</v>
      </c>
      <c r="K1358" s="39" t="n">
        <v>1282500</v>
      </c>
      <c r="L1358" s="27" t="n">
        <f aca="false">K1358/J1358</f>
        <v>7062.22466960352</v>
      </c>
      <c r="M1358" s="50" t="s">
        <v>1843</v>
      </c>
      <c r="N1358" s="29"/>
      <c r="O1358" s="30" t="n">
        <f aca="false">K1358+N1358</f>
        <v>1282500</v>
      </c>
      <c r="P1358" s="30" t="n">
        <f aca="false">O1358/J1358</f>
        <v>7062.22466960352</v>
      </c>
      <c r="Q1358" s="19" t="s">
        <v>1844</v>
      </c>
      <c r="R1358" s="22" t="s">
        <v>25</v>
      </c>
      <c r="S1358" s="19" t="s">
        <v>29</v>
      </c>
      <c r="T1358" s="19" t="s">
        <v>30</v>
      </c>
      <c r="U1358" s="31" t="s">
        <v>31</v>
      </c>
      <c r="V1358" s="41" t="n">
        <v>43601</v>
      </c>
      <c r="W1358" s="34" t="s">
        <v>1845</v>
      </c>
      <c r="X1358" s="18"/>
    </row>
    <row r="1359" customFormat="false" ht="13.8" hidden="false" customHeight="false" outlineLevel="0" collapsed="false">
      <c r="A1359" s="34"/>
      <c r="B1359" s="19" t="n">
        <v>4873</v>
      </c>
      <c r="C1359" s="20" t="n">
        <v>43432</v>
      </c>
      <c r="D1359" s="38" t="s">
        <v>22</v>
      </c>
      <c r="E1359" s="22" t="s">
        <v>206</v>
      </c>
      <c r="F1359" s="34" t="s">
        <v>191</v>
      </c>
      <c r="G1359" s="19" t="n">
        <v>9</v>
      </c>
      <c r="H1359" s="19" t="n">
        <v>68</v>
      </c>
      <c r="I1359" s="19" t="n">
        <v>1</v>
      </c>
      <c r="J1359" s="19" t="n">
        <v>58.66</v>
      </c>
      <c r="K1359" s="39" t="n">
        <v>630000</v>
      </c>
      <c r="L1359" s="27" t="n">
        <f aca="false">K1359/J1359</f>
        <v>10739.8568019093</v>
      </c>
      <c r="M1359" s="50" t="s">
        <v>1846</v>
      </c>
      <c r="N1359" s="29" t="n">
        <v>18000</v>
      </c>
      <c r="O1359" s="30" t="n">
        <f aca="false">K1359+N1359</f>
        <v>648000</v>
      </c>
      <c r="P1359" s="30" t="n">
        <f aca="false">O1359/J1359</f>
        <v>11046.7098533924</v>
      </c>
      <c r="Q1359" s="19" t="s">
        <v>1847</v>
      </c>
      <c r="R1359" s="22" t="s">
        <v>36</v>
      </c>
      <c r="S1359" s="19" t="s">
        <v>29</v>
      </c>
      <c r="T1359" s="19" t="s">
        <v>30</v>
      </c>
      <c r="U1359" s="31" t="s">
        <v>31</v>
      </c>
      <c r="V1359" s="41" t="n">
        <v>43601</v>
      </c>
      <c r="W1359" s="34" t="s">
        <v>1848</v>
      </c>
      <c r="X1359" s="18"/>
      <c r="Y1359" s="35"/>
      <c r="Z1359" s="36"/>
    </row>
    <row r="1360" customFormat="false" ht="13.8" hidden="false" customHeight="false" outlineLevel="0" collapsed="false">
      <c r="A1360" s="34"/>
      <c r="B1360" s="19" t="n">
        <v>1657</v>
      </c>
      <c r="C1360" s="20" t="n">
        <v>43432</v>
      </c>
      <c r="D1360" s="38" t="s">
        <v>22</v>
      </c>
      <c r="E1360" s="22" t="s">
        <v>129</v>
      </c>
      <c r="F1360" s="34" t="s">
        <v>209</v>
      </c>
      <c r="G1360" s="19" t="n">
        <v>1</v>
      </c>
      <c r="H1360" s="19" t="n">
        <v>5</v>
      </c>
      <c r="I1360" s="19" t="n">
        <v>2</v>
      </c>
      <c r="J1360" s="19" t="n">
        <v>53.04</v>
      </c>
      <c r="K1360" s="39" t="n">
        <v>525000</v>
      </c>
      <c r="L1360" s="27" t="n">
        <f aca="false">K1360/J1360</f>
        <v>9898.19004524887</v>
      </c>
      <c r="M1360" s="50"/>
      <c r="N1360" s="29"/>
      <c r="O1360" s="30" t="n">
        <f aca="false">K1360+N1360</f>
        <v>525000</v>
      </c>
      <c r="P1360" s="30" t="n">
        <f aca="false">O1360/J1360</f>
        <v>9898.19004524887</v>
      </c>
      <c r="Q1360" s="19" t="s">
        <v>1849</v>
      </c>
      <c r="R1360" s="22" t="s">
        <v>36</v>
      </c>
      <c r="S1360" s="19" t="s">
        <v>29</v>
      </c>
      <c r="T1360" s="19" t="s">
        <v>30</v>
      </c>
      <c r="U1360" s="31" t="s">
        <v>31</v>
      </c>
      <c r="V1360" s="41" t="n">
        <v>43601</v>
      </c>
      <c r="W1360" s="34" t="s">
        <v>1850</v>
      </c>
      <c r="X1360" s="34"/>
    </row>
    <row r="1361" customFormat="false" ht="13.8" hidden="false" customHeight="false" outlineLevel="0" collapsed="false">
      <c r="A1361" s="34"/>
      <c r="B1361" s="19" t="s">
        <v>887</v>
      </c>
      <c r="C1361" s="20" t="n">
        <v>43432</v>
      </c>
      <c r="D1361" s="38" t="s">
        <v>22</v>
      </c>
      <c r="E1361" s="22" t="s">
        <v>109</v>
      </c>
      <c r="F1361" s="45" t="s">
        <v>603</v>
      </c>
      <c r="G1361" s="41" t="s">
        <v>1851</v>
      </c>
      <c r="H1361" s="19"/>
      <c r="I1361" s="19" t="n">
        <v>4</v>
      </c>
      <c r="J1361" s="25" t="n">
        <v>32.87</v>
      </c>
      <c r="K1361" s="39" t="n">
        <v>197220</v>
      </c>
      <c r="L1361" s="39" t="n">
        <f aca="false">K1361/J1361</f>
        <v>6000</v>
      </c>
      <c r="M1361" s="34"/>
      <c r="N1361" s="40"/>
      <c r="O1361" s="30" t="n">
        <f aca="false">K1361+N1361</f>
        <v>197220</v>
      </c>
      <c r="P1361" s="39" t="n">
        <f aca="false">O1361/J1361</f>
        <v>6000</v>
      </c>
      <c r="Q1361" s="19" t="s">
        <v>889</v>
      </c>
      <c r="R1361" s="19" t="n">
        <v>2</v>
      </c>
      <c r="S1361" s="19" t="s">
        <v>1141</v>
      </c>
      <c r="T1361" s="19"/>
      <c r="U1361" s="19" t="s">
        <v>31</v>
      </c>
      <c r="V1361" s="41" t="n">
        <v>43727</v>
      </c>
      <c r="W1361" s="18"/>
      <c r="X1361" s="18"/>
    </row>
    <row r="1362" s="32" customFormat="true" ht="13.8" hidden="false" customHeight="false" outlineLevel="0" collapsed="false">
      <c r="A1362" s="34"/>
      <c r="B1362" s="19" t="n">
        <v>10646</v>
      </c>
      <c r="C1362" s="20" t="n">
        <v>43432</v>
      </c>
      <c r="D1362" s="38" t="s">
        <v>22</v>
      </c>
      <c r="E1362" s="22" t="s">
        <v>148</v>
      </c>
      <c r="F1362" s="34" t="s">
        <v>340</v>
      </c>
      <c r="G1362" s="19" t="n">
        <v>5</v>
      </c>
      <c r="H1362" s="19" t="n">
        <v>40</v>
      </c>
      <c r="I1362" s="19" t="n">
        <v>3</v>
      </c>
      <c r="J1362" s="19" t="n">
        <v>31.06</v>
      </c>
      <c r="K1362" s="39" t="n">
        <v>265000</v>
      </c>
      <c r="L1362" s="27" t="n">
        <f aca="false">K1362/J1362</f>
        <v>8531.87379265937</v>
      </c>
      <c r="M1362" s="50" t="s">
        <v>189</v>
      </c>
      <c r="N1362" s="29"/>
      <c r="O1362" s="30" t="n">
        <f aca="false">K1362+N1362</f>
        <v>265000</v>
      </c>
      <c r="P1362" s="30" t="n">
        <f aca="false">O1362/J1362</f>
        <v>8531.87379265937</v>
      </c>
      <c r="Q1362" s="19" t="s">
        <v>1181</v>
      </c>
      <c r="R1362" s="22" t="s">
        <v>27</v>
      </c>
      <c r="S1362" s="19" t="s">
        <v>29</v>
      </c>
      <c r="T1362" s="19" t="s">
        <v>30</v>
      </c>
      <c r="U1362" s="31" t="s">
        <v>31</v>
      </c>
      <c r="V1362" s="41" t="n">
        <v>43601</v>
      </c>
      <c r="W1362" s="34" t="s">
        <v>1852</v>
      </c>
      <c r="X1362" s="18"/>
    </row>
    <row r="1363" s="32" customFormat="true" ht="13.8" hidden="false" customHeight="false" outlineLevel="0" collapsed="false">
      <c r="A1363" s="34"/>
      <c r="B1363" s="22" t="n">
        <v>58807</v>
      </c>
      <c r="C1363" s="20" t="n">
        <v>43432</v>
      </c>
      <c r="D1363" s="38" t="s">
        <v>22</v>
      </c>
      <c r="E1363" s="22" t="s">
        <v>23</v>
      </c>
      <c r="F1363" s="34" t="s">
        <v>272</v>
      </c>
      <c r="G1363" s="19" t="n">
        <v>34</v>
      </c>
      <c r="H1363" s="19" t="n">
        <v>14</v>
      </c>
      <c r="I1363" s="19" t="n">
        <v>3</v>
      </c>
      <c r="J1363" s="19" t="n">
        <v>37.6</v>
      </c>
      <c r="K1363" s="39" t="n">
        <f aca="false">750000/2</f>
        <v>375000</v>
      </c>
      <c r="L1363" s="27" t="n">
        <f aca="false">K1363/J1363</f>
        <v>9973.40425531915</v>
      </c>
      <c r="M1363" s="50"/>
      <c r="N1363" s="29"/>
      <c r="O1363" s="30" t="n">
        <f aca="false">K1363+N1363</f>
        <v>375000</v>
      </c>
      <c r="P1363" s="30" t="n">
        <f aca="false">O1363/J1363</f>
        <v>9973.40425531915</v>
      </c>
      <c r="Q1363" s="19" t="s">
        <v>903</v>
      </c>
      <c r="R1363" s="22" t="s">
        <v>36</v>
      </c>
      <c r="S1363" s="19" t="s">
        <v>29</v>
      </c>
      <c r="T1363" s="19" t="s">
        <v>30</v>
      </c>
      <c r="U1363" s="31" t="s">
        <v>31</v>
      </c>
      <c r="V1363" s="41" t="n">
        <v>43601</v>
      </c>
      <c r="W1363" s="34" t="s">
        <v>1853</v>
      </c>
      <c r="X1363" s="34"/>
    </row>
    <row r="1364" s="32" customFormat="true" ht="13.8" hidden="false" customHeight="false" outlineLevel="0" collapsed="false">
      <c r="A1364" s="34"/>
      <c r="B1364" s="19" t="s">
        <v>887</v>
      </c>
      <c r="C1364" s="20" t="n">
        <v>43433</v>
      </c>
      <c r="D1364" s="38" t="s">
        <v>22</v>
      </c>
      <c r="E1364" s="22" t="s">
        <v>212</v>
      </c>
      <c r="F1364" s="45" t="s">
        <v>528</v>
      </c>
      <c r="G1364" s="19" t="s">
        <v>1854</v>
      </c>
      <c r="H1364" s="19"/>
      <c r="I1364" s="19" t="n">
        <v>5</v>
      </c>
      <c r="J1364" s="25" t="n">
        <v>95.67</v>
      </c>
      <c r="K1364" s="39" t="n">
        <v>870000</v>
      </c>
      <c r="L1364" s="39" t="n">
        <f aca="false">K1364/J1364</f>
        <v>9093.75979931013</v>
      </c>
      <c r="M1364" s="34" t="s">
        <v>1541</v>
      </c>
      <c r="N1364" s="40"/>
      <c r="O1364" s="30" t="n">
        <f aca="false">K1364+N1364</f>
        <v>870000</v>
      </c>
      <c r="P1364" s="39" t="n">
        <f aca="false">O1364/J1364</f>
        <v>9093.75979931013</v>
      </c>
      <c r="Q1364" s="19" t="s">
        <v>889</v>
      </c>
      <c r="R1364" s="19" t="n">
        <v>5</v>
      </c>
      <c r="S1364" s="19" t="s">
        <v>890</v>
      </c>
      <c r="T1364" s="19"/>
      <c r="U1364" s="19" t="s">
        <v>31</v>
      </c>
      <c r="V1364" s="41" t="n">
        <v>43727</v>
      </c>
      <c r="W1364" s="18"/>
      <c r="X1364" s="18"/>
    </row>
    <row r="1365" s="32" customFormat="true" ht="13.8" hidden="false" customHeight="false" outlineLevel="0" collapsed="false">
      <c r="A1365" s="34"/>
      <c r="B1365" s="19" t="n">
        <v>8027</v>
      </c>
      <c r="C1365" s="20" t="n">
        <v>43433</v>
      </c>
      <c r="D1365" s="38" t="s">
        <v>22</v>
      </c>
      <c r="E1365" s="22" t="s">
        <v>251</v>
      </c>
      <c r="F1365" s="34" t="s">
        <v>1594</v>
      </c>
      <c r="G1365" s="19" t="s">
        <v>1855</v>
      </c>
      <c r="H1365" s="19" t="n">
        <v>30</v>
      </c>
      <c r="I1365" s="19" t="n">
        <v>5</v>
      </c>
      <c r="J1365" s="19" t="n">
        <v>97.89</v>
      </c>
      <c r="K1365" s="39" t="n">
        <v>840000</v>
      </c>
      <c r="L1365" s="27" t="n">
        <f aca="false">K1365/J1365</f>
        <v>8581.06037388906</v>
      </c>
      <c r="M1365" s="50" t="s">
        <v>1856</v>
      </c>
      <c r="N1365" s="29" t="n">
        <v>30000</v>
      </c>
      <c r="O1365" s="30" t="n">
        <f aca="false">K1365+N1365</f>
        <v>870000</v>
      </c>
      <c r="P1365" s="30" t="n">
        <f aca="false">O1365/J1365</f>
        <v>8887.52681581367</v>
      </c>
      <c r="Q1365" s="19" t="s">
        <v>1772</v>
      </c>
      <c r="R1365" s="22" t="s">
        <v>49</v>
      </c>
      <c r="S1365" s="19" t="s">
        <v>29</v>
      </c>
      <c r="T1365" s="19" t="s">
        <v>30</v>
      </c>
      <c r="U1365" s="31" t="s">
        <v>31</v>
      </c>
      <c r="V1365" s="41" t="n">
        <v>43601</v>
      </c>
      <c r="W1365" s="34" t="s">
        <v>1857</v>
      </c>
      <c r="X1365" s="18"/>
    </row>
    <row r="1366" customFormat="false" ht="13.8" hidden="false" customHeight="false" outlineLevel="0" collapsed="false">
      <c r="A1366" s="34"/>
      <c r="B1366" s="19" t="n">
        <v>13195</v>
      </c>
      <c r="C1366" s="20" t="n">
        <v>43433</v>
      </c>
      <c r="D1366" s="38" t="s">
        <v>22</v>
      </c>
      <c r="E1366" s="22" t="s">
        <v>75</v>
      </c>
      <c r="F1366" s="34" t="s">
        <v>1594</v>
      </c>
      <c r="G1366" s="19" t="n">
        <v>95</v>
      </c>
      <c r="H1366" s="19" t="n">
        <v>38</v>
      </c>
      <c r="I1366" s="19" t="n">
        <v>4</v>
      </c>
      <c r="J1366" s="19" t="n">
        <v>189.3</v>
      </c>
      <c r="K1366" s="39" t="n">
        <v>1750000</v>
      </c>
      <c r="L1366" s="27" t="n">
        <f aca="false">K1366/J1366</f>
        <v>9244.5853143159</v>
      </c>
      <c r="M1366" s="50" t="s">
        <v>1858</v>
      </c>
      <c r="N1366" s="29"/>
      <c r="O1366" s="30" t="n">
        <f aca="false">K1366+N1366</f>
        <v>1750000</v>
      </c>
      <c r="P1366" s="30" t="n">
        <f aca="false">O1366/J1366</f>
        <v>9244.5853143159</v>
      </c>
      <c r="Q1366" s="19" t="s">
        <v>1859</v>
      </c>
      <c r="R1366" s="22" t="s">
        <v>57</v>
      </c>
      <c r="S1366" s="19" t="s">
        <v>29</v>
      </c>
      <c r="T1366" s="19" t="s">
        <v>30</v>
      </c>
      <c r="U1366" s="31" t="s">
        <v>31</v>
      </c>
      <c r="V1366" s="41" t="n">
        <v>43601</v>
      </c>
      <c r="W1366" s="34" t="s">
        <v>1860</v>
      </c>
      <c r="X1366" s="18"/>
    </row>
    <row r="1367" customFormat="false" ht="13.8" hidden="false" customHeight="false" outlineLevel="0" collapsed="false">
      <c r="A1367" s="34"/>
      <c r="B1367" s="19" t="n">
        <v>7561</v>
      </c>
      <c r="C1367" s="20" t="n">
        <v>43433</v>
      </c>
      <c r="D1367" s="38" t="s">
        <v>22</v>
      </c>
      <c r="E1367" s="22" t="s">
        <v>171</v>
      </c>
      <c r="F1367" s="34" t="s">
        <v>315</v>
      </c>
      <c r="G1367" s="19" t="n">
        <v>36</v>
      </c>
      <c r="H1367" s="19" t="n">
        <v>55</v>
      </c>
      <c r="I1367" s="19" t="n">
        <v>6</v>
      </c>
      <c r="J1367" s="19" t="n">
        <v>51.9</v>
      </c>
      <c r="K1367" s="39" t="n">
        <v>495000</v>
      </c>
      <c r="L1367" s="27" t="n">
        <f aca="false">K1367/J1367</f>
        <v>9537.57225433526</v>
      </c>
      <c r="M1367" s="50"/>
      <c r="N1367" s="29"/>
      <c r="O1367" s="30" t="n">
        <f aca="false">K1367+N1367</f>
        <v>495000</v>
      </c>
      <c r="P1367" s="30" t="n">
        <f aca="false">O1367/J1367</f>
        <v>9537.57225433526</v>
      </c>
      <c r="Q1367" s="19" t="s">
        <v>861</v>
      </c>
      <c r="R1367" s="22" t="s">
        <v>26</v>
      </c>
      <c r="S1367" s="19" t="s">
        <v>29</v>
      </c>
      <c r="T1367" s="19" t="s">
        <v>30</v>
      </c>
      <c r="U1367" s="31" t="s">
        <v>31</v>
      </c>
      <c r="V1367" s="41" t="n">
        <v>43601</v>
      </c>
      <c r="W1367" s="34" t="s">
        <v>1861</v>
      </c>
      <c r="X1367" s="34"/>
    </row>
    <row r="1368" customFormat="false" ht="13.8" hidden="false" customHeight="false" outlineLevel="0" collapsed="false">
      <c r="A1368" s="34"/>
      <c r="B1368" s="19" t="n">
        <v>2628</v>
      </c>
      <c r="C1368" s="20" t="n">
        <v>43433</v>
      </c>
      <c r="D1368" s="38" t="s">
        <v>22</v>
      </c>
      <c r="E1368" s="22" t="s">
        <v>278</v>
      </c>
      <c r="F1368" s="34" t="s">
        <v>416</v>
      </c>
      <c r="G1368" s="19" t="n">
        <v>4</v>
      </c>
      <c r="H1368" s="19" t="n">
        <v>70</v>
      </c>
      <c r="I1368" s="19" t="n">
        <v>2</v>
      </c>
      <c r="J1368" s="19" t="n">
        <v>38.4</v>
      </c>
      <c r="K1368" s="39" t="n">
        <v>322000</v>
      </c>
      <c r="L1368" s="27" t="n">
        <f aca="false">K1368/J1368</f>
        <v>8385.41666666667</v>
      </c>
      <c r="M1368" s="50"/>
      <c r="N1368" s="29"/>
      <c r="O1368" s="30" t="n">
        <f aca="false">K1368+N1368</f>
        <v>322000</v>
      </c>
      <c r="P1368" s="30" t="n">
        <f aca="false">O1368/J1368</f>
        <v>8385.41666666667</v>
      </c>
      <c r="Q1368" s="19" t="s">
        <v>903</v>
      </c>
      <c r="R1368" s="22" t="s">
        <v>36</v>
      </c>
      <c r="S1368" s="19" t="s">
        <v>29</v>
      </c>
      <c r="T1368" s="19" t="s">
        <v>30</v>
      </c>
      <c r="U1368" s="31" t="s">
        <v>31</v>
      </c>
      <c r="V1368" s="41" t="n">
        <v>43601</v>
      </c>
      <c r="W1368" s="34" t="s">
        <v>1862</v>
      </c>
      <c r="X1368" s="34"/>
    </row>
    <row r="1369" customFormat="false" ht="13.8" hidden="false" customHeight="false" outlineLevel="0" collapsed="false">
      <c r="A1369" s="34"/>
      <c r="B1369" s="19" t="n">
        <v>4206</v>
      </c>
      <c r="C1369" s="20" t="n">
        <v>43433</v>
      </c>
      <c r="D1369" s="38" t="s">
        <v>22</v>
      </c>
      <c r="E1369" s="22" t="s">
        <v>322</v>
      </c>
      <c r="F1369" s="34" t="s">
        <v>323</v>
      </c>
      <c r="G1369" s="19" t="s">
        <v>570</v>
      </c>
      <c r="H1369" s="19" t="n">
        <v>53</v>
      </c>
      <c r="I1369" s="19" t="n">
        <v>6</v>
      </c>
      <c r="J1369" s="19" t="n">
        <v>36.51</v>
      </c>
      <c r="K1369" s="39" t="n">
        <v>435000</v>
      </c>
      <c r="L1369" s="27" t="n">
        <f aca="false">K1369/J1369</f>
        <v>11914.5439605588</v>
      </c>
      <c r="M1369" s="50" t="s">
        <v>1863</v>
      </c>
      <c r="N1369" s="29" t="n">
        <v>30000</v>
      </c>
      <c r="O1369" s="30" t="n">
        <f aca="false">K1369+N1369</f>
        <v>465000</v>
      </c>
      <c r="P1369" s="30" t="n">
        <f aca="false">O1369/J1369</f>
        <v>12736.2366474938</v>
      </c>
      <c r="Q1369" s="19" t="s">
        <v>1224</v>
      </c>
      <c r="R1369" s="22" t="s">
        <v>27</v>
      </c>
      <c r="S1369" s="19" t="s">
        <v>29</v>
      </c>
      <c r="T1369" s="19" t="s">
        <v>30</v>
      </c>
      <c r="U1369" s="31" t="s">
        <v>31</v>
      </c>
      <c r="V1369" s="41" t="n">
        <v>43601</v>
      </c>
      <c r="W1369" s="34" t="s">
        <v>1864</v>
      </c>
      <c r="X1369" s="34"/>
    </row>
    <row r="1370" customFormat="false" ht="13.8" hidden="false" customHeight="false" outlineLevel="0" collapsed="false">
      <c r="A1370" s="34"/>
      <c r="B1370" s="19" t="n">
        <v>9325</v>
      </c>
      <c r="C1370" s="20" t="n">
        <v>43433</v>
      </c>
      <c r="D1370" s="38" t="s">
        <v>22</v>
      </c>
      <c r="E1370" s="22" t="s">
        <v>278</v>
      </c>
      <c r="F1370" s="34" t="s">
        <v>279</v>
      </c>
      <c r="G1370" s="19" t="n">
        <v>17</v>
      </c>
      <c r="H1370" s="19" t="n">
        <v>13</v>
      </c>
      <c r="I1370" s="19" t="n">
        <v>4</v>
      </c>
      <c r="J1370" s="19" t="n">
        <v>48.75</v>
      </c>
      <c r="K1370" s="39" t="n">
        <v>418800</v>
      </c>
      <c r="L1370" s="27" t="n">
        <f aca="false">K1370/J1370</f>
        <v>8590.76923076923</v>
      </c>
      <c r="M1370" s="50"/>
      <c r="N1370" s="29"/>
      <c r="O1370" s="30" t="n">
        <f aca="false">K1370+N1370</f>
        <v>418800</v>
      </c>
      <c r="P1370" s="30" t="n">
        <f aca="false">O1370/J1370</f>
        <v>8590.76923076923</v>
      </c>
      <c r="Q1370" s="19" t="s">
        <v>861</v>
      </c>
      <c r="R1370" s="22" t="s">
        <v>26</v>
      </c>
      <c r="S1370" s="19" t="s">
        <v>29</v>
      </c>
      <c r="T1370" s="19" t="s">
        <v>30</v>
      </c>
      <c r="U1370" s="31" t="s">
        <v>31</v>
      </c>
      <c r="V1370" s="41" t="n">
        <v>43601</v>
      </c>
      <c r="W1370" s="34" t="s">
        <v>1865</v>
      </c>
      <c r="X1370" s="18"/>
    </row>
    <row r="1371" s="32" customFormat="true" ht="13.8" hidden="false" customHeight="false" outlineLevel="0" collapsed="false">
      <c r="A1371" s="34"/>
      <c r="B1371" s="19" t="n">
        <v>17362</v>
      </c>
      <c r="C1371" s="20" t="n">
        <v>43433</v>
      </c>
      <c r="D1371" s="38" t="s">
        <v>22</v>
      </c>
      <c r="E1371" s="22" t="s">
        <v>190</v>
      </c>
      <c r="F1371" s="34" t="s">
        <v>108</v>
      </c>
      <c r="G1371" s="19" t="s">
        <v>570</v>
      </c>
      <c r="H1371" s="19" t="n">
        <v>11</v>
      </c>
      <c r="I1371" s="19" t="n">
        <v>3</v>
      </c>
      <c r="J1371" s="19" t="n">
        <v>34.94</v>
      </c>
      <c r="K1371" s="39" t="n">
        <v>290000</v>
      </c>
      <c r="L1371" s="27" t="n">
        <f aca="false">K1371/J1371</f>
        <v>8299.94275901545</v>
      </c>
      <c r="M1371" s="50"/>
      <c r="N1371" s="29"/>
      <c r="O1371" s="30" t="n">
        <f aca="false">K1371+N1371</f>
        <v>290000</v>
      </c>
      <c r="P1371" s="30" t="n">
        <f aca="false">O1371/J1371</f>
        <v>8299.94275901545</v>
      </c>
      <c r="Q1371" s="19" t="s">
        <v>1181</v>
      </c>
      <c r="R1371" s="22" t="s">
        <v>27</v>
      </c>
      <c r="S1371" s="19" t="s">
        <v>29</v>
      </c>
      <c r="T1371" s="19" t="s">
        <v>30</v>
      </c>
      <c r="U1371" s="31" t="s">
        <v>31</v>
      </c>
      <c r="V1371" s="41" t="n">
        <v>43601</v>
      </c>
      <c r="W1371" s="34" t="s">
        <v>1866</v>
      </c>
      <c r="X1371" s="18"/>
    </row>
    <row r="1372" customFormat="false" ht="13.8" hidden="false" customHeight="false" outlineLevel="0" collapsed="false">
      <c r="A1372" s="34"/>
      <c r="B1372" s="19" t="n">
        <v>2846</v>
      </c>
      <c r="C1372" s="20" t="n">
        <v>43433</v>
      </c>
      <c r="D1372" s="38" t="s">
        <v>22</v>
      </c>
      <c r="E1372" s="22" t="s">
        <v>109</v>
      </c>
      <c r="F1372" s="34" t="s">
        <v>271</v>
      </c>
      <c r="G1372" s="19" t="n">
        <v>30</v>
      </c>
      <c r="H1372" s="19" t="s">
        <v>1867</v>
      </c>
      <c r="I1372" s="19" t="n">
        <v>6</v>
      </c>
      <c r="J1372" s="19" t="n">
        <v>45.72</v>
      </c>
      <c r="K1372" s="39" t="n">
        <v>190000</v>
      </c>
      <c r="L1372" s="27" t="n">
        <f aca="false">K1372/J1372</f>
        <v>4155.73053368329</v>
      </c>
      <c r="M1372" s="50"/>
      <c r="N1372" s="29"/>
      <c r="O1372" s="30" t="n">
        <f aca="false">K1372+N1372</f>
        <v>190000</v>
      </c>
      <c r="P1372" s="30" t="n">
        <f aca="false">O1372/J1372</f>
        <v>4155.73053368329</v>
      </c>
      <c r="Q1372" s="19" t="s">
        <v>903</v>
      </c>
      <c r="R1372" s="22" t="s">
        <v>36</v>
      </c>
      <c r="S1372" s="19" t="s">
        <v>29</v>
      </c>
      <c r="T1372" s="19" t="s">
        <v>30</v>
      </c>
      <c r="U1372" s="31" t="s">
        <v>31</v>
      </c>
      <c r="V1372" s="41" t="n">
        <v>43601</v>
      </c>
      <c r="W1372" s="34" t="s">
        <v>1868</v>
      </c>
      <c r="X1372" s="18"/>
    </row>
    <row r="1373" s="32" customFormat="true" ht="13.8" hidden="false" customHeight="false" outlineLevel="0" collapsed="false">
      <c r="A1373" s="34"/>
      <c r="B1373" s="19" t="n">
        <v>7601</v>
      </c>
      <c r="C1373" s="20" t="n">
        <v>43434</v>
      </c>
      <c r="D1373" s="38" t="s">
        <v>22</v>
      </c>
      <c r="E1373" s="22" t="s">
        <v>343</v>
      </c>
      <c r="F1373" s="34" t="s">
        <v>344</v>
      </c>
      <c r="G1373" s="19" t="n">
        <v>85</v>
      </c>
      <c r="H1373" s="19" t="n">
        <v>15</v>
      </c>
      <c r="I1373" s="19" t="n">
        <v>3</v>
      </c>
      <c r="J1373" s="19" t="n">
        <v>59.07</v>
      </c>
      <c r="K1373" s="39" t="n">
        <v>586000</v>
      </c>
      <c r="L1373" s="27" t="n">
        <f aca="false">K1373/J1373</f>
        <v>9920.43338412054</v>
      </c>
      <c r="M1373" s="50" t="s">
        <v>1869</v>
      </c>
      <c r="N1373" s="29" t="n">
        <v>30000</v>
      </c>
      <c r="O1373" s="30" t="n">
        <f aca="false">K1373+N1373</f>
        <v>616000</v>
      </c>
      <c r="P1373" s="30" t="n">
        <f aca="false">O1373/J1373</f>
        <v>10428.3054003724</v>
      </c>
      <c r="Q1373" s="19" t="s">
        <v>1224</v>
      </c>
      <c r="R1373" s="22" t="s">
        <v>27</v>
      </c>
      <c r="S1373" s="19" t="s">
        <v>29</v>
      </c>
      <c r="T1373" s="19" t="s">
        <v>30</v>
      </c>
      <c r="U1373" s="31" t="s">
        <v>31</v>
      </c>
      <c r="V1373" s="41" t="n">
        <v>43601</v>
      </c>
      <c r="W1373" s="34" t="s">
        <v>1870</v>
      </c>
      <c r="X1373" s="18"/>
    </row>
    <row r="1374" customFormat="false" ht="13.8" hidden="false" customHeight="false" outlineLevel="0" collapsed="false">
      <c r="A1374" s="34"/>
      <c r="B1374" s="19" t="n">
        <v>17497</v>
      </c>
      <c r="C1374" s="20" t="n">
        <v>43434</v>
      </c>
      <c r="D1374" s="38" t="s">
        <v>22</v>
      </c>
      <c r="E1374" s="22" t="s">
        <v>80</v>
      </c>
      <c r="F1374" s="34" t="s">
        <v>162</v>
      </c>
      <c r="G1374" s="19" t="n">
        <v>3</v>
      </c>
      <c r="H1374" s="19" t="n">
        <v>57</v>
      </c>
      <c r="I1374" s="19" t="n">
        <v>2</v>
      </c>
      <c r="J1374" s="19" t="n">
        <v>45.18</v>
      </c>
      <c r="K1374" s="39" t="n">
        <v>540000</v>
      </c>
      <c r="L1374" s="27" t="n">
        <f aca="false">K1374/J1374</f>
        <v>11952.1912350598</v>
      </c>
      <c r="M1374" s="50" t="s">
        <v>1778</v>
      </c>
      <c r="N1374" s="29" t="n">
        <v>30000</v>
      </c>
      <c r="O1374" s="30" t="n">
        <f aca="false">K1374+N1374</f>
        <v>570000</v>
      </c>
      <c r="P1374" s="30" t="n">
        <f aca="false">O1374/J1374</f>
        <v>12616.2018592297</v>
      </c>
      <c r="Q1374" s="19" t="s">
        <v>1431</v>
      </c>
      <c r="R1374" s="22" t="s">
        <v>36</v>
      </c>
      <c r="S1374" s="19" t="s">
        <v>29</v>
      </c>
      <c r="T1374" s="19" t="s">
        <v>30</v>
      </c>
      <c r="U1374" s="31" t="s">
        <v>31</v>
      </c>
      <c r="V1374" s="41" t="n">
        <v>43601</v>
      </c>
      <c r="W1374" s="34" t="s">
        <v>1871</v>
      </c>
      <c r="X1374" s="18"/>
    </row>
    <row r="1375" customFormat="false" ht="13.8" hidden="false" customHeight="false" outlineLevel="0" collapsed="false">
      <c r="A1375" s="34"/>
      <c r="B1375" s="19" t="n">
        <v>60251</v>
      </c>
      <c r="C1375" s="20" t="n">
        <v>43434</v>
      </c>
      <c r="D1375" s="38" t="s">
        <v>22</v>
      </c>
      <c r="E1375" s="22" t="s">
        <v>178</v>
      </c>
      <c r="F1375" s="23" t="s">
        <v>301</v>
      </c>
      <c r="G1375" s="19" t="n">
        <v>14</v>
      </c>
      <c r="H1375" s="19" t="n">
        <v>51</v>
      </c>
      <c r="I1375" s="19"/>
      <c r="J1375" s="19" t="n">
        <v>46.41</v>
      </c>
      <c r="K1375" s="39" t="n">
        <v>400000</v>
      </c>
      <c r="L1375" s="27" t="n">
        <f aca="false">K1375/J1375</f>
        <v>8618.83214824391</v>
      </c>
      <c r="M1375" s="50"/>
      <c r="N1375" s="29"/>
      <c r="O1375" s="30" t="n">
        <f aca="false">K1375+N1375</f>
        <v>400000</v>
      </c>
      <c r="P1375" s="30" t="n">
        <f aca="false">O1375/J1375</f>
        <v>8618.83214824391</v>
      </c>
      <c r="Q1375" s="19" t="s">
        <v>903</v>
      </c>
      <c r="R1375" s="22" t="s">
        <v>36</v>
      </c>
      <c r="S1375" s="19" t="s">
        <v>29</v>
      </c>
      <c r="T1375" s="19" t="s">
        <v>30</v>
      </c>
      <c r="U1375" s="31" t="s">
        <v>31</v>
      </c>
      <c r="V1375" s="41" t="n">
        <v>43601</v>
      </c>
      <c r="W1375" s="34" t="s">
        <v>1872</v>
      </c>
      <c r="X1375" s="18"/>
    </row>
    <row r="1376" s="32" customFormat="true" ht="13.8" hidden="false" customHeight="false" outlineLevel="0" collapsed="false">
      <c r="A1376" s="34"/>
      <c r="B1376" s="19" t="n">
        <v>6954</v>
      </c>
      <c r="C1376" s="20" t="n">
        <v>43434</v>
      </c>
      <c r="D1376" s="38" t="s">
        <v>22</v>
      </c>
      <c r="E1376" s="22" t="s">
        <v>175</v>
      </c>
      <c r="F1376" s="34" t="s">
        <v>176</v>
      </c>
      <c r="G1376" s="19" t="n">
        <v>68</v>
      </c>
      <c r="H1376" s="19" t="n">
        <v>8</v>
      </c>
      <c r="I1376" s="19" t="n">
        <v>4</v>
      </c>
      <c r="J1376" s="19" t="n">
        <v>69.06</v>
      </c>
      <c r="K1376" s="39" t="n">
        <v>700000</v>
      </c>
      <c r="L1376" s="27" t="n">
        <f aca="false">K1376/J1376</f>
        <v>10136.1135244715</v>
      </c>
      <c r="M1376" s="50" t="s">
        <v>1873</v>
      </c>
      <c r="N1376" s="29"/>
      <c r="O1376" s="30" t="n">
        <f aca="false">K1376+N1376</f>
        <v>700000</v>
      </c>
      <c r="P1376" s="30" t="n">
        <f aca="false">O1376/J1376</f>
        <v>10136.1135244715</v>
      </c>
      <c r="Q1376" s="19" t="s">
        <v>903</v>
      </c>
      <c r="R1376" s="22" t="s">
        <v>36</v>
      </c>
      <c r="S1376" s="19" t="s">
        <v>29</v>
      </c>
      <c r="T1376" s="19" t="s">
        <v>30</v>
      </c>
      <c r="U1376" s="31" t="s">
        <v>31</v>
      </c>
      <c r="V1376" s="41" t="n">
        <v>43601</v>
      </c>
      <c r="W1376" s="34" t="s">
        <v>1874</v>
      </c>
      <c r="X1376" s="18"/>
    </row>
    <row r="1377" customFormat="false" ht="13.8" hidden="false" customHeight="false" outlineLevel="0" collapsed="false">
      <c r="A1377" s="34"/>
      <c r="B1377" s="19" t="n">
        <v>5125</v>
      </c>
      <c r="C1377" s="20" t="n">
        <v>43434</v>
      </c>
      <c r="D1377" s="38" t="s">
        <v>22</v>
      </c>
      <c r="E1377" s="22" t="s">
        <v>1875</v>
      </c>
      <c r="F1377" s="34" t="s">
        <v>1876</v>
      </c>
      <c r="G1377" s="19" t="n">
        <v>6</v>
      </c>
      <c r="H1377" s="19" t="n">
        <v>129</v>
      </c>
      <c r="I1377" s="19" t="n">
        <v>9</v>
      </c>
      <c r="J1377" s="19" t="n">
        <v>80.41</v>
      </c>
      <c r="K1377" s="39" t="n">
        <v>890000</v>
      </c>
      <c r="L1377" s="27" t="n">
        <f aca="false">K1377/J1377</f>
        <v>11068.2750901629</v>
      </c>
      <c r="M1377" s="50"/>
      <c r="N1377" s="29"/>
      <c r="O1377" s="30" t="n">
        <f aca="false">K1377+N1377</f>
        <v>890000</v>
      </c>
      <c r="P1377" s="30" t="n">
        <f aca="false">O1377/J1377</f>
        <v>11068.2750901629</v>
      </c>
      <c r="Q1377" s="19" t="s">
        <v>1877</v>
      </c>
      <c r="R1377" s="22" t="s">
        <v>26</v>
      </c>
      <c r="S1377" s="19" t="s">
        <v>29</v>
      </c>
      <c r="T1377" s="19" t="s">
        <v>30</v>
      </c>
      <c r="U1377" s="31" t="s">
        <v>31</v>
      </c>
      <c r="V1377" s="41" t="n">
        <v>43601</v>
      </c>
      <c r="W1377" s="34" t="s">
        <v>1878</v>
      </c>
      <c r="X1377" s="18"/>
    </row>
    <row r="1378" customFormat="false" ht="13.8" hidden="false" customHeight="false" outlineLevel="0" collapsed="false">
      <c r="A1378" s="34"/>
      <c r="B1378" s="19" t="n">
        <v>19262</v>
      </c>
      <c r="C1378" s="20" t="n">
        <v>43434</v>
      </c>
      <c r="D1378" s="38" t="s">
        <v>22</v>
      </c>
      <c r="E1378" s="22" t="s">
        <v>278</v>
      </c>
      <c r="F1378" s="34" t="s">
        <v>688</v>
      </c>
      <c r="G1378" s="19" t="s">
        <v>731</v>
      </c>
      <c r="H1378" s="19" t="n">
        <v>24</v>
      </c>
      <c r="I1378" s="19" t="n">
        <v>5</v>
      </c>
      <c r="J1378" s="19" t="n">
        <v>35.9</v>
      </c>
      <c r="K1378" s="39" t="n">
        <v>316000</v>
      </c>
      <c r="L1378" s="27" t="n">
        <f aca="false">K1378/J1378</f>
        <v>8802.22841225627</v>
      </c>
      <c r="M1378" s="50"/>
      <c r="N1378" s="29"/>
      <c r="O1378" s="30" t="n">
        <f aca="false">K1378+N1378</f>
        <v>316000</v>
      </c>
      <c r="P1378" s="30" t="n">
        <f aca="false">O1378/J1378</f>
        <v>8802.22841225627</v>
      </c>
      <c r="Q1378" s="19" t="s">
        <v>903</v>
      </c>
      <c r="R1378" s="22" t="s">
        <v>36</v>
      </c>
      <c r="S1378" s="19" t="s">
        <v>29</v>
      </c>
      <c r="T1378" s="19" t="s">
        <v>30</v>
      </c>
      <c r="U1378" s="31" t="s">
        <v>31</v>
      </c>
      <c r="V1378" s="41" t="n">
        <v>43601</v>
      </c>
      <c r="W1378" s="34" t="s">
        <v>1879</v>
      </c>
      <c r="X1378" s="18"/>
    </row>
    <row r="1379" s="32" customFormat="true" ht="13.8" hidden="false" customHeight="false" outlineLevel="0" collapsed="false">
      <c r="A1379" s="34"/>
      <c r="B1379" s="19" t="n">
        <v>3447</v>
      </c>
      <c r="C1379" s="20" t="n">
        <v>43434</v>
      </c>
      <c r="D1379" s="38" t="s">
        <v>22</v>
      </c>
      <c r="E1379" s="22" t="s">
        <v>247</v>
      </c>
      <c r="F1379" s="34" t="s">
        <v>248</v>
      </c>
      <c r="G1379" s="19" t="n">
        <v>3</v>
      </c>
      <c r="H1379" s="19" t="n">
        <v>46</v>
      </c>
      <c r="I1379" s="19" t="n">
        <v>8</v>
      </c>
      <c r="J1379" s="19" t="n">
        <v>32.2</v>
      </c>
      <c r="K1379" s="39" t="n">
        <v>300000</v>
      </c>
      <c r="L1379" s="27" t="n">
        <f aca="false">K1379/J1379</f>
        <v>9316.7701863354</v>
      </c>
      <c r="M1379" s="50"/>
      <c r="N1379" s="29"/>
      <c r="O1379" s="30" t="n">
        <f aca="false">K1379+N1379</f>
        <v>300000</v>
      </c>
      <c r="P1379" s="30" t="n">
        <f aca="false">O1379/J1379</f>
        <v>9316.7701863354</v>
      </c>
      <c r="Q1379" s="19" t="s">
        <v>1224</v>
      </c>
      <c r="R1379" s="22" t="s">
        <v>27</v>
      </c>
      <c r="S1379" s="19" t="s">
        <v>29</v>
      </c>
      <c r="T1379" s="19" t="s">
        <v>30</v>
      </c>
      <c r="U1379" s="31" t="s">
        <v>31</v>
      </c>
      <c r="V1379" s="41" t="n">
        <v>43601</v>
      </c>
      <c r="W1379" s="34" t="s">
        <v>1880</v>
      </c>
      <c r="X1379" s="18"/>
    </row>
    <row r="1380" customFormat="false" ht="13.8" hidden="false" customHeight="false" outlineLevel="0" collapsed="false">
      <c r="A1380" s="34"/>
      <c r="B1380" s="19" t="n">
        <v>3027</v>
      </c>
      <c r="C1380" s="20" t="n">
        <v>43434</v>
      </c>
      <c r="D1380" s="38" t="s">
        <v>22</v>
      </c>
      <c r="E1380" s="22" t="s">
        <v>175</v>
      </c>
      <c r="F1380" s="34" t="s">
        <v>1881</v>
      </c>
      <c r="G1380" s="19" t="s">
        <v>759</v>
      </c>
      <c r="H1380" s="19" t="n">
        <v>32</v>
      </c>
      <c r="I1380" s="19" t="n">
        <v>1</v>
      </c>
      <c r="J1380" s="19" t="n">
        <v>22.8</v>
      </c>
      <c r="K1380" s="39" t="n">
        <v>307000</v>
      </c>
      <c r="L1380" s="27" t="n">
        <f aca="false">K1380/J1380</f>
        <v>13464.9122807018</v>
      </c>
      <c r="M1380" s="50"/>
      <c r="N1380" s="29"/>
      <c r="O1380" s="30" t="n">
        <f aca="false">K1380+N1380</f>
        <v>307000</v>
      </c>
      <c r="P1380" s="30" t="n">
        <f aca="false">O1380/J1380</f>
        <v>13464.9122807018</v>
      </c>
      <c r="Q1380" s="19" t="s">
        <v>1181</v>
      </c>
      <c r="R1380" s="22" t="s">
        <v>27</v>
      </c>
      <c r="S1380" s="19" t="s">
        <v>29</v>
      </c>
      <c r="T1380" s="19" t="s">
        <v>30</v>
      </c>
      <c r="U1380" s="31" t="s">
        <v>31</v>
      </c>
      <c r="V1380" s="41" t="n">
        <v>43601</v>
      </c>
      <c r="W1380" s="34" t="s">
        <v>1882</v>
      </c>
      <c r="X1380" s="18"/>
    </row>
    <row r="1381" customFormat="false" ht="13.8" hidden="false" customHeight="false" outlineLevel="0" collapsed="false">
      <c r="A1381" s="34"/>
      <c r="B1381" s="19" t="n">
        <v>6044</v>
      </c>
      <c r="C1381" s="20" t="n">
        <v>43434</v>
      </c>
      <c r="D1381" s="38" t="s">
        <v>22</v>
      </c>
      <c r="E1381" s="22" t="s">
        <v>122</v>
      </c>
      <c r="F1381" s="34" t="s">
        <v>46</v>
      </c>
      <c r="G1381" s="19" t="n">
        <v>228</v>
      </c>
      <c r="H1381" s="19" t="n">
        <v>18</v>
      </c>
      <c r="I1381" s="19" t="n">
        <v>5</v>
      </c>
      <c r="J1381" s="19" t="n">
        <v>65.43</v>
      </c>
      <c r="K1381" s="39" t="n">
        <v>580000</v>
      </c>
      <c r="L1381" s="27" t="n">
        <f aca="false">K1381/J1381</f>
        <v>8864.43527433899</v>
      </c>
      <c r="M1381" s="50" t="s">
        <v>1883</v>
      </c>
      <c r="N1381" s="29"/>
      <c r="O1381" s="30" t="n">
        <f aca="false">K1381+N1381</f>
        <v>580000</v>
      </c>
      <c r="P1381" s="30" t="n">
        <f aca="false">O1381/J1381</f>
        <v>8864.43527433899</v>
      </c>
      <c r="Q1381" s="19" t="s">
        <v>1884</v>
      </c>
      <c r="R1381" s="22" t="s">
        <v>36</v>
      </c>
      <c r="S1381" s="19" t="s">
        <v>29</v>
      </c>
      <c r="T1381" s="19" t="s">
        <v>30</v>
      </c>
      <c r="U1381" s="31" t="s">
        <v>31</v>
      </c>
      <c r="V1381" s="41" t="n">
        <v>43601</v>
      </c>
      <c r="W1381" s="34" t="s">
        <v>1885</v>
      </c>
      <c r="X1381" s="18"/>
    </row>
    <row r="1382" customFormat="false" ht="13.8" hidden="false" customHeight="false" outlineLevel="0" collapsed="false">
      <c r="A1382" s="34"/>
      <c r="B1382" s="19" t="n">
        <v>10886</v>
      </c>
      <c r="C1382" s="20" t="n">
        <v>43434</v>
      </c>
      <c r="D1382" s="38" t="s">
        <v>22</v>
      </c>
      <c r="E1382" s="22" t="s">
        <v>308</v>
      </c>
      <c r="F1382" s="34" t="s">
        <v>46</v>
      </c>
      <c r="G1382" s="19" t="s">
        <v>274</v>
      </c>
      <c r="H1382" s="19" t="n">
        <v>45</v>
      </c>
      <c r="I1382" s="19" t="n">
        <v>4</v>
      </c>
      <c r="J1382" s="19" t="n">
        <v>42.56</v>
      </c>
      <c r="K1382" s="39" t="n">
        <v>570000</v>
      </c>
      <c r="L1382" s="27" t="n">
        <f aca="false">K1382/J1382</f>
        <v>13392.8571428571</v>
      </c>
      <c r="M1382" s="50" t="s">
        <v>1886</v>
      </c>
      <c r="N1382" s="29"/>
      <c r="O1382" s="30" t="n">
        <f aca="false">K1382+N1382</f>
        <v>570000</v>
      </c>
      <c r="P1382" s="30" t="n">
        <f aca="false">O1382/J1382</f>
        <v>13392.8571428571</v>
      </c>
      <c r="Q1382" s="19" t="s">
        <v>903</v>
      </c>
      <c r="R1382" s="22" t="s">
        <v>36</v>
      </c>
      <c r="S1382" s="19" t="s">
        <v>29</v>
      </c>
      <c r="T1382" s="19" t="s">
        <v>30</v>
      </c>
      <c r="U1382" s="31" t="s">
        <v>31</v>
      </c>
      <c r="V1382" s="41" t="n">
        <v>43601</v>
      </c>
      <c r="W1382" s="34" t="s">
        <v>1887</v>
      </c>
      <c r="X1382" s="18"/>
    </row>
    <row r="1383" s="32" customFormat="true" ht="13.8" hidden="false" customHeight="false" outlineLevel="0" collapsed="false">
      <c r="A1383" s="34"/>
      <c r="B1383" s="19" t="n">
        <v>10859</v>
      </c>
      <c r="C1383" s="20" t="n">
        <v>43434</v>
      </c>
      <c r="D1383" s="38" t="s">
        <v>22</v>
      </c>
      <c r="E1383" s="22" t="s">
        <v>109</v>
      </c>
      <c r="F1383" s="34" t="s">
        <v>271</v>
      </c>
      <c r="G1383" s="19" t="n">
        <v>28</v>
      </c>
      <c r="H1383" s="19" t="n">
        <v>49</v>
      </c>
      <c r="I1383" s="19" t="n">
        <v>1</v>
      </c>
      <c r="J1383" s="19" t="n">
        <v>33.28</v>
      </c>
      <c r="K1383" s="39" t="n">
        <v>240000</v>
      </c>
      <c r="L1383" s="27" t="n">
        <f aca="false">K1383/J1383</f>
        <v>7211.53846153846</v>
      </c>
      <c r="M1383" s="50"/>
      <c r="N1383" s="29"/>
      <c r="O1383" s="30" t="n">
        <f aca="false">K1383+N1383</f>
        <v>240000</v>
      </c>
      <c r="P1383" s="30" t="n">
        <f aca="false">O1383/J1383</f>
        <v>7211.53846153846</v>
      </c>
      <c r="Q1383" s="19" t="s">
        <v>1181</v>
      </c>
      <c r="R1383" s="22" t="s">
        <v>27</v>
      </c>
      <c r="S1383" s="19" t="s">
        <v>29</v>
      </c>
      <c r="T1383" s="19" t="s">
        <v>30</v>
      </c>
      <c r="U1383" s="31" t="s">
        <v>31</v>
      </c>
      <c r="V1383" s="41" t="n">
        <v>43601</v>
      </c>
      <c r="W1383" s="34" t="s">
        <v>1888</v>
      </c>
      <c r="X1383" s="18"/>
    </row>
    <row r="1384" s="32" customFormat="true" ht="13.8" hidden="false" customHeight="false" outlineLevel="0" collapsed="false">
      <c r="A1384" s="34"/>
      <c r="B1384" s="19" t="n">
        <v>3435</v>
      </c>
      <c r="C1384" s="20" t="n">
        <v>43434</v>
      </c>
      <c r="D1384" s="38" t="s">
        <v>22</v>
      </c>
      <c r="E1384" s="22" t="s">
        <v>65</v>
      </c>
      <c r="F1384" s="34" t="s">
        <v>66</v>
      </c>
      <c r="G1384" s="19" t="n">
        <v>68</v>
      </c>
      <c r="H1384" s="19" t="n">
        <v>61</v>
      </c>
      <c r="I1384" s="19" t="n">
        <v>5</v>
      </c>
      <c r="J1384" s="19" t="n">
        <v>91.7</v>
      </c>
      <c r="K1384" s="39" t="n">
        <v>820000</v>
      </c>
      <c r="L1384" s="27" t="n">
        <f aca="false">K1384/J1384</f>
        <v>8942.20283533261</v>
      </c>
      <c r="M1384" s="50" t="s">
        <v>1778</v>
      </c>
      <c r="N1384" s="29" t="n">
        <v>30000</v>
      </c>
      <c r="O1384" s="30" t="n">
        <f aca="false">K1384+N1384</f>
        <v>850000</v>
      </c>
      <c r="P1384" s="30" t="n">
        <f aca="false">O1384/J1384</f>
        <v>9269.35659760087</v>
      </c>
      <c r="Q1384" s="19" t="s">
        <v>1889</v>
      </c>
      <c r="R1384" s="22" t="s">
        <v>49</v>
      </c>
      <c r="S1384" s="19" t="s">
        <v>29</v>
      </c>
      <c r="T1384" s="19" t="s">
        <v>30</v>
      </c>
      <c r="U1384" s="31" t="s">
        <v>31</v>
      </c>
      <c r="V1384" s="41" t="n">
        <v>43601</v>
      </c>
      <c r="W1384" s="34" t="s">
        <v>1890</v>
      </c>
      <c r="X1384" s="18"/>
    </row>
    <row r="1385" s="32" customFormat="true" ht="13.8" hidden="false" customHeight="false" outlineLevel="0" collapsed="false">
      <c r="A1385" s="34"/>
      <c r="B1385" s="19" t="n">
        <v>11803</v>
      </c>
      <c r="C1385" s="20" t="n">
        <v>43437</v>
      </c>
      <c r="D1385" s="38" t="s">
        <v>22</v>
      </c>
      <c r="E1385" s="22" t="s">
        <v>178</v>
      </c>
      <c r="F1385" s="23" t="s">
        <v>220</v>
      </c>
      <c r="G1385" s="19" t="n">
        <v>1</v>
      </c>
      <c r="H1385" s="19" t="n">
        <v>49</v>
      </c>
      <c r="I1385" s="19" t="n">
        <v>4</v>
      </c>
      <c r="J1385" s="19" t="n">
        <v>35.26</v>
      </c>
      <c r="K1385" s="39" t="n">
        <v>340000</v>
      </c>
      <c r="L1385" s="27" t="n">
        <f aca="false">K1385/J1385</f>
        <v>9642.65456608055</v>
      </c>
      <c r="M1385" s="50"/>
      <c r="N1385" s="29"/>
      <c r="O1385" s="30" t="n">
        <f aca="false">K1385+N1385</f>
        <v>340000</v>
      </c>
      <c r="P1385" s="30" t="n">
        <f aca="false">O1385/J1385</f>
        <v>9642.65456608055</v>
      </c>
      <c r="Q1385" s="19" t="s">
        <v>1181</v>
      </c>
      <c r="R1385" s="22" t="s">
        <v>27</v>
      </c>
      <c r="S1385" s="19" t="s">
        <v>29</v>
      </c>
      <c r="T1385" s="19" t="s">
        <v>30</v>
      </c>
      <c r="U1385" s="31" t="s">
        <v>31</v>
      </c>
      <c r="V1385" s="41" t="n">
        <v>43601</v>
      </c>
      <c r="W1385" s="34" t="s">
        <v>1891</v>
      </c>
      <c r="X1385" s="18"/>
      <c r="Y1385" s="35"/>
      <c r="Z1385" s="36"/>
    </row>
    <row r="1386" customFormat="false" ht="13.8" hidden="false" customHeight="false" outlineLevel="0" collapsed="false">
      <c r="A1386" s="34"/>
      <c r="B1386" s="19" t="n">
        <v>2968</v>
      </c>
      <c r="C1386" s="20" t="n">
        <v>43437</v>
      </c>
      <c r="D1386" s="38" t="s">
        <v>22</v>
      </c>
      <c r="E1386" s="22" t="s">
        <v>206</v>
      </c>
      <c r="F1386" s="34" t="s">
        <v>320</v>
      </c>
      <c r="G1386" s="19" t="s">
        <v>752</v>
      </c>
      <c r="H1386" s="19" t="n">
        <v>90</v>
      </c>
      <c r="I1386" s="19" t="n">
        <v>2</v>
      </c>
      <c r="J1386" s="19" t="n">
        <v>36.5</v>
      </c>
      <c r="K1386" s="39" t="n">
        <v>425000</v>
      </c>
      <c r="L1386" s="27" t="n">
        <f aca="false">K1386/J1386</f>
        <v>11643.8356164384</v>
      </c>
      <c r="M1386" s="50"/>
      <c r="N1386" s="29"/>
      <c r="O1386" s="30" t="n">
        <f aca="false">K1386+N1386</f>
        <v>425000</v>
      </c>
      <c r="P1386" s="30" t="n">
        <f aca="false">O1386/J1386</f>
        <v>11643.8356164384</v>
      </c>
      <c r="Q1386" s="19" t="s">
        <v>1181</v>
      </c>
      <c r="R1386" s="22" t="s">
        <v>27</v>
      </c>
      <c r="S1386" s="19" t="s">
        <v>29</v>
      </c>
      <c r="T1386" s="19" t="s">
        <v>30</v>
      </c>
      <c r="U1386" s="31" t="s">
        <v>31</v>
      </c>
      <c r="V1386" s="41" t="n">
        <v>43601</v>
      </c>
      <c r="W1386" s="34" t="s">
        <v>1892</v>
      </c>
      <c r="X1386" s="18"/>
    </row>
    <row r="1387" customFormat="false" ht="13.8" hidden="false" customHeight="false" outlineLevel="0" collapsed="false">
      <c r="A1387" s="34"/>
      <c r="B1387" s="19" t="n">
        <v>5482</v>
      </c>
      <c r="C1387" s="20" t="n">
        <v>43437</v>
      </c>
      <c r="D1387" s="38" t="s">
        <v>22</v>
      </c>
      <c r="E1387" s="22" t="s">
        <v>203</v>
      </c>
      <c r="F1387" s="34" t="s">
        <v>138</v>
      </c>
      <c r="G1387" s="19" t="n">
        <v>12</v>
      </c>
      <c r="H1387" s="19" t="n">
        <v>417</v>
      </c>
      <c r="I1387" s="19" t="n">
        <v>5</v>
      </c>
      <c r="J1387" s="19" t="n">
        <v>36.53</v>
      </c>
      <c r="K1387" s="39" t="n">
        <v>405000</v>
      </c>
      <c r="L1387" s="27" t="n">
        <f aca="false">K1387/J1387</f>
        <v>11086.7779906926</v>
      </c>
      <c r="M1387" s="50"/>
      <c r="N1387" s="29"/>
      <c r="O1387" s="30" t="n">
        <f aca="false">K1387+N1387</f>
        <v>405000</v>
      </c>
      <c r="P1387" s="30" t="n">
        <f aca="false">O1387/J1387</f>
        <v>11086.7779906926</v>
      </c>
      <c r="Q1387" s="19" t="s">
        <v>1431</v>
      </c>
      <c r="R1387" s="22" t="s">
        <v>36</v>
      </c>
      <c r="S1387" s="19" t="s">
        <v>29</v>
      </c>
      <c r="T1387" s="19" t="s">
        <v>30</v>
      </c>
      <c r="U1387" s="31" t="s">
        <v>31</v>
      </c>
      <c r="V1387" s="41" t="n">
        <v>43601</v>
      </c>
      <c r="W1387" s="34" t="s">
        <v>1893</v>
      </c>
      <c r="X1387" s="18"/>
    </row>
    <row r="1388" customFormat="false" ht="13.8" hidden="false" customHeight="false" outlineLevel="0" collapsed="false">
      <c r="A1388" s="34"/>
      <c r="B1388" s="19" t="n">
        <v>2611</v>
      </c>
      <c r="C1388" s="20" t="n">
        <v>43437</v>
      </c>
      <c r="D1388" s="38" t="s">
        <v>22</v>
      </c>
      <c r="E1388" s="22" t="s">
        <v>206</v>
      </c>
      <c r="F1388" s="34" t="s">
        <v>191</v>
      </c>
      <c r="G1388" s="19" t="n">
        <v>9</v>
      </c>
      <c r="H1388" s="19" t="n">
        <v>118</v>
      </c>
      <c r="I1388" s="19" t="n">
        <v>2</v>
      </c>
      <c r="J1388" s="19" t="n">
        <v>55.95</v>
      </c>
      <c r="K1388" s="39" t="n">
        <v>415000</v>
      </c>
      <c r="L1388" s="27" t="n">
        <f aca="false">K1388/J1388</f>
        <v>7417.33690795353</v>
      </c>
      <c r="M1388" s="50" t="s">
        <v>1778</v>
      </c>
      <c r="N1388" s="29" t="n">
        <v>25000</v>
      </c>
      <c r="O1388" s="30" t="n">
        <f aca="false">K1388+N1388</f>
        <v>440000</v>
      </c>
      <c r="P1388" s="30" t="n">
        <f aca="false">O1388/J1388</f>
        <v>7864.16443252904</v>
      </c>
      <c r="Q1388" s="19" t="s">
        <v>903</v>
      </c>
      <c r="R1388" s="22" t="s">
        <v>36</v>
      </c>
      <c r="S1388" s="19" t="s">
        <v>29</v>
      </c>
      <c r="T1388" s="19" t="s">
        <v>30</v>
      </c>
      <c r="U1388" s="31" t="s">
        <v>31</v>
      </c>
      <c r="V1388" s="41" t="n">
        <v>43601</v>
      </c>
      <c r="W1388" s="34" t="s">
        <v>1894</v>
      </c>
      <c r="X1388" s="34"/>
    </row>
    <row r="1389" customFormat="false" ht="13.8" hidden="false" customHeight="false" outlineLevel="0" collapsed="false">
      <c r="A1389" s="34"/>
      <c r="B1389" s="19" t="n">
        <v>3139</v>
      </c>
      <c r="C1389" s="20" t="n">
        <v>43437</v>
      </c>
      <c r="D1389" s="38" t="s">
        <v>22</v>
      </c>
      <c r="E1389" s="22" t="s">
        <v>171</v>
      </c>
      <c r="F1389" s="34" t="s">
        <v>628</v>
      </c>
      <c r="G1389" s="19" t="n">
        <v>10</v>
      </c>
      <c r="H1389" s="19" t="n">
        <v>69</v>
      </c>
      <c r="I1389" s="19" t="n">
        <v>5</v>
      </c>
      <c r="J1389" s="19" t="n">
        <v>41.8</v>
      </c>
      <c r="K1389" s="39" t="n">
        <v>270000</v>
      </c>
      <c r="L1389" s="27" t="n">
        <f aca="false">K1389/J1389</f>
        <v>6459.33014354067</v>
      </c>
      <c r="M1389" s="50"/>
      <c r="N1389" s="29"/>
      <c r="O1389" s="30" t="n">
        <f aca="false">K1389+N1389</f>
        <v>270000</v>
      </c>
      <c r="P1389" s="30" t="n">
        <f aca="false">O1389/J1389</f>
        <v>6459.33014354067</v>
      </c>
      <c r="Q1389" s="19" t="s">
        <v>903</v>
      </c>
      <c r="R1389" s="22" t="s">
        <v>36</v>
      </c>
      <c r="S1389" s="19" t="s">
        <v>29</v>
      </c>
      <c r="T1389" s="19" t="s">
        <v>30</v>
      </c>
      <c r="U1389" s="31" t="s">
        <v>31</v>
      </c>
      <c r="V1389" s="41" t="n">
        <v>43601</v>
      </c>
      <c r="W1389" s="34" t="s">
        <v>1895</v>
      </c>
      <c r="X1389" s="18"/>
      <c r="Y1389" s="35"/>
      <c r="Z1389" s="43"/>
    </row>
    <row r="1390" customFormat="false" ht="13.8" hidden="false" customHeight="false" outlineLevel="0" collapsed="false">
      <c r="A1390" s="34"/>
      <c r="B1390" s="19" t="n">
        <v>3384</v>
      </c>
      <c r="C1390" s="20" t="n">
        <v>43437</v>
      </c>
      <c r="D1390" s="38" t="s">
        <v>22</v>
      </c>
      <c r="E1390" s="22" t="s">
        <v>53</v>
      </c>
      <c r="F1390" s="34" t="s">
        <v>46</v>
      </c>
      <c r="G1390" s="19" t="n">
        <v>257</v>
      </c>
      <c r="H1390" s="19" t="n">
        <v>151</v>
      </c>
      <c r="I1390" s="19" t="n">
        <v>10</v>
      </c>
      <c r="J1390" s="19" t="n">
        <v>106.2</v>
      </c>
      <c r="K1390" s="39" t="n">
        <v>1100000</v>
      </c>
      <c r="L1390" s="27" t="n">
        <f aca="false">K1390/J1390</f>
        <v>10357.8154425612</v>
      </c>
      <c r="M1390" s="50" t="s">
        <v>1896</v>
      </c>
      <c r="N1390" s="29"/>
      <c r="O1390" s="30" t="n">
        <f aca="false">K1390+N1390</f>
        <v>1100000</v>
      </c>
      <c r="P1390" s="30" t="n">
        <f aca="false">O1390/J1390</f>
        <v>10357.8154425612</v>
      </c>
      <c r="Q1390" s="19" t="s">
        <v>1889</v>
      </c>
      <c r="R1390" s="22" t="s">
        <v>49</v>
      </c>
      <c r="S1390" s="19" t="s">
        <v>29</v>
      </c>
      <c r="T1390" s="19" t="s">
        <v>30</v>
      </c>
      <c r="U1390" s="31" t="s">
        <v>31</v>
      </c>
      <c r="V1390" s="41" t="n">
        <v>43601</v>
      </c>
      <c r="W1390" s="34" t="s">
        <v>1897</v>
      </c>
      <c r="X1390" s="18"/>
    </row>
    <row r="1391" customFormat="false" ht="13.8" hidden="false" customHeight="false" outlineLevel="0" collapsed="false">
      <c r="A1391" s="34"/>
      <c r="B1391" s="19" t="n">
        <v>7626</v>
      </c>
      <c r="C1391" s="20" t="n">
        <v>43437</v>
      </c>
      <c r="D1391" s="38" t="s">
        <v>22</v>
      </c>
      <c r="E1391" s="22" t="s">
        <v>187</v>
      </c>
      <c r="F1391" s="34" t="s">
        <v>127</v>
      </c>
      <c r="G1391" s="19" t="n">
        <v>88</v>
      </c>
      <c r="H1391" s="19" t="n">
        <v>43</v>
      </c>
      <c r="I1391" s="19" t="n">
        <v>3</v>
      </c>
      <c r="J1391" s="19" t="n">
        <v>35.9</v>
      </c>
      <c r="K1391" s="39" t="n">
        <v>385000</v>
      </c>
      <c r="L1391" s="27" t="n">
        <f aca="false">K1391/J1391</f>
        <v>10724.2339832869</v>
      </c>
      <c r="M1391" s="50"/>
      <c r="N1391" s="29"/>
      <c r="O1391" s="30" t="n">
        <f aca="false">K1391+N1391</f>
        <v>385000</v>
      </c>
      <c r="P1391" s="30" t="n">
        <f aca="false">O1391/J1391</f>
        <v>10724.2339832869</v>
      </c>
      <c r="Q1391" s="19" t="s">
        <v>1181</v>
      </c>
      <c r="R1391" s="22" t="s">
        <v>27</v>
      </c>
      <c r="S1391" s="19" t="s">
        <v>29</v>
      </c>
      <c r="T1391" s="19" t="s">
        <v>30</v>
      </c>
      <c r="U1391" s="31" t="s">
        <v>31</v>
      </c>
      <c r="V1391" s="41" t="n">
        <v>43601</v>
      </c>
      <c r="W1391" s="34" t="s">
        <v>1898</v>
      </c>
      <c r="X1391" s="18"/>
    </row>
    <row r="1392" customFormat="false" ht="13.8" hidden="false" customHeight="false" outlineLevel="0" collapsed="false">
      <c r="A1392" s="34"/>
      <c r="B1392" s="19" t="n">
        <v>10129</v>
      </c>
      <c r="C1392" s="20" t="n">
        <v>43438</v>
      </c>
      <c r="D1392" s="38" t="s">
        <v>22</v>
      </c>
      <c r="E1392" s="22" t="s">
        <v>171</v>
      </c>
      <c r="F1392" s="34" t="s">
        <v>221</v>
      </c>
      <c r="G1392" s="19" t="n">
        <v>10</v>
      </c>
      <c r="H1392" s="19" t="n">
        <v>45</v>
      </c>
      <c r="I1392" s="19" t="n">
        <v>3</v>
      </c>
      <c r="J1392" s="19" t="n">
        <v>46.75</v>
      </c>
      <c r="K1392" s="39" t="n">
        <v>368000</v>
      </c>
      <c r="L1392" s="27" t="n">
        <f aca="false">K1392/J1392</f>
        <v>7871.6577540107</v>
      </c>
      <c r="M1392" s="50"/>
      <c r="N1392" s="29"/>
      <c r="O1392" s="30" t="n">
        <f aca="false">K1392+N1392</f>
        <v>368000</v>
      </c>
      <c r="P1392" s="30" t="n">
        <f aca="false">O1392/J1392</f>
        <v>7871.6577540107</v>
      </c>
      <c r="Q1392" s="19" t="s">
        <v>1136</v>
      </c>
      <c r="R1392" s="22" t="s">
        <v>26</v>
      </c>
      <c r="S1392" s="19" t="s">
        <v>29</v>
      </c>
      <c r="T1392" s="19" t="s">
        <v>30</v>
      </c>
      <c r="U1392" s="31" t="s">
        <v>31</v>
      </c>
      <c r="V1392" s="41" t="n">
        <v>43601</v>
      </c>
      <c r="W1392" s="34" t="s">
        <v>1899</v>
      </c>
      <c r="X1392" s="34"/>
    </row>
    <row r="1393" customFormat="false" ht="13.8" hidden="false" customHeight="false" outlineLevel="0" collapsed="false">
      <c r="A1393" s="34"/>
      <c r="B1393" s="19" t="n">
        <v>3498</v>
      </c>
      <c r="C1393" s="20" t="n">
        <v>43438</v>
      </c>
      <c r="D1393" s="38" t="s">
        <v>22</v>
      </c>
      <c r="E1393" s="22" t="s">
        <v>322</v>
      </c>
      <c r="F1393" s="34" t="s">
        <v>323</v>
      </c>
      <c r="G1393" s="19" t="s">
        <v>570</v>
      </c>
      <c r="H1393" s="19" t="n">
        <v>49</v>
      </c>
      <c r="I1393" s="19" t="n">
        <v>6</v>
      </c>
      <c r="J1393" s="19" t="n">
        <v>37.73</v>
      </c>
      <c r="K1393" s="39" t="n">
        <v>500000</v>
      </c>
      <c r="L1393" s="27" t="n">
        <f aca="false">K1393/J1393</f>
        <v>13252.0540683806</v>
      </c>
      <c r="M1393" s="50"/>
      <c r="N1393" s="29"/>
      <c r="O1393" s="30" t="n">
        <f aca="false">K1393+N1393</f>
        <v>500000</v>
      </c>
      <c r="P1393" s="30" t="n">
        <f aca="false">O1393/J1393</f>
        <v>13252.0540683806</v>
      </c>
      <c r="Q1393" s="19" t="s">
        <v>1431</v>
      </c>
      <c r="R1393" s="22" t="s">
        <v>36</v>
      </c>
      <c r="S1393" s="19" t="s">
        <v>29</v>
      </c>
      <c r="T1393" s="19" t="s">
        <v>30</v>
      </c>
      <c r="U1393" s="31" t="s">
        <v>31</v>
      </c>
      <c r="V1393" s="41" t="n">
        <v>43601</v>
      </c>
      <c r="W1393" s="34" t="s">
        <v>1900</v>
      </c>
      <c r="X1393" s="18"/>
    </row>
    <row r="1394" customFormat="false" ht="13.8" hidden="false" customHeight="false" outlineLevel="0" collapsed="false">
      <c r="A1394" s="34"/>
      <c r="B1394" s="19" t="n">
        <v>7355</v>
      </c>
      <c r="C1394" s="20" t="n">
        <v>43438</v>
      </c>
      <c r="D1394" s="38" t="s">
        <v>22</v>
      </c>
      <c r="E1394" s="22" t="s">
        <v>389</v>
      </c>
      <c r="F1394" s="34" t="s">
        <v>46</v>
      </c>
      <c r="G1394" s="19" t="n">
        <v>152</v>
      </c>
      <c r="H1394" s="19" t="n">
        <v>15</v>
      </c>
      <c r="I1394" s="19" t="n">
        <v>3</v>
      </c>
      <c r="J1394" s="19" t="n">
        <v>73.97</v>
      </c>
      <c r="K1394" s="39" t="n">
        <v>630000</v>
      </c>
      <c r="L1394" s="27" t="n">
        <f aca="false">K1394/J1394</f>
        <v>8516.96633770447</v>
      </c>
      <c r="M1394" s="50" t="s">
        <v>1901</v>
      </c>
      <c r="N1394" s="29"/>
      <c r="O1394" s="30" t="n">
        <f aca="false">K1394+N1394</f>
        <v>630000</v>
      </c>
      <c r="P1394" s="30" t="n">
        <f aca="false">O1394/J1394</f>
        <v>8516.96633770447</v>
      </c>
      <c r="Q1394" s="19" t="s">
        <v>1902</v>
      </c>
      <c r="R1394" s="22" t="s">
        <v>49</v>
      </c>
      <c r="S1394" s="19" t="s">
        <v>29</v>
      </c>
      <c r="T1394" s="19" t="s">
        <v>30</v>
      </c>
      <c r="U1394" s="31" t="s">
        <v>31</v>
      </c>
      <c r="V1394" s="41" t="n">
        <v>43601</v>
      </c>
      <c r="W1394" s="34" t="s">
        <v>1903</v>
      </c>
      <c r="X1394" s="18"/>
    </row>
    <row r="1395" customFormat="false" ht="13.8" hidden="false" customHeight="false" outlineLevel="0" collapsed="false">
      <c r="A1395" s="34"/>
      <c r="B1395" s="19" t="n">
        <v>8913</v>
      </c>
      <c r="C1395" s="20" t="n">
        <v>43440</v>
      </c>
      <c r="D1395" s="38" t="s">
        <v>22</v>
      </c>
      <c r="E1395" s="22" t="s">
        <v>80</v>
      </c>
      <c r="F1395" s="34" t="s">
        <v>162</v>
      </c>
      <c r="G1395" s="19" t="n">
        <v>5</v>
      </c>
      <c r="H1395" s="19" t="n">
        <v>20</v>
      </c>
      <c r="I1395" s="19" t="n">
        <v>4</v>
      </c>
      <c r="J1395" s="19" t="n">
        <v>49.27</v>
      </c>
      <c r="K1395" s="39" t="n">
        <v>750000</v>
      </c>
      <c r="L1395" s="27" t="n">
        <f aca="false">K1395/J1395</f>
        <v>15222.244773696</v>
      </c>
      <c r="M1395" s="50" t="s">
        <v>1904</v>
      </c>
      <c r="N1395" s="29" t="n">
        <v>50000</v>
      </c>
      <c r="O1395" s="30" t="n">
        <f aca="false">K1395+N1395</f>
        <v>800000</v>
      </c>
      <c r="P1395" s="30" t="n">
        <f aca="false">O1395/J1395</f>
        <v>16237.0610919424</v>
      </c>
      <c r="Q1395" s="19" t="s">
        <v>903</v>
      </c>
      <c r="R1395" s="22" t="s">
        <v>36</v>
      </c>
      <c r="S1395" s="19" t="s">
        <v>29</v>
      </c>
      <c r="T1395" s="19" t="s">
        <v>30</v>
      </c>
      <c r="U1395" s="31" t="s">
        <v>31</v>
      </c>
      <c r="V1395" s="41" t="n">
        <v>43601</v>
      </c>
      <c r="W1395" s="34" t="s">
        <v>1905</v>
      </c>
      <c r="X1395" s="18"/>
    </row>
    <row r="1396" customFormat="false" ht="13.8" hidden="false" customHeight="false" outlineLevel="0" collapsed="false">
      <c r="A1396" s="34"/>
      <c r="B1396" s="19" t="n">
        <v>4936</v>
      </c>
      <c r="C1396" s="20" t="n">
        <v>43440</v>
      </c>
      <c r="D1396" s="38" t="s">
        <v>22</v>
      </c>
      <c r="E1396" s="22" t="s">
        <v>23</v>
      </c>
      <c r="F1396" s="34" t="s">
        <v>957</v>
      </c>
      <c r="G1396" s="19" t="n">
        <v>100</v>
      </c>
      <c r="H1396" s="19" t="n">
        <v>70</v>
      </c>
      <c r="I1396" s="19" t="n">
        <v>3</v>
      </c>
      <c r="J1396" s="19" t="n">
        <v>36.95</v>
      </c>
      <c r="K1396" s="39" t="n">
        <v>360000</v>
      </c>
      <c r="L1396" s="27" t="n">
        <f aca="false">K1396/J1396</f>
        <v>9742.89580514208</v>
      </c>
      <c r="M1396" s="50"/>
      <c r="N1396" s="29"/>
      <c r="O1396" s="30" t="n">
        <f aca="false">K1396+N1396</f>
        <v>360000</v>
      </c>
      <c r="P1396" s="30" t="n">
        <f aca="false">O1396/J1396</f>
        <v>9742.89580514208</v>
      </c>
      <c r="Q1396" s="19" t="s">
        <v>1906</v>
      </c>
      <c r="R1396" s="22" t="s">
        <v>36</v>
      </c>
      <c r="S1396" s="19" t="s">
        <v>29</v>
      </c>
      <c r="T1396" s="19" t="s">
        <v>30</v>
      </c>
      <c r="U1396" s="31" t="s">
        <v>31</v>
      </c>
      <c r="V1396" s="41" t="n">
        <v>43601</v>
      </c>
      <c r="W1396" s="34" t="s">
        <v>1565</v>
      </c>
      <c r="X1396" s="18"/>
    </row>
    <row r="1397" customFormat="false" ht="13.8" hidden="false" customHeight="false" outlineLevel="0" collapsed="false">
      <c r="A1397" s="34"/>
      <c r="B1397" s="19" t="n">
        <v>4637</v>
      </c>
      <c r="C1397" s="20" t="n">
        <v>43440</v>
      </c>
      <c r="D1397" s="38" t="s">
        <v>22</v>
      </c>
      <c r="E1397" s="22" t="s">
        <v>37</v>
      </c>
      <c r="F1397" s="34" t="s">
        <v>152</v>
      </c>
      <c r="G1397" s="19" t="s">
        <v>153</v>
      </c>
      <c r="H1397" s="19" t="n">
        <v>6</v>
      </c>
      <c r="I1397" s="19" t="n">
        <v>5</v>
      </c>
      <c r="J1397" s="19" t="n">
        <v>129.3</v>
      </c>
      <c r="K1397" s="39" t="n">
        <v>1510000</v>
      </c>
      <c r="L1397" s="27" t="n">
        <f aca="false">K1397/J1397</f>
        <v>11678.2675947409</v>
      </c>
      <c r="M1397" s="50" t="s">
        <v>1907</v>
      </c>
      <c r="N1397" s="29" t="n">
        <v>40000</v>
      </c>
      <c r="O1397" s="30" t="n">
        <f aca="false">K1397+N1397</f>
        <v>1550000</v>
      </c>
      <c r="P1397" s="30" t="n">
        <f aca="false">O1397/J1397</f>
        <v>11987.6256767208</v>
      </c>
      <c r="Q1397" s="19" t="s">
        <v>1908</v>
      </c>
      <c r="R1397" s="22" t="s">
        <v>49</v>
      </c>
      <c r="S1397" s="19" t="s">
        <v>29</v>
      </c>
      <c r="T1397" s="19" t="s">
        <v>30</v>
      </c>
      <c r="U1397" s="31" t="s">
        <v>31</v>
      </c>
      <c r="V1397" s="41" t="n">
        <v>43601</v>
      </c>
      <c r="W1397" s="34" t="s">
        <v>1909</v>
      </c>
      <c r="X1397" s="18"/>
      <c r="Y1397" s="35"/>
      <c r="Z1397" s="43"/>
    </row>
    <row r="1398" customFormat="false" ht="13.8" hidden="false" customHeight="false" outlineLevel="0" collapsed="false">
      <c r="A1398" s="34"/>
      <c r="B1398" s="19" t="n">
        <v>6263</v>
      </c>
      <c r="C1398" s="20" t="n">
        <v>43441</v>
      </c>
      <c r="D1398" s="38" t="s">
        <v>22</v>
      </c>
      <c r="E1398" s="22" t="s">
        <v>882</v>
      </c>
      <c r="F1398" s="34" t="s">
        <v>883</v>
      </c>
      <c r="G1398" s="19" t="s">
        <v>395</v>
      </c>
      <c r="H1398" s="19" t="n">
        <v>31</v>
      </c>
      <c r="I1398" s="19" t="n">
        <v>1</v>
      </c>
      <c r="J1398" s="19" t="n">
        <v>52.6</v>
      </c>
      <c r="K1398" s="39" t="n">
        <v>410000</v>
      </c>
      <c r="L1398" s="27" t="n">
        <f aca="false">K1398/J1398</f>
        <v>7794.67680608365</v>
      </c>
      <c r="M1398" s="50"/>
      <c r="N1398" s="29"/>
      <c r="O1398" s="30" t="n">
        <f aca="false">K1398+N1398</f>
        <v>410000</v>
      </c>
      <c r="P1398" s="30" t="n">
        <f aca="false">O1398/J1398</f>
        <v>7794.67680608365</v>
      </c>
      <c r="Q1398" s="19" t="s">
        <v>1224</v>
      </c>
      <c r="R1398" s="22" t="s">
        <v>27</v>
      </c>
      <c r="S1398" s="19" t="s">
        <v>29</v>
      </c>
      <c r="T1398" s="19" t="s">
        <v>30</v>
      </c>
      <c r="U1398" s="31" t="s">
        <v>31</v>
      </c>
      <c r="V1398" s="41" t="n">
        <v>43601</v>
      </c>
      <c r="W1398" s="34" t="s">
        <v>1910</v>
      </c>
      <c r="X1398" s="18"/>
    </row>
    <row r="1399" customFormat="false" ht="13.8" hidden="false" customHeight="false" outlineLevel="0" collapsed="false">
      <c r="A1399" s="34"/>
      <c r="B1399" s="19" t="n">
        <v>9000</v>
      </c>
      <c r="C1399" s="20" t="n">
        <v>43441</v>
      </c>
      <c r="D1399" s="38" t="s">
        <v>22</v>
      </c>
      <c r="E1399" s="22" t="s">
        <v>80</v>
      </c>
      <c r="F1399" s="34" t="s">
        <v>81</v>
      </c>
      <c r="G1399" s="19" t="n">
        <v>7</v>
      </c>
      <c r="H1399" s="19" t="n">
        <v>39</v>
      </c>
      <c r="I1399" s="19" t="n">
        <v>2</v>
      </c>
      <c r="J1399" s="19" t="n">
        <v>87.65</v>
      </c>
      <c r="K1399" s="39" t="n">
        <v>1285000</v>
      </c>
      <c r="L1399" s="27" t="n">
        <f aca="false">K1399/J1399</f>
        <v>14660.5818596691</v>
      </c>
      <c r="M1399" s="50" t="s">
        <v>1911</v>
      </c>
      <c r="N1399" s="29" t="n">
        <f aca="false">15000+50000</f>
        <v>65000</v>
      </c>
      <c r="O1399" s="30" t="n">
        <f aca="false">K1399+N1399</f>
        <v>1350000</v>
      </c>
      <c r="P1399" s="30" t="n">
        <f aca="false">O1399/J1399</f>
        <v>15402.1677124929</v>
      </c>
      <c r="Q1399" s="19" t="s">
        <v>1136</v>
      </c>
      <c r="R1399" s="22" t="s">
        <v>26</v>
      </c>
      <c r="S1399" s="19" t="s">
        <v>29</v>
      </c>
      <c r="T1399" s="19" t="s">
        <v>30</v>
      </c>
      <c r="U1399" s="31" t="s">
        <v>31</v>
      </c>
      <c r="V1399" s="41" t="n">
        <v>43601</v>
      </c>
      <c r="W1399" s="34" t="s">
        <v>1912</v>
      </c>
      <c r="X1399" s="18"/>
    </row>
    <row r="1400" customFormat="false" ht="13.8" hidden="false" customHeight="false" outlineLevel="0" collapsed="false">
      <c r="A1400" s="34"/>
      <c r="B1400" s="19" t="n">
        <v>3875</v>
      </c>
      <c r="C1400" s="20" t="n">
        <v>43441</v>
      </c>
      <c r="D1400" s="38" t="s">
        <v>22</v>
      </c>
      <c r="E1400" s="22" t="s">
        <v>284</v>
      </c>
      <c r="F1400" s="34" t="s">
        <v>532</v>
      </c>
      <c r="G1400" s="19" t="n">
        <v>5</v>
      </c>
      <c r="H1400" s="19" t="n">
        <v>2</v>
      </c>
      <c r="I1400" s="19" t="n">
        <v>2</v>
      </c>
      <c r="J1400" s="19" t="n">
        <v>34.3</v>
      </c>
      <c r="K1400" s="39" t="n">
        <v>460000</v>
      </c>
      <c r="L1400" s="27" t="n">
        <f aca="false">K1400/J1400</f>
        <v>13411.0787172012</v>
      </c>
      <c r="M1400" s="50"/>
      <c r="N1400" s="29"/>
      <c r="O1400" s="30" t="n">
        <f aca="false">K1400+N1400</f>
        <v>460000</v>
      </c>
      <c r="P1400" s="30" t="n">
        <f aca="false">O1400/J1400</f>
        <v>13411.0787172012</v>
      </c>
      <c r="Q1400" s="19" t="s">
        <v>1181</v>
      </c>
      <c r="R1400" s="22" t="s">
        <v>27</v>
      </c>
      <c r="S1400" s="19" t="s">
        <v>29</v>
      </c>
      <c r="T1400" s="19" t="s">
        <v>30</v>
      </c>
      <c r="U1400" s="31" t="s">
        <v>31</v>
      </c>
      <c r="V1400" s="41" t="n">
        <v>43601</v>
      </c>
      <c r="W1400" s="34" t="s">
        <v>1913</v>
      </c>
      <c r="X1400" s="18"/>
    </row>
    <row r="1401" customFormat="false" ht="13.8" hidden="false" customHeight="false" outlineLevel="0" collapsed="false">
      <c r="A1401" s="34"/>
      <c r="B1401" s="19" t="n">
        <v>5192</v>
      </c>
      <c r="C1401" s="20" t="n">
        <v>43441</v>
      </c>
      <c r="D1401" s="52" t="s">
        <v>22</v>
      </c>
      <c r="E1401" s="22" t="s">
        <v>45</v>
      </c>
      <c r="F1401" s="34" t="s">
        <v>485</v>
      </c>
      <c r="G1401" s="19" t="n">
        <v>11</v>
      </c>
      <c r="H1401" s="19" t="n">
        <v>14</v>
      </c>
      <c r="I1401" s="19" t="n">
        <v>5</v>
      </c>
      <c r="J1401" s="19" t="n">
        <v>43.67</v>
      </c>
      <c r="K1401" s="39" t="n">
        <v>465284.68</v>
      </c>
      <c r="L1401" s="27" t="n">
        <f aca="false">K1401/J1401</f>
        <v>10654.5610258759</v>
      </c>
      <c r="M1401" s="45"/>
      <c r="N1401" s="39"/>
      <c r="O1401" s="30" t="n">
        <f aca="false">K1401+N1401</f>
        <v>465284.68</v>
      </c>
      <c r="P1401" s="30" t="n">
        <f aca="false">O1401/J1401</f>
        <v>10654.5610258759</v>
      </c>
      <c r="Q1401" s="19" t="s">
        <v>1914</v>
      </c>
      <c r="R1401" s="19" t="n">
        <v>1</v>
      </c>
      <c r="S1401" s="53" t="s">
        <v>29</v>
      </c>
      <c r="T1401" s="25" t="s">
        <v>1915</v>
      </c>
      <c r="U1401" s="31" t="s">
        <v>31</v>
      </c>
      <c r="V1401" s="24" t="s">
        <v>1916</v>
      </c>
      <c r="W1401" s="34" t="s">
        <v>1917</v>
      </c>
      <c r="X1401" s="18"/>
    </row>
    <row r="1402" customFormat="false" ht="13.8" hidden="false" customHeight="false" outlineLevel="0" collapsed="false">
      <c r="A1402" s="34"/>
      <c r="B1402" s="19" t="n">
        <v>4774</v>
      </c>
      <c r="C1402" s="20" t="n">
        <v>43441</v>
      </c>
      <c r="D1402" s="38" t="s">
        <v>22</v>
      </c>
      <c r="E1402" s="22" t="s">
        <v>389</v>
      </c>
      <c r="F1402" s="34" t="s">
        <v>46</v>
      </c>
      <c r="G1402" s="19" t="s">
        <v>458</v>
      </c>
      <c r="H1402" s="19" t="n">
        <v>70</v>
      </c>
      <c r="I1402" s="19" t="n">
        <v>1</v>
      </c>
      <c r="J1402" s="19" t="n">
        <v>33.75</v>
      </c>
      <c r="K1402" s="39" t="n">
        <v>300000</v>
      </c>
      <c r="L1402" s="27" t="n">
        <f aca="false">K1402/J1402</f>
        <v>8888.88888888889</v>
      </c>
      <c r="M1402" s="50"/>
      <c r="N1402" s="29"/>
      <c r="O1402" s="30" t="n">
        <f aca="false">K1402+N1402</f>
        <v>300000</v>
      </c>
      <c r="P1402" s="30" t="n">
        <f aca="false">O1402/J1402</f>
        <v>8888.88888888889</v>
      </c>
      <c r="Q1402" s="19" t="s">
        <v>1918</v>
      </c>
      <c r="R1402" s="22" t="s">
        <v>27</v>
      </c>
      <c r="S1402" s="19" t="s">
        <v>29</v>
      </c>
      <c r="T1402" s="19" t="s">
        <v>30</v>
      </c>
      <c r="U1402" s="31" t="s">
        <v>31</v>
      </c>
      <c r="V1402" s="41" t="n">
        <v>43601</v>
      </c>
      <c r="W1402" s="34" t="s">
        <v>1919</v>
      </c>
      <c r="X1402" s="18"/>
    </row>
    <row r="1403" s="32" customFormat="true" ht="13.8" hidden="false" customHeight="false" outlineLevel="0" collapsed="false">
      <c r="A1403" s="34"/>
      <c r="B1403" s="19" t="n">
        <v>5202</v>
      </c>
      <c r="C1403" s="20" t="n">
        <v>43441</v>
      </c>
      <c r="D1403" s="38" t="s">
        <v>22</v>
      </c>
      <c r="E1403" s="22" t="s">
        <v>440</v>
      </c>
      <c r="F1403" s="34" t="s">
        <v>1920</v>
      </c>
      <c r="G1403" s="19" t="n">
        <v>31</v>
      </c>
      <c r="H1403" s="19" t="n">
        <v>33</v>
      </c>
      <c r="I1403" s="19" t="n">
        <v>3</v>
      </c>
      <c r="J1403" s="19" t="n">
        <v>48.2</v>
      </c>
      <c r="K1403" s="39" t="n">
        <v>270000</v>
      </c>
      <c r="L1403" s="27" t="n">
        <f aca="false">K1403/J1403</f>
        <v>5601.65975103734</v>
      </c>
      <c r="M1403" s="50" t="s">
        <v>1921</v>
      </c>
      <c r="N1403" s="29"/>
      <c r="O1403" s="30" t="n">
        <f aca="false">K1403+N1403</f>
        <v>270000</v>
      </c>
      <c r="P1403" s="30" t="n">
        <f aca="false">O1403/J1403</f>
        <v>5601.65975103734</v>
      </c>
      <c r="Q1403" s="19" t="s">
        <v>861</v>
      </c>
      <c r="R1403" s="22" t="s">
        <v>26</v>
      </c>
      <c r="S1403" s="19" t="s">
        <v>29</v>
      </c>
      <c r="T1403" s="19" t="s">
        <v>30</v>
      </c>
      <c r="U1403" s="31" t="s">
        <v>31</v>
      </c>
      <c r="V1403" s="41" t="n">
        <v>43601</v>
      </c>
      <c r="W1403" s="34" t="s">
        <v>1922</v>
      </c>
      <c r="X1403" s="18"/>
    </row>
    <row r="1404" customFormat="false" ht="13.8" hidden="false" customHeight="false" outlineLevel="0" collapsed="false">
      <c r="A1404" s="34"/>
      <c r="B1404" s="19" t="n">
        <v>3207</v>
      </c>
      <c r="C1404" s="20" t="n">
        <v>43441</v>
      </c>
      <c r="D1404" s="38" t="s">
        <v>22</v>
      </c>
      <c r="E1404" s="22" t="s">
        <v>86</v>
      </c>
      <c r="F1404" s="34" t="s">
        <v>342</v>
      </c>
      <c r="G1404" s="19" t="n">
        <v>9</v>
      </c>
      <c r="H1404" s="19" t="n">
        <v>16</v>
      </c>
      <c r="I1404" s="19" t="n">
        <v>3</v>
      </c>
      <c r="J1404" s="19" t="n">
        <v>59.4</v>
      </c>
      <c r="K1404" s="39" t="n">
        <v>450000</v>
      </c>
      <c r="L1404" s="27" t="n">
        <f aca="false">K1404/J1404</f>
        <v>7575.75757575758</v>
      </c>
      <c r="M1404" s="50" t="s">
        <v>1923</v>
      </c>
      <c r="N1404" s="29"/>
      <c r="O1404" s="30" t="n">
        <f aca="false">K1404+N1404</f>
        <v>450000</v>
      </c>
      <c r="P1404" s="30" t="n">
        <f aca="false">O1404/J1404</f>
        <v>7575.75757575758</v>
      </c>
      <c r="Q1404" s="19" t="s">
        <v>1924</v>
      </c>
      <c r="R1404" s="22" t="s">
        <v>26</v>
      </c>
      <c r="S1404" s="19" t="s">
        <v>29</v>
      </c>
      <c r="T1404" s="19" t="s">
        <v>30</v>
      </c>
      <c r="U1404" s="31" t="s">
        <v>31</v>
      </c>
      <c r="V1404" s="41" t="n">
        <v>43601</v>
      </c>
      <c r="W1404" s="34" t="s">
        <v>1925</v>
      </c>
      <c r="X1404" s="18"/>
    </row>
    <row r="1405" customFormat="false" ht="13.8" hidden="false" customHeight="false" outlineLevel="0" collapsed="false">
      <c r="A1405" s="34"/>
      <c r="B1405" s="19" t="n">
        <v>4337</v>
      </c>
      <c r="C1405" s="20" t="n">
        <v>43441</v>
      </c>
      <c r="D1405" s="38" t="s">
        <v>22</v>
      </c>
      <c r="E1405" s="22" t="s">
        <v>399</v>
      </c>
      <c r="F1405" s="34" t="s">
        <v>503</v>
      </c>
      <c r="G1405" s="19" t="n">
        <v>4</v>
      </c>
      <c r="H1405" s="19" t="n">
        <v>22</v>
      </c>
      <c r="I1405" s="19" t="n">
        <v>8</v>
      </c>
      <c r="J1405" s="19" t="n">
        <v>105.6</v>
      </c>
      <c r="K1405" s="39" t="n">
        <v>1060000</v>
      </c>
      <c r="L1405" s="39" t="n">
        <f aca="false">K1405/J1405</f>
        <v>10037.8787878788</v>
      </c>
      <c r="M1405" s="34" t="s">
        <v>1926</v>
      </c>
      <c r="N1405" s="40" t="n">
        <v>40000</v>
      </c>
      <c r="O1405" s="30" t="n">
        <f aca="false">K1405+N1405</f>
        <v>1100000</v>
      </c>
      <c r="P1405" s="39" t="n">
        <f aca="false">O1405/J1405</f>
        <v>10416.6666666667</v>
      </c>
      <c r="Q1405" s="19" t="s">
        <v>1927</v>
      </c>
      <c r="R1405" s="22" t="s">
        <v>49</v>
      </c>
      <c r="S1405" s="19" t="s">
        <v>29</v>
      </c>
      <c r="T1405" s="19" t="s">
        <v>30</v>
      </c>
      <c r="U1405" s="19" t="s">
        <v>31</v>
      </c>
      <c r="V1405" s="41" t="n">
        <v>43693</v>
      </c>
      <c r="W1405" s="34" t="s">
        <v>1928</v>
      </c>
      <c r="X1405" s="18"/>
    </row>
    <row r="1406" customFormat="false" ht="13.8" hidden="false" customHeight="false" outlineLevel="0" collapsed="false">
      <c r="A1406" s="34"/>
      <c r="B1406" s="19" t="n">
        <v>4366</v>
      </c>
      <c r="C1406" s="20" t="n">
        <v>43442</v>
      </c>
      <c r="D1406" s="38" t="s">
        <v>22</v>
      </c>
      <c r="E1406" s="22" t="s">
        <v>322</v>
      </c>
      <c r="F1406" s="34" t="s">
        <v>323</v>
      </c>
      <c r="G1406" s="19" t="s">
        <v>674</v>
      </c>
      <c r="H1406" s="19" t="n">
        <v>151</v>
      </c>
      <c r="I1406" s="19" t="n">
        <v>7</v>
      </c>
      <c r="J1406" s="19" t="n">
        <v>36.15</v>
      </c>
      <c r="K1406" s="39" t="n">
        <v>420000</v>
      </c>
      <c r="L1406" s="39" t="n">
        <f aca="false">K1406/J1406</f>
        <v>11618.2572614108</v>
      </c>
      <c r="M1406" s="34" t="s">
        <v>1929</v>
      </c>
      <c r="N1406" s="40" t="n">
        <v>30000</v>
      </c>
      <c r="O1406" s="30" t="n">
        <f aca="false">K1406+N1406</f>
        <v>450000</v>
      </c>
      <c r="P1406" s="39" t="n">
        <f aca="false">O1406/J1406</f>
        <v>12448.132780083</v>
      </c>
      <c r="Q1406" s="19" t="s">
        <v>1930</v>
      </c>
      <c r="R1406" s="22" t="s">
        <v>36</v>
      </c>
      <c r="S1406" s="19" t="s">
        <v>29</v>
      </c>
      <c r="T1406" s="19" t="s">
        <v>30</v>
      </c>
      <c r="U1406" s="19" t="s">
        <v>31</v>
      </c>
      <c r="V1406" s="41" t="n">
        <v>43693</v>
      </c>
      <c r="W1406" s="34" t="s">
        <v>1931</v>
      </c>
      <c r="X1406" s="18"/>
    </row>
    <row r="1407" customFormat="false" ht="13.8" hidden="false" customHeight="false" outlineLevel="0" collapsed="false">
      <c r="A1407" s="34"/>
      <c r="B1407" s="19" t="n">
        <v>11754</v>
      </c>
      <c r="C1407" s="20" t="n">
        <v>43444</v>
      </c>
      <c r="D1407" s="38" t="s">
        <v>22</v>
      </c>
      <c r="E1407" s="22" t="s">
        <v>251</v>
      </c>
      <c r="F1407" s="34" t="s">
        <v>1594</v>
      </c>
      <c r="G1407" s="19" t="s">
        <v>1210</v>
      </c>
      <c r="H1407" s="19" t="n">
        <v>2</v>
      </c>
      <c r="I1407" s="19" t="n">
        <v>2</v>
      </c>
      <c r="J1407" s="19" t="n">
        <v>69.7</v>
      </c>
      <c r="K1407" s="39" t="n">
        <v>86280</v>
      </c>
      <c r="L1407" s="27" t="n">
        <f aca="false">K1407/J1407</f>
        <v>1237.87661406026</v>
      </c>
      <c r="M1407" s="50" t="s">
        <v>431</v>
      </c>
      <c r="N1407" s="29"/>
      <c r="O1407" s="30" t="n">
        <f aca="false">K1407+N1407</f>
        <v>86280</v>
      </c>
      <c r="P1407" s="30" t="n">
        <f aca="false">O1407/J1407</f>
        <v>1237.87661406026</v>
      </c>
      <c r="Q1407" s="19" t="s">
        <v>1932</v>
      </c>
      <c r="R1407" s="22" t="s">
        <v>36</v>
      </c>
      <c r="S1407" s="19" t="s">
        <v>29</v>
      </c>
      <c r="T1407" s="19" t="s">
        <v>30</v>
      </c>
      <c r="U1407" s="31" t="s">
        <v>31</v>
      </c>
      <c r="V1407" s="41" t="n">
        <v>43601</v>
      </c>
      <c r="W1407" s="34" t="s">
        <v>1933</v>
      </c>
      <c r="X1407" s="18"/>
    </row>
    <row r="1408" customFormat="false" ht="13.8" hidden="false" customHeight="false" outlineLevel="0" collapsed="false">
      <c r="A1408" s="34"/>
      <c r="B1408" s="19" t="n">
        <v>9529</v>
      </c>
      <c r="C1408" s="20" t="n">
        <v>43444</v>
      </c>
      <c r="D1408" s="38" t="s">
        <v>22</v>
      </c>
      <c r="E1408" s="22" t="s">
        <v>375</v>
      </c>
      <c r="F1408" s="34" t="s">
        <v>376</v>
      </c>
      <c r="G1408" s="19" t="n">
        <v>8</v>
      </c>
      <c r="H1408" s="19" t="n">
        <v>26</v>
      </c>
      <c r="I1408" s="19" t="n">
        <v>2</v>
      </c>
      <c r="J1408" s="19" t="n">
        <v>96.2</v>
      </c>
      <c r="K1408" s="39" t="n">
        <v>1175000</v>
      </c>
      <c r="L1408" s="27" t="n">
        <f aca="false">K1408/J1408</f>
        <v>12214.1372141372</v>
      </c>
      <c r="M1408" s="50"/>
      <c r="N1408" s="29"/>
      <c r="O1408" s="30" t="n">
        <f aca="false">K1408+N1408</f>
        <v>1175000</v>
      </c>
      <c r="P1408" s="30" t="n">
        <f aca="false">O1408/J1408</f>
        <v>12214.1372141372</v>
      </c>
      <c r="Q1408" s="19" t="s">
        <v>1934</v>
      </c>
      <c r="R1408" s="22" t="s">
        <v>26</v>
      </c>
      <c r="S1408" s="19" t="s">
        <v>29</v>
      </c>
      <c r="T1408" s="19" t="s">
        <v>30</v>
      </c>
      <c r="U1408" s="31" t="s">
        <v>31</v>
      </c>
      <c r="V1408" s="41" t="n">
        <v>43601</v>
      </c>
      <c r="W1408" s="34" t="s">
        <v>1935</v>
      </c>
      <c r="X1408" s="34"/>
    </row>
    <row r="1409" customFormat="false" ht="13.8" hidden="false" customHeight="false" outlineLevel="0" collapsed="false">
      <c r="A1409" s="34"/>
      <c r="B1409" s="19" t="n">
        <v>3564</v>
      </c>
      <c r="C1409" s="20" t="n">
        <v>43444</v>
      </c>
      <c r="D1409" s="38" t="s">
        <v>22</v>
      </c>
      <c r="E1409" s="22" t="s">
        <v>343</v>
      </c>
      <c r="F1409" s="34" t="s">
        <v>392</v>
      </c>
      <c r="G1409" s="19" t="n">
        <v>74</v>
      </c>
      <c r="H1409" s="19" t="s">
        <v>245</v>
      </c>
      <c r="I1409" s="19" t="n">
        <v>6</v>
      </c>
      <c r="J1409" s="19" t="n">
        <v>91.12</v>
      </c>
      <c r="K1409" s="39" t="n">
        <v>750000</v>
      </c>
      <c r="L1409" s="27" t="n">
        <f aca="false">K1409/J1409</f>
        <v>8230.90430201932</v>
      </c>
      <c r="M1409" s="50" t="s">
        <v>1936</v>
      </c>
      <c r="N1409" s="29"/>
      <c r="O1409" s="30" t="n">
        <f aca="false">K1409+N1409</f>
        <v>750000</v>
      </c>
      <c r="P1409" s="30" t="n">
        <f aca="false">O1409/J1409</f>
        <v>8230.90430201932</v>
      </c>
      <c r="Q1409" s="19" t="s">
        <v>1772</v>
      </c>
      <c r="R1409" s="22" t="s">
        <v>49</v>
      </c>
      <c r="S1409" s="19" t="s">
        <v>29</v>
      </c>
      <c r="T1409" s="19" t="s">
        <v>30</v>
      </c>
      <c r="U1409" s="31" t="s">
        <v>31</v>
      </c>
      <c r="V1409" s="41" t="n">
        <v>43601</v>
      </c>
      <c r="W1409" s="34" t="s">
        <v>1937</v>
      </c>
      <c r="X1409" s="34"/>
      <c r="Y1409" s="35"/>
      <c r="Z1409" s="36"/>
    </row>
    <row r="1410" customFormat="false" ht="13.8" hidden="false" customHeight="false" outlineLevel="0" collapsed="false">
      <c r="A1410" s="34"/>
      <c r="B1410" s="19" t="n">
        <v>2487</v>
      </c>
      <c r="C1410" s="20" t="n">
        <v>43444</v>
      </c>
      <c r="D1410" s="38" t="s">
        <v>22</v>
      </c>
      <c r="E1410" s="22" t="s">
        <v>278</v>
      </c>
      <c r="F1410" s="34" t="s">
        <v>688</v>
      </c>
      <c r="G1410" s="19" t="s">
        <v>321</v>
      </c>
      <c r="H1410" s="19" t="n">
        <v>100</v>
      </c>
      <c r="I1410" s="19" t="n">
        <v>4</v>
      </c>
      <c r="J1410" s="19" t="n">
        <v>44.11</v>
      </c>
      <c r="K1410" s="39" t="n">
        <v>370000</v>
      </c>
      <c r="L1410" s="27" t="n">
        <f aca="false">K1410/J1410</f>
        <v>8388.12060757198</v>
      </c>
      <c r="M1410" s="50"/>
      <c r="N1410" s="29"/>
      <c r="O1410" s="30" t="n">
        <f aca="false">K1410+N1410</f>
        <v>370000</v>
      </c>
      <c r="P1410" s="30" t="n">
        <f aca="false">O1410/J1410</f>
        <v>8388.12060757198</v>
      </c>
      <c r="Q1410" s="19" t="s">
        <v>1938</v>
      </c>
      <c r="R1410" s="22" t="s">
        <v>26</v>
      </c>
      <c r="S1410" s="19" t="s">
        <v>29</v>
      </c>
      <c r="T1410" s="19" t="s">
        <v>30</v>
      </c>
      <c r="U1410" s="31" t="s">
        <v>31</v>
      </c>
      <c r="V1410" s="41" t="n">
        <v>43601</v>
      </c>
      <c r="W1410" s="34" t="s">
        <v>1939</v>
      </c>
      <c r="X1410" s="34"/>
    </row>
    <row r="1411" customFormat="false" ht="13.8" hidden="false" customHeight="false" outlineLevel="0" collapsed="false">
      <c r="A1411" s="34"/>
      <c r="B1411" s="19" t="n">
        <v>2810</v>
      </c>
      <c r="C1411" s="20" t="n">
        <v>43444</v>
      </c>
      <c r="D1411" s="38" t="s">
        <v>22</v>
      </c>
      <c r="E1411" s="22" t="s">
        <v>433</v>
      </c>
      <c r="F1411" s="34" t="s">
        <v>434</v>
      </c>
      <c r="G1411" s="19" t="n">
        <v>7</v>
      </c>
      <c r="H1411" s="19" t="n">
        <v>174</v>
      </c>
      <c r="I1411" s="19" t="n">
        <v>4</v>
      </c>
      <c r="J1411" s="19" t="n">
        <v>63.87</v>
      </c>
      <c r="K1411" s="39" t="n">
        <v>842730</v>
      </c>
      <c r="L1411" s="27" t="n">
        <f aca="false">K1411/J1411</f>
        <v>13194.4574917802</v>
      </c>
      <c r="M1411" s="50" t="s">
        <v>1940</v>
      </c>
      <c r="N1411" s="29" t="n">
        <v>25000</v>
      </c>
      <c r="O1411" s="30" t="n">
        <f aca="false">K1411+N1411</f>
        <v>867730</v>
      </c>
      <c r="P1411" s="30" t="n">
        <f aca="false">O1411/J1411</f>
        <v>13585.8775638015</v>
      </c>
      <c r="Q1411" s="19" t="s">
        <v>1932</v>
      </c>
      <c r="R1411" s="22" t="s">
        <v>36</v>
      </c>
      <c r="S1411" s="19" t="s">
        <v>29</v>
      </c>
      <c r="T1411" s="19" t="s">
        <v>30</v>
      </c>
      <c r="U1411" s="31" t="s">
        <v>31</v>
      </c>
      <c r="V1411" s="41" t="n">
        <v>43601</v>
      </c>
      <c r="W1411" s="34" t="s">
        <v>1941</v>
      </c>
      <c r="X1411" s="34"/>
    </row>
    <row r="1412" customFormat="false" ht="13.8" hidden="false" customHeight="false" outlineLevel="0" collapsed="false">
      <c r="A1412" s="34"/>
      <c r="B1412" s="19" t="n">
        <v>2680</v>
      </c>
      <c r="C1412" s="20" t="n">
        <v>43444</v>
      </c>
      <c r="D1412" s="38" t="s">
        <v>22</v>
      </c>
      <c r="E1412" s="22" t="s">
        <v>343</v>
      </c>
      <c r="F1412" s="34" t="s">
        <v>1190</v>
      </c>
      <c r="G1412" s="19" t="s">
        <v>455</v>
      </c>
      <c r="H1412" s="19" t="n">
        <v>57</v>
      </c>
      <c r="I1412" s="19" t="n">
        <v>4</v>
      </c>
      <c r="J1412" s="19" t="n">
        <v>47</v>
      </c>
      <c r="K1412" s="39" t="n">
        <v>450000</v>
      </c>
      <c r="L1412" s="27" t="n">
        <f aca="false">K1412/J1412</f>
        <v>9574.46808510638</v>
      </c>
      <c r="M1412" s="50"/>
      <c r="N1412" s="29"/>
      <c r="O1412" s="30" t="n">
        <f aca="false">K1412+N1412</f>
        <v>450000</v>
      </c>
      <c r="P1412" s="30" t="n">
        <f aca="false">O1412/J1412</f>
        <v>9574.46808510638</v>
      </c>
      <c r="Q1412" s="19" t="s">
        <v>903</v>
      </c>
      <c r="R1412" s="22" t="s">
        <v>36</v>
      </c>
      <c r="S1412" s="19" t="s">
        <v>29</v>
      </c>
      <c r="T1412" s="19" t="s">
        <v>30</v>
      </c>
      <c r="U1412" s="31" t="s">
        <v>31</v>
      </c>
      <c r="V1412" s="41" t="n">
        <v>43601</v>
      </c>
      <c r="W1412" s="34" t="s">
        <v>1942</v>
      </c>
      <c r="X1412" s="34"/>
    </row>
    <row r="1413" customFormat="false" ht="13.8" hidden="false" customHeight="false" outlineLevel="0" collapsed="false">
      <c r="A1413" s="34"/>
      <c r="B1413" s="19" t="n">
        <v>9008</v>
      </c>
      <c r="C1413" s="20" t="n">
        <v>43444</v>
      </c>
      <c r="D1413" s="38" t="s">
        <v>22</v>
      </c>
      <c r="E1413" s="22" t="s">
        <v>37</v>
      </c>
      <c r="F1413" s="34" t="s">
        <v>152</v>
      </c>
      <c r="G1413" s="19" t="n">
        <v>26</v>
      </c>
      <c r="H1413" s="19" t="n">
        <v>20</v>
      </c>
      <c r="I1413" s="19" t="n">
        <v>1</v>
      </c>
      <c r="J1413" s="19" t="n">
        <v>36.6</v>
      </c>
      <c r="K1413" s="39" t="n">
        <v>400000</v>
      </c>
      <c r="L1413" s="27" t="n">
        <f aca="false">K1413/J1413</f>
        <v>10928.9617486339</v>
      </c>
      <c r="M1413" s="50"/>
      <c r="N1413" s="29"/>
      <c r="O1413" s="30" t="n">
        <f aca="false">K1413+N1413</f>
        <v>400000</v>
      </c>
      <c r="P1413" s="30" t="n">
        <f aca="false">O1413/J1413</f>
        <v>10928.9617486339</v>
      </c>
      <c r="Q1413" s="19" t="s">
        <v>1181</v>
      </c>
      <c r="R1413" s="22" t="s">
        <v>27</v>
      </c>
      <c r="S1413" s="19" t="s">
        <v>29</v>
      </c>
      <c r="T1413" s="19" t="s">
        <v>30</v>
      </c>
      <c r="U1413" s="31" t="s">
        <v>31</v>
      </c>
      <c r="V1413" s="41" t="n">
        <v>43601</v>
      </c>
      <c r="W1413" s="34" t="s">
        <v>1943</v>
      </c>
      <c r="X1413" s="34"/>
    </row>
    <row r="1414" customFormat="false" ht="13.8" hidden="false" customHeight="false" outlineLevel="0" collapsed="false">
      <c r="A1414" s="34"/>
      <c r="B1414" s="19" t="n">
        <v>3218</v>
      </c>
      <c r="C1414" s="20" t="n">
        <v>43444</v>
      </c>
      <c r="D1414" s="38" t="s">
        <v>22</v>
      </c>
      <c r="E1414" s="22" t="s">
        <v>229</v>
      </c>
      <c r="F1414" s="34" t="s">
        <v>230</v>
      </c>
      <c r="G1414" s="19" t="n">
        <v>59</v>
      </c>
      <c r="H1414" s="19" t="n">
        <v>92</v>
      </c>
      <c r="I1414" s="19" t="n">
        <v>7</v>
      </c>
      <c r="J1414" s="19" t="n">
        <v>50.9</v>
      </c>
      <c r="K1414" s="39" t="n">
        <v>530000</v>
      </c>
      <c r="L1414" s="27" t="n">
        <f aca="false">K1414/J1414</f>
        <v>10412.5736738703</v>
      </c>
      <c r="M1414" s="50" t="s">
        <v>431</v>
      </c>
      <c r="N1414" s="29" t="n">
        <v>30000</v>
      </c>
      <c r="O1414" s="30" t="n">
        <f aca="false">K1414+N1414</f>
        <v>560000</v>
      </c>
      <c r="P1414" s="30" t="n">
        <f aca="false">O1414/J1414</f>
        <v>11001.9646365422</v>
      </c>
      <c r="Q1414" s="19" t="s">
        <v>1944</v>
      </c>
      <c r="R1414" s="22" t="s">
        <v>27</v>
      </c>
      <c r="S1414" s="19" t="s">
        <v>29</v>
      </c>
      <c r="T1414" s="19" t="s">
        <v>30</v>
      </c>
      <c r="U1414" s="31" t="s">
        <v>31</v>
      </c>
      <c r="V1414" s="41" t="n">
        <v>43601</v>
      </c>
      <c r="W1414" s="34" t="s">
        <v>1945</v>
      </c>
      <c r="X1414" s="34"/>
    </row>
    <row r="1415" customFormat="false" ht="13.8" hidden="false" customHeight="false" outlineLevel="0" collapsed="false">
      <c r="A1415" s="34"/>
      <c r="B1415" s="19" t="n">
        <v>6366</v>
      </c>
      <c r="C1415" s="20" t="n">
        <v>43444</v>
      </c>
      <c r="D1415" s="38" t="s">
        <v>22</v>
      </c>
      <c r="E1415" s="22" t="s">
        <v>125</v>
      </c>
      <c r="F1415" s="34" t="s">
        <v>272</v>
      </c>
      <c r="G1415" s="19" t="n">
        <v>20</v>
      </c>
      <c r="H1415" s="19" t="n">
        <v>7</v>
      </c>
      <c r="I1415" s="19" t="n">
        <v>3</v>
      </c>
      <c r="J1415" s="19" t="n">
        <v>68.97</v>
      </c>
      <c r="K1415" s="39" t="n">
        <v>640000</v>
      </c>
      <c r="L1415" s="27" t="n">
        <f aca="false">K1415/J1415</f>
        <v>9279.39683920545</v>
      </c>
      <c r="M1415" s="50" t="s">
        <v>1946</v>
      </c>
      <c r="N1415" s="29"/>
      <c r="O1415" s="30" t="n">
        <f aca="false">K1415+N1415</f>
        <v>640000</v>
      </c>
      <c r="P1415" s="30" t="n">
        <f aca="false">O1415/J1415</f>
        <v>9279.39683920545</v>
      </c>
      <c r="Q1415" s="19" t="s">
        <v>1136</v>
      </c>
      <c r="R1415" s="22" t="s">
        <v>26</v>
      </c>
      <c r="S1415" s="19" t="s">
        <v>29</v>
      </c>
      <c r="T1415" s="19" t="s">
        <v>30</v>
      </c>
      <c r="U1415" s="31" t="s">
        <v>31</v>
      </c>
      <c r="V1415" s="41" t="n">
        <v>43601</v>
      </c>
      <c r="W1415" s="34" t="s">
        <v>1947</v>
      </c>
      <c r="X1415" s="34"/>
    </row>
    <row r="1416" customFormat="false" ht="13.8" hidden="false" customHeight="false" outlineLevel="0" collapsed="false">
      <c r="A1416" s="34"/>
      <c r="B1416" s="19" t="n">
        <v>7919</v>
      </c>
      <c r="C1416" s="20" t="n">
        <v>43445</v>
      </c>
      <c r="D1416" s="38" t="s">
        <v>22</v>
      </c>
      <c r="E1416" s="22" t="s">
        <v>622</v>
      </c>
      <c r="F1416" s="34" t="s">
        <v>38</v>
      </c>
      <c r="G1416" s="19" t="n">
        <v>52</v>
      </c>
      <c r="H1416" s="19" t="n">
        <v>96</v>
      </c>
      <c r="I1416" s="19" t="n">
        <v>8</v>
      </c>
      <c r="J1416" s="19" t="n">
        <v>37.4</v>
      </c>
      <c r="K1416" s="39" t="n">
        <v>420000</v>
      </c>
      <c r="L1416" s="27" t="n">
        <f aca="false">K1416/J1416</f>
        <v>11229.9465240642</v>
      </c>
      <c r="M1416" s="50"/>
      <c r="N1416" s="29"/>
      <c r="O1416" s="30" t="n">
        <f aca="false">K1416+N1416</f>
        <v>420000</v>
      </c>
      <c r="P1416" s="30" t="n">
        <f aca="false">O1416/J1416</f>
        <v>11229.9465240642</v>
      </c>
      <c r="Q1416" s="19" t="s">
        <v>903</v>
      </c>
      <c r="R1416" s="22" t="s">
        <v>36</v>
      </c>
      <c r="S1416" s="19" t="s">
        <v>29</v>
      </c>
      <c r="T1416" s="19" t="s">
        <v>30</v>
      </c>
      <c r="U1416" s="31" t="s">
        <v>31</v>
      </c>
      <c r="V1416" s="41" t="n">
        <v>43601</v>
      </c>
      <c r="W1416" s="34" t="s">
        <v>1948</v>
      </c>
      <c r="X1416" s="34"/>
    </row>
    <row r="1417" customFormat="false" ht="13.8" hidden="false" customHeight="false" outlineLevel="0" collapsed="false">
      <c r="A1417" s="34"/>
      <c r="B1417" s="19" t="n">
        <v>17310</v>
      </c>
      <c r="C1417" s="20" t="n">
        <v>43445</v>
      </c>
      <c r="D1417" s="38" t="s">
        <v>22</v>
      </c>
      <c r="E1417" s="22" t="s">
        <v>235</v>
      </c>
      <c r="F1417" s="34" t="s">
        <v>386</v>
      </c>
      <c r="G1417" s="19" t="n">
        <v>33</v>
      </c>
      <c r="H1417" s="19" t="n">
        <v>26</v>
      </c>
      <c r="I1417" s="19" t="n">
        <v>4</v>
      </c>
      <c r="J1417" s="19" t="n">
        <v>30.9</v>
      </c>
      <c r="K1417" s="39" t="n">
        <v>377000</v>
      </c>
      <c r="L1417" s="39" t="n">
        <f aca="false">K1417/J1417</f>
        <v>12200.6472491909</v>
      </c>
      <c r="M1417" s="34" t="s">
        <v>1949</v>
      </c>
      <c r="N1417" s="40"/>
      <c r="O1417" s="30" t="n">
        <f aca="false">K1417+N1417</f>
        <v>377000</v>
      </c>
      <c r="P1417" s="39" t="n">
        <f aca="false">O1417/J1417</f>
        <v>12200.6472491909</v>
      </c>
      <c r="Q1417" s="19" t="s">
        <v>1950</v>
      </c>
      <c r="R1417" s="22" t="s">
        <v>27</v>
      </c>
      <c r="S1417" s="19" t="s">
        <v>29</v>
      </c>
      <c r="T1417" s="19" t="s">
        <v>30</v>
      </c>
      <c r="U1417" s="31" t="s">
        <v>31</v>
      </c>
      <c r="V1417" s="41" t="n">
        <v>43691</v>
      </c>
      <c r="W1417" s="34" t="s">
        <v>1951</v>
      </c>
      <c r="X1417" s="18"/>
    </row>
    <row r="1418" s="32" customFormat="true" ht="13.8" hidden="false" customHeight="false" outlineLevel="0" collapsed="false">
      <c r="A1418" s="34"/>
      <c r="B1418" s="19" t="n">
        <v>19958</v>
      </c>
      <c r="C1418" s="20" t="n">
        <v>43445</v>
      </c>
      <c r="D1418" s="38" t="s">
        <v>22</v>
      </c>
      <c r="E1418" s="22" t="s">
        <v>350</v>
      </c>
      <c r="F1418" s="34" t="s">
        <v>351</v>
      </c>
      <c r="G1418" s="19" t="n">
        <v>1</v>
      </c>
      <c r="H1418" s="19" t="n">
        <v>130</v>
      </c>
      <c r="I1418" s="19" t="n">
        <v>5</v>
      </c>
      <c r="J1418" s="19" t="n">
        <v>57.54</v>
      </c>
      <c r="K1418" s="39" t="n">
        <v>625000</v>
      </c>
      <c r="L1418" s="39" t="n">
        <f aca="false">K1418/J1418</f>
        <v>10862.0090371915</v>
      </c>
      <c r="M1418" s="34" t="s">
        <v>1952</v>
      </c>
      <c r="N1418" s="40" t="n">
        <v>40000</v>
      </c>
      <c r="O1418" s="30" t="n">
        <f aca="false">K1418+N1418</f>
        <v>665000</v>
      </c>
      <c r="P1418" s="39" t="n">
        <f aca="false">O1418/J1418</f>
        <v>11557.1776155718</v>
      </c>
      <c r="Q1418" s="19" t="s">
        <v>1486</v>
      </c>
      <c r="R1418" s="22" t="s">
        <v>36</v>
      </c>
      <c r="S1418" s="19" t="s">
        <v>29</v>
      </c>
      <c r="T1418" s="19" t="s">
        <v>30</v>
      </c>
      <c r="U1418" s="31" t="s">
        <v>31</v>
      </c>
      <c r="V1418" s="41" t="n">
        <v>43691</v>
      </c>
      <c r="W1418" s="34" t="s">
        <v>1953</v>
      </c>
      <c r="X1418" s="18"/>
      <c r="Y1418" s="35"/>
      <c r="Z1418" s="36"/>
    </row>
    <row r="1419" s="32" customFormat="true" ht="13.8" hidden="false" customHeight="false" outlineLevel="0" collapsed="false">
      <c r="A1419" s="34"/>
      <c r="B1419" s="19" t="s">
        <v>887</v>
      </c>
      <c r="C1419" s="20" t="n">
        <v>43445</v>
      </c>
      <c r="D1419" s="38" t="s">
        <v>22</v>
      </c>
      <c r="E1419" s="22" t="s">
        <v>652</v>
      </c>
      <c r="F1419" s="45" t="s">
        <v>54</v>
      </c>
      <c r="G1419" s="19" t="n">
        <v>48</v>
      </c>
      <c r="H1419" s="19"/>
      <c r="I1419" s="19" t="n">
        <v>2</v>
      </c>
      <c r="J1419" s="25" t="n">
        <v>63.7</v>
      </c>
      <c r="K1419" s="39" t="n">
        <v>430000</v>
      </c>
      <c r="L1419" s="39" t="n">
        <f aca="false">K1419/J1419</f>
        <v>6750.39246467818</v>
      </c>
      <c r="M1419" s="34"/>
      <c r="N1419" s="40"/>
      <c r="O1419" s="30" t="n">
        <f aca="false">K1419+N1419</f>
        <v>430000</v>
      </c>
      <c r="P1419" s="39" t="n">
        <f aca="false">O1419/J1419</f>
        <v>6750.39246467818</v>
      </c>
      <c r="Q1419" s="19" t="s">
        <v>889</v>
      </c>
      <c r="R1419" s="19" t="n">
        <v>4</v>
      </c>
      <c r="S1419" s="19" t="s">
        <v>1141</v>
      </c>
      <c r="T1419" s="19"/>
      <c r="U1419" s="19" t="s">
        <v>31</v>
      </c>
      <c r="V1419" s="41" t="n">
        <v>43727</v>
      </c>
      <c r="W1419" s="34"/>
      <c r="X1419" s="34"/>
      <c r="Y1419" s="1"/>
      <c r="Z1419" s="1"/>
    </row>
    <row r="1420" s="32" customFormat="true" ht="13.8" hidden="false" customHeight="false" outlineLevel="0" collapsed="false">
      <c r="A1420" s="34"/>
      <c r="B1420" s="19" t="s">
        <v>887</v>
      </c>
      <c r="C1420" s="20" t="n">
        <v>43446</v>
      </c>
      <c r="D1420" s="38" t="s">
        <v>22</v>
      </c>
      <c r="E1420" s="22" t="s">
        <v>308</v>
      </c>
      <c r="F1420" s="45" t="s">
        <v>309</v>
      </c>
      <c r="G1420" s="19" t="n">
        <v>29</v>
      </c>
      <c r="H1420" s="19"/>
      <c r="I1420" s="19" t="n">
        <v>2</v>
      </c>
      <c r="J1420" s="25" t="n">
        <v>48</v>
      </c>
      <c r="K1420" s="39" t="n">
        <v>475000</v>
      </c>
      <c r="L1420" s="39" t="n">
        <f aca="false">K1420/J1420</f>
        <v>9895.83333333333</v>
      </c>
      <c r="M1420" s="34"/>
      <c r="N1420" s="40"/>
      <c r="O1420" s="30" t="n">
        <f aca="false">K1420+N1420</f>
        <v>475000</v>
      </c>
      <c r="P1420" s="39" t="n">
        <f aca="false">O1420/J1420</f>
        <v>9895.83333333333</v>
      </c>
      <c r="Q1420" s="19" t="s">
        <v>889</v>
      </c>
      <c r="R1420" s="19" t="n">
        <v>3</v>
      </c>
      <c r="S1420" s="19" t="s">
        <v>1141</v>
      </c>
      <c r="T1420" s="19"/>
      <c r="U1420" s="19" t="s">
        <v>31</v>
      </c>
      <c r="V1420" s="41" t="n">
        <v>43727</v>
      </c>
      <c r="W1420" s="18"/>
      <c r="X1420" s="18"/>
      <c r="Y1420" s="1"/>
      <c r="Z1420" s="1"/>
    </row>
    <row r="1421" s="32" customFormat="true" ht="13.8" hidden="false" customHeight="false" outlineLevel="0" collapsed="false">
      <c r="A1421" s="34"/>
      <c r="B1421" s="19" t="n">
        <v>5118</v>
      </c>
      <c r="C1421" s="20" t="n">
        <v>43446</v>
      </c>
      <c r="D1421" s="38" t="s">
        <v>22</v>
      </c>
      <c r="E1421" s="22" t="s">
        <v>322</v>
      </c>
      <c r="F1421" s="34" t="s">
        <v>323</v>
      </c>
      <c r="G1421" s="19" t="s">
        <v>570</v>
      </c>
      <c r="H1421" s="19" t="n">
        <v>24</v>
      </c>
      <c r="I1421" s="19" t="n">
        <v>3</v>
      </c>
      <c r="J1421" s="19" t="n">
        <v>53.17</v>
      </c>
      <c r="K1421" s="39" t="n">
        <v>476000</v>
      </c>
      <c r="L1421" s="27" t="n">
        <f aca="false">K1421/J1421</f>
        <v>8952.41677637766</v>
      </c>
      <c r="M1421" s="50" t="s">
        <v>1954</v>
      </c>
      <c r="N1421" s="29" t="n">
        <v>30000</v>
      </c>
      <c r="O1421" s="30" t="n">
        <f aca="false">K1421+N1421</f>
        <v>506000</v>
      </c>
      <c r="P1421" s="30" t="n">
        <f aca="false">O1421/J1421</f>
        <v>9516.64472446868</v>
      </c>
      <c r="Q1421" s="19" t="s">
        <v>1224</v>
      </c>
      <c r="R1421" s="22" t="s">
        <v>27</v>
      </c>
      <c r="S1421" s="19" t="s">
        <v>29</v>
      </c>
      <c r="T1421" s="19" t="s">
        <v>30</v>
      </c>
      <c r="U1421" s="31" t="s">
        <v>31</v>
      </c>
      <c r="V1421" s="41" t="n">
        <v>43601</v>
      </c>
      <c r="W1421" s="34" t="s">
        <v>1955</v>
      </c>
      <c r="X1421" s="18"/>
      <c r="Y1421" s="1"/>
      <c r="Z1421" s="1"/>
    </row>
    <row r="1422" s="32" customFormat="true" ht="13.8" hidden="false" customHeight="false" outlineLevel="0" collapsed="false">
      <c r="A1422" s="34"/>
      <c r="B1422" s="19" t="n">
        <v>1420</v>
      </c>
      <c r="C1422" s="20" t="n">
        <v>43446</v>
      </c>
      <c r="D1422" s="38" t="s">
        <v>22</v>
      </c>
      <c r="E1422" s="22" t="s">
        <v>190</v>
      </c>
      <c r="F1422" s="34" t="s">
        <v>591</v>
      </c>
      <c r="G1422" s="19" t="n">
        <v>15</v>
      </c>
      <c r="H1422" s="19" t="n">
        <v>52</v>
      </c>
      <c r="I1422" s="19" t="n">
        <v>2</v>
      </c>
      <c r="J1422" s="19" t="n">
        <v>37.15</v>
      </c>
      <c r="K1422" s="39" t="n">
        <v>366000</v>
      </c>
      <c r="L1422" s="27" t="n">
        <f aca="false">K1422/J1422</f>
        <v>9851.95154777927</v>
      </c>
      <c r="M1422" s="50"/>
      <c r="N1422" s="29"/>
      <c r="O1422" s="30" t="n">
        <f aca="false">K1422+N1422</f>
        <v>366000</v>
      </c>
      <c r="P1422" s="30" t="n">
        <f aca="false">O1422/J1422</f>
        <v>9851.95154777927</v>
      </c>
      <c r="Q1422" s="19" t="s">
        <v>1181</v>
      </c>
      <c r="R1422" s="22" t="s">
        <v>27</v>
      </c>
      <c r="S1422" s="19" t="s">
        <v>29</v>
      </c>
      <c r="T1422" s="19" t="s">
        <v>30</v>
      </c>
      <c r="U1422" s="31" t="s">
        <v>31</v>
      </c>
      <c r="V1422" s="41" t="n">
        <v>43601</v>
      </c>
      <c r="W1422" s="34" t="s">
        <v>1956</v>
      </c>
      <c r="X1422" s="18"/>
      <c r="Y1422" s="1"/>
      <c r="Z1422" s="1"/>
    </row>
    <row r="1423" s="32" customFormat="true" ht="13.8" hidden="false" customHeight="false" outlineLevel="0" collapsed="false">
      <c r="A1423" s="34"/>
      <c r="B1423" s="19" t="n">
        <v>6949</v>
      </c>
      <c r="C1423" s="20" t="n">
        <v>43446</v>
      </c>
      <c r="D1423" s="38" t="s">
        <v>22</v>
      </c>
      <c r="E1423" s="22" t="s">
        <v>354</v>
      </c>
      <c r="F1423" s="34" t="s">
        <v>386</v>
      </c>
      <c r="G1423" s="19" t="n">
        <v>13</v>
      </c>
      <c r="H1423" s="19" t="n">
        <v>19</v>
      </c>
      <c r="I1423" s="19" t="n">
        <v>3</v>
      </c>
      <c r="J1423" s="19" t="n">
        <v>47.25</v>
      </c>
      <c r="K1423" s="39" t="n">
        <v>390000</v>
      </c>
      <c r="L1423" s="39" t="n">
        <f aca="false">K1423/J1423</f>
        <v>8253.96825396826</v>
      </c>
      <c r="M1423" s="34"/>
      <c r="N1423" s="40"/>
      <c r="O1423" s="30" t="n">
        <f aca="false">K1423+N1423</f>
        <v>390000</v>
      </c>
      <c r="P1423" s="39" t="n">
        <f aca="false">O1423/J1423</f>
        <v>8253.96825396826</v>
      </c>
      <c r="Q1423" s="19" t="s">
        <v>1486</v>
      </c>
      <c r="R1423" s="22" t="s">
        <v>36</v>
      </c>
      <c r="S1423" s="19" t="s">
        <v>29</v>
      </c>
      <c r="T1423" s="19" t="s">
        <v>30</v>
      </c>
      <c r="U1423" s="19" t="s">
        <v>31</v>
      </c>
      <c r="V1423" s="41" t="n">
        <v>43691</v>
      </c>
      <c r="W1423" s="34" t="s">
        <v>1957</v>
      </c>
      <c r="X1423" s="18"/>
      <c r="Y1423" s="1"/>
      <c r="Z1423" s="1"/>
    </row>
    <row r="1424" s="32" customFormat="true" ht="13.8" hidden="false" customHeight="false" outlineLevel="0" collapsed="false">
      <c r="A1424" s="34"/>
      <c r="B1424" s="19" t="n">
        <v>2197</v>
      </c>
      <c r="C1424" s="20" t="n">
        <v>43446</v>
      </c>
      <c r="D1424" s="38" t="s">
        <v>22</v>
      </c>
      <c r="E1424" s="22" t="s">
        <v>354</v>
      </c>
      <c r="F1424" s="34" t="s">
        <v>386</v>
      </c>
      <c r="G1424" s="19" t="n">
        <v>15</v>
      </c>
      <c r="H1424" s="19" t="n">
        <v>14</v>
      </c>
      <c r="I1424" s="19" t="n">
        <v>2</v>
      </c>
      <c r="J1424" s="19" t="n">
        <v>33.5</v>
      </c>
      <c r="K1424" s="39" t="n">
        <v>330000</v>
      </c>
      <c r="L1424" s="27" t="n">
        <f aca="false">K1424/J1424</f>
        <v>9850.74626865672</v>
      </c>
      <c r="M1424" s="50"/>
      <c r="N1424" s="29"/>
      <c r="O1424" s="30" t="n">
        <f aca="false">K1424+N1424</f>
        <v>330000</v>
      </c>
      <c r="P1424" s="30" t="n">
        <f aca="false">O1424/J1424</f>
        <v>9850.74626865672</v>
      </c>
      <c r="Q1424" s="19" t="s">
        <v>1958</v>
      </c>
      <c r="R1424" s="22" t="s">
        <v>27</v>
      </c>
      <c r="S1424" s="19" t="s">
        <v>29</v>
      </c>
      <c r="T1424" s="19" t="s">
        <v>30</v>
      </c>
      <c r="U1424" s="31" t="s">
        <v>31</v>
      </c>
      <c r="V1424" s="41" t="n">
        <v>43601</v>
      </c>
      <c r="W1424" s="34" t="s">
        <v>1959</v>
      </c>
      <c r="X1424" s="18"/>
      <c r="Y1424" s="1"/>
      <c r="Z1424" s="1"/>
    </row>
    <row r="1425" s="32" customFormat="true" ht="13.8" hidden="false" customHeight="false" outlineLevel="0" collapsed="false">
      <c r="A1425" s="34"/>
      <c r="B1425" s="19" t="n">
        <v>2117</v>
      </c>
      <c r="C1425" s="20" t="n">
        <v>43446</v>
      </c>
      <c r="D1425" s="38" t="s">
        <v>22</v>
      </c>
      <c r="E1425" s="22" t="s">
        <v>399</v>
      </c>
      <c r="F1425" s="34" t="s">
        <v>549</v>
      </c>
      <c r="G1425" s="19" t="n">
        <v>3</v>
      </c>
      <c r="H1425" s="19" t="n">
        <v>12</v>
      </c>
      <c r="I1425" s="19" t="n">
        <v>6</v>
      </c>
      <c r="J1425" s="19" t="n">
        <v>69.9</v>
      </c>
      <c r="K1425" s="39" t="n">
        <v>717500</v>
      </c>
      <c r="L1425" s="27" t="n">
        <f aca="false">K1425/J1425</f>
        <v>10264.6638054363</v>
      </c>
      <c r="M1425" s="50" t="s">
        <v>1960</v>
      </c>
      <c r="N1425" s="29" t="n">
        <v>35000</v>
      </c>
      <c r="O1425" s="30" t="n">
        <f aca="false">K1425+N1425</f>
        <v>752500</v>
      </c>
      <c r="P1425" s="30" t="n">
        <f aca="false">O1425/J1425</f>
        <v>10765.3791130186</v>
      </c>
      <c r="Q1425" s="19" t="s">
        <v>1136</v>
      </c>
      <c r="R1425" s="22" t="s">
        <v>26</v>
      </c>
      <c r="S1425" s="19" t="s">
        <v>29</v>
      </c>
      <c r="T1425" s="19" t="s">
        <v>30</v>
      </c>
      <c r="U1425" s="31" t="s">
        <v>31</v>
      </c>
      <c r="V1425" s="41" t="n">
        <v>43601</v>
      </c>
      <c r="W1425" s="34" t="s">
        <v>1961</v>
      </c>
      <c r="X1425" s="18"/>
      <c r="Y1425" s="1"/>
      <c r="Z1425" s="1"/>
    </row>
    <row r="1426" s="32" customFormat="true" ht="13.8" hidden="false" customHeight="false" outlineLevel="0" collapsed="false">
      <c r="A1426" s="34"/>
      <c r="B1426" s="19" t="n">
        <v>9439</v>
      </c>
      <c r="C1426" s="20" t="n">
        <v>43446</v>
      </c>
      <c r="D1426" s="38" t="s">
        <v>22</v>
      </c>
      <c r="E1426" s="22" t="s">
        <v>109</v>
      </c>
      <c r="F1426" s="34" t="s">
        <v>744</v>
      </c>
      <c r="G1426" s="19" t="n">
        <v>27</v>
      </c>
      <c r="H1426" s="19" t="n">
        <v>17</v>
      </c>
      <c r="I1426" s="19" t="n">
        <v>3</v>
      </c>
      <c r="J1426" s="19" t="n">
        <v>46.54</v>
      </c>
      <c r="K1426" s="39" t="n">
        <v>498000</v>
      </c>
      <c r="L1426" s="39" t="n">
        <f aca="false">K1426/J1426</f>
        <v>10700.4727116459</v>
      </c>
      <c r="M1426" s="34"/>
      <c r="N1426" s="40"/>
      <c r="O1426" s="30" t="n">
        <f aca="false">K1426+N1426</f>
        <v>498000</v>
      </c>
      <c r="P1426" s="39" t="n">
        <f aca="false">O1426/J1426</f>
        <v>10700.4727116459</v>
      </c>
      <c r="Q1426" s="19" t="s">
        <v>1486</v>
      </c>
      <c r="R1426" s="22" t="s">
        <v>36</v>
      </c>
      <c r="S1426" s="19" t="s">
        <v>29</v>
      </c>
      <c r="T1426" s="19" t="s">
        <v>30</v>
      </c>
      <c r="U1426" s="31" t="s">
        <v>31</v>
      </c>
      <c r="V1426" s="41" t="n">
        <v>43689</v>
      </c>
      <c r="W1426" s="34" t="s">
        <v>1962</v>
      </c>
      <c r="X1426" s="18"/>
      <c r="Y1426" s="1"/>
      <c r="Z1426" s="1"/>
    </row>
    <row r="1427" s="32" customFormat="true" ht="13.8" hidden="false" customHeight="false" outlineLevel="0" collapsed="false">
      <c r="A1427" s="34"/>
      <c r="B1427" s="19" t="n">
        <v>8769</v>
      </c>
      <c r="C1427" s="20" t="n">
        <v>43446</v>
      </c>
      <c r="D1427" s="38" t="s">
        <v>22</v>
      </c>
      <c r="E1427" s="22" t="s">
        <v>229</v>
      </c>
      <c r="F1427" s="34" t="s">
        <v>1722</v>
      </c>
      <c r="G1427" s="19" t="s">
        <v>358</v>
      </c>
      <c r="H1427" s="19" t="s">
        <v>1963</v>
      </c>
      <c r="I1427" s="19" t="n">
        <v>7</v>
      </c>
      <c r="J1427" s="19" t="n">
        <v>33.45</v>
      </c>
      <c r="K1427" s="39" t="n">
        <v>612000</v>
      </c>
      <c r="L1427" s="39" t="n">
        <f aca="false">K1427/J1427</f>
        <v>18295.9641255605</v>
      </c>
      <c r="M1427" s="34" t="s">
        <v>1964</v>
      </c>
      <c r="N1427" s="40"/>
      <c r="O1427" s="30" t="n">
        <f aca="false">K1427+N1427</f>
        <v>612000</v>
      </c>
      <c r="P1427" s="39" t="n">
        <f aca="false">O1427/J1427</f>
        <v>18295.9641255605</v>
      </c>
      <c r="Q1427" s="19" t="s">
        <v>1965</v>
      </c>
      <c r="R1427" s="22" t="s">
        <v>27</v>
      </c>
      <c r="S1427" s="19" t="s">
        <v>29</v>
      </c>
      <c r="T1427" s="19" t="s">
        <v>30</v>
      </c>
      <c r="U1427" s="31" t="s">
        <v>31</v>
      </c>
      <c r="V1427" s="41" t="n">
        <v>43689</v>
      </c>
      <c r="W1427" s="34" t="s">
        <v>1966</v>
      </c>
      <c r="X1427" s="18"/>
    </row>
    <row r="1428" customFormat="false" ht="13.8" hidden="false" customHeight="false" outlineLevel="0" collapsed="false">
      <c r="A1428" s="34"/>
      <c r="B1428" s="19" t="n">
        <v>5125</v>
      </c>
      <c r="C1428" s="20" t="n">
        <v>43446</v>
      </c>
      <c r="D1428" s="38" t="s">
        <v>22</v>
      </c>
      <c r="E1428" s="22" t="s">
        <v>251</v>
      </c>
      <c r="F1428" s="34" t="s">
        <v>1061</v>
      </c>
      <c r="G1428" s="19" t="n">
        <v>2</v>
      </c>
      <c r="H1428" s="19" t="n">
        <v>118</v>
      </c>
      <c r="I1428" s="19" t="n">
        <v>7</v>
      </c>
      <c r="J1428" s="19" t="n">
        <v>42.36</v>
      </c>
      <c r="K1428" s="39" t="n">
        <v>379000</v>
      </c>
      <c r="L1428" s="27" t="n">
        <f aca="false">K1428/J1428</f>
        <v>8947.11992445703</v>
      </c>
      <c r="M1428" s="50"/>
      <c r="N1428" s="29"/>
      <c r="O1428" s="30" t="n">
        <f aca="false">K1428+N1428</f>
        <v>379000</v>
      </c>
      <c r="P1428" s="30" t="n">
        <f aca="false">O1428/J1428</f>
        <v>8947.11992445703</v>
      </c>
      <c r="Q1428" s="19" t="s">
        <v>903</v>
      </c>
      <c r="R1428" s="22" t="s">
        <v>36</v>
      </c>
      <c r="S1428" s="19" t="s">
        <v>29</v>
      </c>
      <c r="T1428" s="19" t="s">
        <v>30</v>
      </c>
      <c r="U1428" s="31" t="s">
        <v>31</v>
      </c>
      <c r="V1428" s="41" t="n">
        <v>43601</v>
      </c>
      <c r="W1428" s="34" t="s">
        <v>1967</v>
      </c>
      <c r="X1428" s="18"/>
    </row>
    <row r="1429" customFormat="false" ht="13.8" hidden="false" customHeight="false" outlineLevel="0" collapsed="false">
      <c r="A1429" s="34"/>
      <c r="B1429" s="19" t="n">
        <v>5424</v>
      </c>
      <c r="C1429" s="20" t="n">
        <v>43446</v>
      </c>
      <c r="D1429" s="38" t="s">
        <v>22</v>
      </c>
      <c r="E1429" s="22" t="s">
        <v>281</v>
      </c>
      <c r="F1429" s="34" t="s">
        <v>569</v>
      </c>
      <c r="G1429" s="19" t="n">
        <v>88</v>
      </c>
      <c r="H1429" s="19"/>
      <c r="I1429" s="19" t="n">
        <v>4</v>
      </c>
      <c r="J1429" s="25" t="n">
        <v>65.05</v>
      </c>
      <c r="K1429" s="39" t="n">
        <v>589000</v>
      </c>
      <c r="L1429" s="39" t="n">
        <v>9054.57340507302</v>
      </c>
      <c r="M1429" s="34" t="s">
        <v>1968</v>
      </c>
      <c r="N1429" s="40"/>
      <c r="O1429" s="39" t="n">
        <v>589000</v>
      </c>
      <c r="P1429" s="39" t="n">
        <v>9054.57340507302</v>
      </c>
      <c r="Q1429" s="19" t="s">
        <v>1969</v>
      </c>
      <c r="R1429" s="22" t="s">
        <v>49</v>
      </c>
      <c r="S1429" s="19" t="s">
        <v>29</v>
      </c>
      <c r="T1429" s="19" t="s">
        <v>30</v>
      </c>
      <c r="U1429" s="31" t="s">
        <v>31</v>
      </c>
      <c r="V1429" s="41" t="n">
        <v>43689</v>
      </c>
      <c r="W1429" s="34" t="s">
        <v>1970</v>
      </c>
      <c r="X1429" s="18"/>
    </row>
    <row r="1430" customFormat="false" ht="13.8" hidden="false" customHeight="false" outlineLevel="0" collapsed="false">
      <c r="A1430" s="34"/>
      <c r="B1430" s="19" t="n">
        <v>13934</v>
      </c>
      <c r="C1430" s="20" t="n">
        <v>43447</v>
      </c>
      <c r="D1430" s="38" t="s">
        <v>22</v>
      </c>
      <c r="E1430" s="22" t="s">
        <v>75</v>
      </c>
      <c r="F1430" s="34" t="s">
        <v>1594</v>
      </c>
      <c r="G1430" s="19" t="n">
        <v>89</v>
      </c>
      <c r="H1430" s="19" t="n">
        <v>5</v>
      </c>
      <c r="I1430" s="19" t="n">
        <v>2</v>
      </c>
      <c r="J1430" s="19" t="n">
        <v>51</v>
      </c>
      <c r="K1430" s="39" t="n">
        <v>475000</v>
      </c>
      <c r="L1430" s="27" t="n">
        <f aca="false">K1430/J1430</f>
        <v>9313.72549019608</v>
      </c>
      <c r="M1430" s="50" t="s">
        <v>1869</v>
      </c>
      <c r="N1430" s="29"/>
      <c r="O1430" s="30" t="n">
        <f aca="false">K1430+N1430</f>
        <v>475000</v>
      </c>
      <c r="P1430" s="30" t="n">
        <f aca="false">O1430/J1430</f>
        <v>9313.72549019608</v>
      </c>
      <c r="Q1430" s="19" t="s">
        <v>1971</v>
      </c>
      <c r="R1430" s="22" t="s">
        <v>27</v>
      </c>
      <c r="S1430" s="19" t="s">
        <v>29</v>
      </c>
      <c r="T1430" s="19" t="s">
        <v>30</v>
      </c>
      <c r="U1430" s="31" t="s">
        <v>31</v>
      </c>
      <c r="V1430" s="41" t="n">
        <v>43601</v>
      </c>
      <c r="W1430" s="34" t="s">
        <v>1972</v>
      </c>
      <c r="X1430" s="18"/>
    </row>
    <row r="1431" customFormat="false" ht="13.8" hidden="false" customHeight="false" outlineLevel="0" collapsed="false">
      <c r="A1431" s="34"/>
      <c r="B1431" s="19" t="n">
        <v>7269</v>
      </c>
      <c r="C1431" s="20" t="n">
        <v>43447</v>
      </c>
      <c r="D1431" s="38" t="s">
        <v>22</v>
      </c>
      <c r="E1431" s="22" t="s">
        <v>375</v>
      </c>
      <c r="F1431" s="34" t="s">
        <v>376</v>
      </c>
      <c r="G1431" s="19" t="n">
        <v>4</v>
      </c>
      <c r="H1431" s="19" t="n">
        <v>4</v>
      </c>
      <c r="I1431" s="19" t="n">
        <v>1</v>
      </c>
      <c r="J1431" s="19" t="n">
        <v>81.97</v>
      </c>
      <c r="K1431" s="39" t="n">
        <v>940000</v>
      </c>
      <c r="L1431" s="39" t="n">
        <f aca="false">K1431/J1431</f>
        <v>11467.6101012566</v>
      </c>
      <c r="M1431" s="34"/>
      <c r="N1431" s="40"/>
      <c r="O1431" s="30" t="n">
        <f aca="false">K1431+N1431</f>
        <v>940000</v>
      </c>
      <c r="P1431" s="39" t="n">
        <f aca="false">O1431/J1431</f>
        <v>11467.6101012566</v>
      </c>
      <c r="Q1431" s="19" t="s">
        <v>1973</v>
      </c>
      <c r="R1431" s="22" t="s">
        <v>26</v>
      </c>
      <c r="S1431" s="19" t="s">
        <v>29</v>
      </c>
      <c r="T1431" s="19" t="s">
        <v>30</v>
      </c>
      <c r="U1431" s="31" t="s">
        <v>31</v>
      </c>
      <c r="V1431" s="41" t="n">
        <v>43689</v>
      </c>
      <c r="W1431" s="34" t="s">
        <v>1974</v>
      </c>
      <c r="X1431" s="18"/>
    </row>
    <row r="1432" customFormat="false" ht="13.8" hidden="false" customHeight="false" outlineLevel="0" collapsed="false">
      <c r="A1432" s="34"/>
      <c r="B1432" s="19" t="n">
        <v>3563</v>
      </c>
      <c r="C1432" s="20" t="n">
        <v>43447</v>
      </c>
      <c r="D1432" s="38" t="s">
        <v>22</v>
      </c>
      <c r="E1432" s="22" t="s">
        <v>118</v>
      </c>
      <c r="F1432" s="34" t="s">
        <v>1125</v>
      </c>
      <c r="G1432" s="19" t="n">
        <v>4</v>
      </c>
      <c r="H1432" s="19"/>
      <c r="I1432" s="19"/>
      <c r="J1432" s="25" t="n">
        <v>29.04</v>
      </c>
      <c r="K1432" s="39" t="n">
        <v>290000</v>
      </c>
      <c r="L1432" s="39" t="n">
        <v>9986.2258953168</v>
      </c>
      <c r="M1432" s="34" t="s">
        <v>189</v>
      </c>
      <c r="N1432" s="40"/>
      <c r="O1432" s="39" t="n">
        <v>290000</v>
      </c>
      <c r="P1432" s="39" t="n">
        <v>9986.2258953168</v>
      </c>
      <c r="Q1432" s="19" t="s">
        <v>1975</v>
      </c>
      <c r="R1432" s="22" t="s">
        <v>27</v>
      </c>
      <c r="S1432" s="19" t="s">
        <v>29</v>
      </c>
      <c r="T1432" s="19" t="s">
        <v>30</v>
      </c>
      <c r="U1432" s="31" t="s">
        <v>31</v>
      </c>
      <c r="V1432" s="41" t="n">
        <v>43689</v>
      </c>
      <c r="W1432" s="34" t="s">
        <v>1976</v>
      </c>
      <c r="X1432" s="18"/>
    </row>
    <row r="1433" customFormat="false" ht="13.8" hidden="false" customHeight="false" outlineLevel="0" collapsed="false">
      <c r="A1433" s="34"/>
      <c r="B1433" s="19" t="n">
        <v>6310</v>
      </c>
      <c r="C1433" s="20" t="n">
        <v>43447</v>
      </c>
      <c r="D1433" s="38" t="s">
        <v>22</v>
      </c>
      <c r="E1433" s="22" t="s">
        <v>962</v>
      </c>
      <c r="F1433" s="34" t="s">
        <v>963</v>
      </c>
      <c r="G1433" s="19" t="n">
        <v>1</v>
      </c>
      <c r="H1433" s="19" t="n">
        <v>3</v>
      </c>
      <c r="I1433" s="19" t="n">
        <v>2</v>
      </c>
      <c r="J1433" s="19" t="n">
        <v>41.22</v>
      </c>
      <c r="K1433" s="39" t="n">
        <v>355000</v>
      </c>
      <c r="L1433" s="27" t="n">
        <f aca="false">K1433/J1433</f>
        <v>8612.32411450752</v>
      </c>
      <c r="M1433" s="50" t="s">
        <v>1977</v>
      </c>
      <c r="N1433" s="29"/>
      <c r="O1433" s="30" t="n">
        <f aca="false">K1433+N1433</f>
        <v>355000</v>
      </c>
      <c r="P1433" s="30" t="n">
        <f aca="false">O1433/J1433</f>
        <v>8612.32411450752</v>
      </c>
      <c r="Q1433" s="19" t="s">
        <v>1224</v>
      </c>
      <c r="R1433" s="22" t="s">
        <v>27</v>
      </c>
      <c r="S1433" s="19" t="s">
        <v>29</v>
      </c>
      <c r="T1433" s="19" t="s">
        <v>30</v>
      </c>
      <c r="U1433" s="31" t="s">
        <v>31</v>
      </c>
      <c r="V1433" s="41" t="n">
        <v>43601</v>
      </c>
      <c r="W1433" s="34" t="s">
        <v>1978</v>
      </c>
      <c r="X1433" s="18"/>
    </row>
    <row r="1434" customFormat="false" ht="13.8" hidden="false" customHeight="false" outlineLevel="0" collapsed="false">
      <c r="A1434" s="34"/>
      <c r="B1434" s="19" t="n">
        <v>20190</v>
      </c>
      <c r="C1434" s="20" t="n">
        <v>43447</v>
      </c>
      <c r="D1434" s="38" t="s">
        <v>22</v>
      </c>
      <c r="E1434" s="22" t="s">
        <v>86</v>
      </c>
      <c r="F1434" s="34" t="s">
        <v>1979</v>
      </c>
      <c r="G1434" s="19" t="n">
        <v>1</v>
      </c>
      <c r="H1434" s="19" t="n">
        <v>15</v>
      </c>
      <c r="I1434" s="19" t="n">
        <v>4</v>
      </c>
      <c r="J1434" s="19" t="n">
        <v>52.8</v>
      </c>
      <c r="K1434" s="39" t="n">
        <v>380000</v>
      </c>
      <c r="L1434" s="39" t="n">
        <f aca="false">K1434/J1434</f>
        <v>7196.9696969697</v>
      </c>
      <c r="M1434" s="34" t="s">
        <v>1980</v>
      </c>
      <c r="N1434" s="40"/>
      <c r="O1434" s="30" t="n">
        <f aca="false">K1434+N1434</f>
        <v>380000</v>
      </c>
      <c r="P1434" s="39" t="n">
        <f aca="false">O1434/J1434</f>
        <v>7196.9696969697</v>
      </c>
      <c r="Q1434" s="19" t="s">
        <v>1340</v>
      </c>
      <c r="R1434" s="22" t="s">
        <v>26</v>
      </c>
      <c r="S1434" s="19" t="s">
        <v>29</v>
      </c>
      <c r="T1434" s="19" t="s">
        <v>30</v>
      </c>
      <c r="U1434" s="31" t="s">
        <v>31</v>
      </c>
      <c r="V1434" s="41" t="n">
        <v>43689</v>
      </c>
      <c r="W1434" s="34" t="s">
        <v>1981</v>
      </c>
      <c r="X1434" s="18"/>
    </row>
    <row r="1435" customFormat="false" ht="13.8" hidden="false" customHeight="false" outlineLevel="0" collapsed="false">
      <c r="A1435" s="34"/>
      <c r="B1435" s="19" t="n">
        <v>4959</v>
      </c>
      <c r="C1435" s="20" t="n">
        <v>43447</v>
      </c>
      <c r="D1435" s="38" t="s">
        <v>22</v>
      </c>
      <c r="E1435" s="22" t="s">
        <v>278</v>
      </c>
      <c r="F1435" s="34" t="s">
        <v>279</v>
      </c>
      <c r="G1435" s="19" t="n">
        <v>13</v>
      </c>
      <c r="H1435" s="19"/>
      <c r="I1435" s="19" t="n">
        <v>4</v>
      </c>
      <c r="J1435" s="25" t="n">
        <v>47</v>
      </c>
      <c r="K1435" s="39" t="n">
        <v>415000</v>
      </c>
      <c r="L1435" s="39" t="n">
        <v>8829.78723404255</v>
      </c>
      <c r="M1435" s="34"/>
      <c r="N1435" s="40"/>
      <c r="O1435" s="39" t="n">
        <v>415000</v>
      </c>
      <c r="P1435" s="39" t="n">
        <v>8829.78723404255</v>
      </c>
      <c r="Q1435" s="19" t="s">
        <v>1982</v>
      </c>
      <c r="R1435" s="22" t="s">
        <v>26</v>
      </c>
      <c r="S1435" s="19" t="s">
        <v>29</v>
      </c>
      <c r="T1435" s="19" t="s">
        <v>30</v>
      </c>
      <c r="U1435" s="31" t="s">
        <v>31</v>
      </c>
      <c r="V1435" s="41" t="n">
        <v>43689</v>
      </c>
      <c r="W1435" s="34" t="s">
        <v>1983</v>
      </c>
      <c r="X1435" s="18"/>
    </row>
    <row r="1436" customFormat="false" ht="13.8" hidden="false" customHeight="false" outlineLevel="0" collapsed="false">
      <c r="A1436" s="34"/>
      <c r="B1436" s="19" t="n">
        <v>11510</v>
      </c>
      <c r="C1436" s="20" t="n">
        <v>43447</v>
      </c>
      <c r="D1436" s="38" t="s">
        <v>22</v>
      </c>
      <c r="E1436" s="22" t="s">
        <v>118</v>
      </c>
      <c r="F1436" s="34" t="s">
        <v>347</v>
      </c>
      <c r="G1436" s="19" t="n">
        <v>7</v>
      </c>
      <c r="H1436" s="19" t="n">
        <v>65</v>
      </c>
      <c r="I1436" s="19" t="n">
        <v>2</v>
      </c>
      <c r="J1436" s="19" t="n">
        <v>47.7</v>
      </c>
      <c r="K1436" s="39" t="n">
        <v>300000</v>
      </c>
      <c r="L1436" s="39" t="n">
        <f aca="false">K1436/J1436</f>
        <v>6289.30817610063</v>
      </c>
      <c r="M1436" s="34" t="s">
        <v>1984</v>
      </c>
      <c r="N1436" s="40"/>
      <c r="O1436" s="30" t="n">
        <f aca="false">K1436+N1436</f>
        <v>300000</v>
      </c>
      <c r="P1436" s="39" t="n">
        <f aca="false">O1436/J1436</f>
        <v>6289.30817610063</v>
      </c>
      <c r="Q1436" s="19" t="s">
        <v>1486</v>
      </c>
      <c r="R1436" s="22" t="s">
        <v>36</v>
      </c>
      <c r="S1436" s="19" t="s">
        <v>29</v>
      </c>
      <c r="T1436" s="19" t="s">
        <v>30</v>
      </c>
      <c r="U1436" s="31" t="s">
        <v>31</v>
      </c>
      <c r="V1436" s="41" t="n">
        <v>43691</v>
      </c>
      <c r="W1436" s="34" t="s">
        <v>1985</v>
      </c>
      <c r="X1436" s="34"/>
    </row>
    <row r="1437" customFormat="false" ht="13.8" hidden="false" customHeight="false" outlineLevel="0" collapsed="false">
      <c r="A1437" s="34"/>
      <c r="B1437" s="19" t="n">
        <v>22986</v>
      </c>
      <c r="C1437" s="20" t="n">
        <v>43447</v>
      </c>
      <c r="D1437" s="38" t="s">
        <v>22</v>
      </c>
      <c r="E1437" s="22" t="s">
        <v>278</v>
      </c>
      <c r="F1437" s="34" t="s">
        <v>338</v>
      </c>
      <c r="G1437" s="19" t="n">
        <v>59</v>
      </c>
      <c r="H1437" s="19" t="n">
        <v>17</v>
      </c>
      <c r="I1437" s="19" t="n">
        <v>4</v>
      </c>
      <c r="J1437" s="19" t="n">
        <v>36.6</v>
      </c>
      <c r="K1437" s="39" t="n">
        <v>475000</v>
      </c>
      <c r="L1437" s="39" t="n">
        <f aca="false">K1437/J1437</f>
        <v>12978.1420765027</v>
      </c>
      <c r="M1437" s="34" t="s">
        <v>1986</v>
      </c>
      <c r="N1437" s="40"/>
      <c r="O1437" s="30" t="n">
        <f aca="false">K1437+N1437</f>
        <v>475000</v>
      </c>
      <c r="P1437" s="39" t="n">
        <f aca="false">O1437/J1437</f>
        <v>12978.1420765027</v>
      </c>
      <c r="Q1437" s="19" t="s">
        <v>1987</v>
      </c>
      <c r="R1437" s="22" t="s">
        <v>36</v>
      </c>
      <c r="S1437" s="19" t="s">
        <v>29</v>
      </c>
      <c r="T1437" s="19" t="s">
        <v>30</v>
      </c>
      <c r="U1437" s="31" t="s">
        <v>31</v>
      </c>
      <c r="V1437" s="41" t="n">
        <v>43691</v>
      </c>
      <c r="W1437" s="34" t="s">
        <v>1988</v>
      </c>
      <c r="X1437" s="34"/>
    </row>
    <row r="1438" customFormat="false" ht="13.8" hidden="false" customHeight="false" outlineLevel="0" collapsed="false">
      <c r="A1438" s="34"/>
      <c r="B1438" s="19" t="n">
        <v>4437</v>
      </c>
      <c r="C1438" s="20" t="n">
        <v>43447</v>
      </c>
      <c r="D1438" s="38" t="s">
        <v>22</v>
      </c>
      <c r="E1438" s="22" t="s">
        <v>268</v>
      </c>
      <c r="F1438" s="34" t="s">
        <v>87</v>
      </c>
      <c r="G1438" s="19" t="s">
        <v>1989</v>
      </c>
      <c r="H1438" s="19" t="n">
        <v>37</v>
      </c>
      <c r="I1438" s="19" t="n">
        <v>3</v>
      </c>
      <c r="J1438" s="19" t="n">
        <v>45.89</v>
      </c>
      <c r="K1438" s="39" t="n">
        <v>365000</v>
      </c>
      <c r="L1438" s="39" t="n">
        <f aca="false">K1438/J1438</f>
        <v>7953.80257136631</v>
      </c>
      <c r="M1438" s="34"/>
      <c r="N1438" s="40"/>
      <c r="O1438" s="30" t="n">
        <f aca="false">K1438+N1438</f>
        <v>365000</v>
      </c>
      <c r="P1438" s="39" t="n">
        <f aca="false">O1438/J1438</f>
        <v>7953.80257136631</v>
      </c>
      <c r="Q1438" s="19" t="s">
        <v>1340</v>
      </c>
      <c r="R1438" s="22" t="s">
        <v>26</v>
      </c>
      <c r="S1438" s="19" t="s">
        <v>29</v>
      </c>
      <c r="T1438" s="19" t="s">
        <v>30</v>
      </c>
      <c r="U1438" s="31" t="s">
        <v>31</v>
      </c>
      <c r="V1438" s="41" t="n">
        <v>43691</v>
      </c>
      <c r="W1438" s="34" t="s">
        <v>1990</v>
      </c>
      <c r="X1438" s="34"/>
    </row>
    <row r="1439" customFormat="false" ht="13.8" hidden="false" customHeight="false" outlineLevel="0" collapsed="false">
      <c r="A1439" s="34"/>
      <c r="B1439" s="19" t="n">
        <v>2043</v>
      </c>
      <c r="C1439" s="20" t="n">
        <v>43447</v>
      </c>
      <c r="D1439" s="38" t="s">
        <v>22</v>
      </c>
      <c r="E1439" s="22" t="s">
        <v>543</v>
      </c>
      <c r="F1439" s="23" t="s">
        <v>1991</v>
      </c>
      <c r="G1439" s="19" t="n">
        <v>47</v>
      </c>
      <c r="H1439" s="19" t="n">
        <v>141</v>
      </c>
      <c r="I1439" s="19" t="n">
        <v>9</v>
      </c>
      <c r="J1439" s="19" t="n">
        <v>27.79</v>
      </c>
      <c r="K1439" s="39" t="n">
        <v>280000</v>
      </c>
      <c r="L1439" s="27" t="n">
        <f aca="false">K1439/J1439</f>
        <v>10075.5667506297</v>
      </c>
      <c r="M1439" s="50"/>
      <c r="N1439" s="29"/>
      <c r="O1439" s="30" t="n">
        <f aca="false">K1439+N1439</f>
        <v>280000</v>
      </c>
      <c r="P1439" s="30" t="n">
        <f aca="false">O1439/J1439</f>
        <v>10075.5667506297</v>
      </c>
      <c r="Q1439" s="19" t="s">
        <v>1181</v>
      </c>
      <c r="R1439" s="22" t="s">
        <v>27</v>
      </c>
      <c r="S1439" s="19" t="s">
        <v>29</v>
      </c>
      <c r="T1439" s="19" t="s">
        <v>30</v>
      </c>
      <c r="U1439" s="31" t="s">
        <v>31</v>
      </c>
      <c r="V1439" s="41" t="n">
        <v>43601</v>
      </c>
      <c r="W1439" s="34" t="s">
        <v>1992</v>
      </c>
      <c r="X1439" s="18"/>
    </row>
    <row r="1440" customFormat="false" ht="13.8" hidden="false" customHeight="false" outlineLevel="0" collapsed="false">
      <c r="A1440" s="34"/>
      <c r="B1440" s="19" t="n">
        <v>5135</v>
      </c>
      <c r="C1440" s="20" t="n">
        <v>43447</v>
      </c>
      <c r="D1440" s="38" t="s">
        <v>22</v>
      </c>
      <c r="E1440" s="22" t="s">
        <v>265</v>
      </c>
      <c r="F1440" s="34" t="s">
        <v>565</v>
      </c>
      <c r="G1440" s="19" t="n">
        <v>50</v>
      </c>
      <c r="H1440" s="19"/>
      <c r="I1440" s="19" t="n">
        <v>3</v>
      </c>
      <c r="J1440" s="25" t="n">
        <v>59</v>
      </c>
      <c r="K1440" s="39" t="n">
        <v>525000</v>
      </c>
      <c r="L1440" s="39" t="n">
        <v>8898.30508474576</v>
      </c>
      <c r="M1440" s="34" t="s">
        <v>189</v>
      </c>
      <c r="N1440" s="40"/>
      <c r="O1440" s="39" t="n">
        <v>525000</v>
      </c>
      <c r="P1440" s="39" t="n">
        <v>8898.30508474576</v>
      </c>
      <c r="Q1440" s="19" t="s">
        <v>1969</v>
      </c>
      <c r="R1440" s="22" t="s">
        <v>49</v>
      </c>
      <c r="S1440" s="19" t="s">
        <v>29</v>
      </c>
      <c r="T1440" s="19" t="s">
        <v>30</v>
      </c>
      <c r="U1440" s="31" t="s">
        <v>31</v>
      </c>
      <c r="V1440" s="41" t="n">
        <v>43689</v>
      </c>
      <c r="W1440" s="34" t="s">
        <v>1993</v>
      </c>
      <c r="X1440" s="18"/>
    </row>
    <row r="1441" customFormat="false" ht="13.8" hidden="false" customHeight="false" outlineLevel="0" collapsed="false">
      <c r="A1441" s="34"/>
      <c r="B1441" s="19" t="n">
        <v>9992</v>
      </c>
      <c r="C1441" s="20" t="n">
        <v>43447</v>
      </c>
      <c r="D1441" s="38" t="s">
        <v>22</v>
      </c>
      <c r="E1441" s="41" t="s">
        <v>118</v>
      </c>
      <c r="F1441" s="34" t="s">
        <v>1994</v>
      </c>
      <c r="G1441" s="19" t="n">
        <v>6</v>
      </c>
      <c r="H1441" s="19"/>
      <c r="I1441" s="19" t="n">
        <v>5</v>
      </c>
      <c r="J1441" s="25" t="n">
        <v>32.25</v>
      </c>
      <c r="K1441" s="39" t="n">
        <v>280000</v>
      </c>
      <c r="L1441" s="39" t="n">
        <v>8682.17054263566</v>
      </c>
      <c r="M1441" s="34" t="s">
        <v>1995</v>
      </c>
      <c r="N1441" s="40"/>
      <c r="O1441" s="39" t="n">
        <v>280000</v>
      </c>
      <c r="P1441" s="39" t="n">
        <v>8682.17054263566</v>
      </c>
      <c r="Q1441" s="19" t="s">
        <v>1982</v>
      </c>
      <c r="R1441" s="22" t="s">
        <v>26</v>
      </c>
      <c r="S1441" s="19" t="s">
        <v>29</v>
      </c>
      <c r="T1441" s="19" t="s">
        <v>30</v>
      </c>
      <c r="U1441" s="31" t="s">
        <v>31</v>
      </c>
      <c r="V1441" s="41" t="n">
        <v>43689</v>
      </c>
      <c r="W1441" s="34" t="s">
        <v>1996</v>
      </c>
      <c r="X1441" s="34"/>
    </row>
    <row r="1442" customFormat="false" ht="13.8" hidden="false" customHeight="false" outlineLevel="0" collapsed="false">
      <c r="A1442" s="34"/>
      <c r="B1442" s="19" t="n">
        <v>2947</v>
      </c>
      <c r="C1442" s="20" t="n">
        <v>43447</v>
      </c>
      <c r="D1442" s="38" t="s">
        <v>22</v>
      </c>
      <c r="E1442" s="22" t="s">
        <v>354</v>
      </c>
      <c r="F1442" s="34" t="s">
        <v>355</v>
      </c>
      <c r="G1442" s="22" t="s">
        <v>410</v>
      </c>
      <c r="H1442" s="19" t="n">
        <v>31</v>
      </c>
      <c r="I1442" s="19" t="n">
        <v>3</v>
      </c>
      <c r="J1442" s="19" t="n">
        <v>43.93</v>
      </c>
      <c r="K1442" s="39" t="n">
        <v>290000</v>
      </c>
      <c r="L1442" s="39" t="n">
        <f aca="false">K1442/J1442</f>
        <v>6601.41133621671</v>
      </c>
      <c r="M1442" s="34"/>
      <c r="N1442" s="40"/>
      <c r="O1442" s="30" t="n">
        <f aca="false">K1442+N1442</f>
        <v>290000</v>
      </c>
      <c r="P1442" s="39" t="n">
        <f aca="false">O1442/J1442</f>
        <v>6601.41133621671</v>
      </c>
      <c r="Q1442" s="19" t="s">
        <v>1446</v>
      </c>
      <c r="R1442" s="22" t="s">
        <v>36</v>
      </c>
      <c r="S1442" s="19" t="s">
        <v>29</v>
      </c>
      <c r="T1442" s="19" t="s">
        <v>30</v>
      </c>
      <c r="U1442" s="31" t="s">
        <v>31</v>
      </c>
      <c r="V1442" s="41" t="n">
        <v>43689</v>
      </c>
      <c r="W1442" s="34" t="s">
        <v>1997</v>
      </c>
      <c r="X1442" s="34"/>
    </row>
    <row r="1443" customFormat="false" ht="13.8" hidden="false" customHeight="false" outlineLevel="0" collapsed="false">
      <c r="A1443" s="34"/>
      <c r="B1443" s="19" t="n">
        <v>7659</v>
      </c>
      <c r="C1443" s="20" t="n">
        <v>43447</v>
      </c>
      <c r="D1443" s="38" t="s">
        <v>22</v>
      </c>
      <c r="E1443" s="22" t="s">
        <v>1875</v>
      </c>
      <c r="F1443" s="34" t="s">
        <v>1998</v>
      </c>
      <c r="G1443" s="19" t="s">
        <v>139</v>
      </c>
      <c r="H1443" s="19" t="n">
        <v>1</v>
      </c>
      <c r="I1443" s="19" t="n">
        <v>1</v>
      </c>
      <c r="J1443" s="19" t="n">
        <v>71.46</v>
      </c>
      <c r="K1443" s="39" t="n">
        <v>945000</v>
      </c>
      <c r="L1443" s="39" t="n">
        <f aca="false">K1443/J1443</f>
        <v>13224.1813602015</v>
      </c>
      <c r="M1443" s="34" t="s">
        <v>1999</v>
      </c>
      <c r="N1443" s="40"/>
      <c r="O1443" s="30" t="n">
        <f aca="false">K1443+N1443</f>
        <v>945000</v>
      </c>
      <c r="P1443" s="39" t="n">
        <f aca="false">O1443/J1443</f>
        <v>13224.1813602015</v>
      </c>
      <c r="Q1443" s="19" t="s">
        <v>2000</v>
      </c>
      <c r="R1443" s="22" t="s">
        <v>26</v>
      </c>
      <c r="S1443" s="19" t="s">
        <v>29</v>
      </c>
      <c r="T1443" s="19" t="s">
        <v>30</v>
      </c>
      <c r="U1443" s="19" t="s">
        <v>31</v>
      </c>
      <c r="V1443" s="41" t="n">
        <v>43693</v>
      </c>
      <c r="W1443" s="34" t="s">
        <v>2001</v>
      </c>
      <c r="X1443" s="34"/>
    </row>
    <row r="1444" s="32" customFormat="true" ht="13.8" hidden="false" customHeight="false" outlineLevel="0" collapsed="false">
      <c r="A1444" s="34"/>
      <c r="B1444" s="19" t="n">
        <v>3130</v>
      </c>
      <c r="C1444" s="20" t="n">
        <v>43448</v>
      </c>
      <c r="D1444" s="38" t="s">
        <v>22</v>
      </c>
      <c r="E1444" s="22" t="s">
        <v>93</v>
      </c>
      <c r="F1444" s="34" t="s">
        <v>94</v>
      </c>
      <c r="G1444" s="19" t="s">
        <v>969</v>
      </c>
      <c r="H1444" s="19" t="n">
        <v>38</v>
      </c>
      <c r="I1444" s="19" t="n">
        <v>3</v>
      </c>
      <c r="J1444" s="19" t="n">
        <v>40.7</v>
      </c>
      <c r="K1444" s="39" t="n">
        <v>373000</v>
      </c>
      <c r="L1444" s="39" t="n">
        <f aca="false">K1444/J1444</f>
        <v>9164.61916461916</v>
      </c>
      <c r="M1444" s="34" t="s">
        <v>2002</v>
      </c>
      <c r="N1444" s="40"/>
      <c r="O1444" s="30" t="n">
        <f aca="false">K1444+N1444</f>
        <v>373000</v>
      </c>
      <c r="P1444" s="39" t="n">
        <f aca="false">O1444/J1444</f>
        <v>9164.61916461916</v>
      </c>
      <c r="Q1444" s="19" t="s">
        <v>2003</v>
      </c>
      <c r="R1444" s="22" t="s">
        <v>36</v>
      </c>
      <c r="S1444" s="19" t="s">
        <v>29</v>
      </c>
      <c r="T1444" s="19" t="s">
        <v>30</v>
      </c>
      <c r="U1444" s="31" t="s">
        <v>31</v>
      </c>
      <c r="V1444" s="41" t="n">
        <v>43690</v>
      </c>
      <c r="W1444" s="34" t="s">
        <v>2004</v>
      </c>
      <c r="X1444" s="34"/>
    </row>
    <row r="1445" s="32" customFormat="true" ht="13.8" hidden="false" customHeight="false" outlineLevel="0" collapsed="false">
      <c r="A1445" s="34"/>
      <c r="B1445" s="19" t="n">
        <v>4213</v>
      </c>
      <c r="C1445" s="20" t="n">
        <v>43448</v>
      </c>
      <c r="D1445" s="38" t="s">
        <v>22</v>
      </c>
      <c r="E1445" s="22" t="s">
        <v>75</v>
      </c>
      <c r="F1445" s="34" t="s">
        <v>1594</v>
      </c>
      <c r="G1445" s="19" t="n">
        <v>39</v>
      </c>
      <c r="H1445" s="19" t="n">
        <v>8</v>
      </c>
      <c r="I1445" s="19" t="n">
        <v>3</v>
      </c>
      <c r="J1445" s="19" t="n">
        <v>59.5</v>
      </c>
      <c r="K1445" s="39" t="n">
        <v>395000</v>
      </c>
      <c r="L1445" s="27" t="n">
        <f aca="false">K1445/J1445</f>
        <v>6638.65546218487</v>
      </c>
      <c r="M1445" s="50" t="s">
        <v>2005</v>
      </c>
      <c r="N1445" s="29"/>
      <c r="O1445" s="30" t="n">
        <f aca="false">K1445+N1445</f>
        <v>395000</v>
      </c>
      <c r="P1445" s="30" t="n">
        <f aca="false">O1445/J1445</f>
        <v>6638.65546218487</v>
      </c>
      <c r="Q1445" s="19" t="s">
        <v>2006</v>
      </c>
      <c r="R1445" s="22" t="s">
        <v>26</v>
      </c>
      <c r="S1445" s="19" t="s">
        <v>29</v>
      </c>
      <c r="T1445" s="19" t="s">
        <v>30</v>
      </c>
      <c r="U1445" s="31" t="s">
        <v>31</v>
      </c>
      <c r="V1445" s="41" t="n">
        <v>43601</v>
      </c>
      <c r="W1445" s="34" t="s">
        <v>2007</v>
      </c>
      <c r="X1445" s="34"/>
    </row>
    <row r="1446" s="32" customFormat="true" ht="13.8" hidden="false" customHeight="false" outlineLevel="0" collapsed="false">
      <c r="A1446" s="34"/>
      <c r="B1446" s="19" t="n">
        <v>20266</v>
      </c>
      <c r="C1446" s="20" t="n">
        <v>43448</v>
      </c>
      <c r="D1446" s="38" t="s">
        <v>22</v>
      </c>
      <c r="E1446" s="22" t="s">
        <v>287</v>
      </c>
      <c r="F1446" s="34" t="s">
        <v>854</v>
      </c>
      <c r="G1446" s="19" t="n">
        <v>10</v>
      </c>
      <c r="H1446" s="19" t="n">
        <v>29</v>
      </c>
      <c r="I1446" s="19" t="n">
        <v>4</v>
      </c>
      <c r="J1446" s="19" t="n">
        <v>44.4</v>
      </c>
      <c r="K1446" s="39" t="n">
        <v>480000</v>
      </c>
      <c r="L1446" s="39" t="n">
        <f aca="false">K1446/J1446</f>
        <v>10810.8108108108</v>
      </c>
      <c r="M1446" s="34"/>
      <c r="N1446" s="40"/>
      <c r="O1446" s="30" t="n">
        <f aca="false">K1446+N1446</f>
        <v>480000</v>
      </c>
      <c r="P1446" s="39" t="n">
        <f aca="false">O1446/J1446</f>
        <v>10810.8108108108</v>
      </c>
      <c r="Q1446" s="19" t="s">
        <v>2008</v>
      </c>
      <c r="R1446" s="22" t="s">
        <v>36</v>
      </c>
      <c r="S1446" s="19" t="s">
        <v>29</v>
      </c>
      <c r="T1446" s="19" t="s">
        <v>30</v>
      </c>
      <c r="U1446" s="31" t="s">
        <v>31</v>
      </c>
      <c r="V1446" s="41" t="n">
        <v>43689</v>
      </c>
      <c r="W1446" s="34" t="s">
        <v>2009</v>
      </c>
      <c r="X1446" s="34"/>
    </row>
    <row r="1447" customFormat="false" ht="13.8" hidden="false" customHeight="false" outlineLevel="0" collapsed="false">
      <c r="A1447" s="34"/>
      <c r="B1447" s="19" t="n">
        <v>13970</v>
      </c>
      <c r="C1447" s="20" t="n">
        <v>43448</v>
      </c>
      <c r="D1447" s="38" t="s">
        <v>22</v>
      </c>
      <c r="E1447" s="22" t="s">
        <v>322</v>
      </c>
      <c r="F1447" s="34" t="s">
        <v>323</v>
      </c>
      <c r="G1447" s="19" t="s">
        <v>860</v>
      </c>
      <c r="H1447" s="19" t="n">
        <v>54</v>
      </c>
      <c r="I1447" s="19" t="n">
        <v>7</v>
      </c>
      <c r="J1447" s="19" t="n">
        <v>76.11</v>
      </c>
      <c r="K1447" s="39" t="n">
        <v>600000</v>
      </c>
      <c r="L1447" s="39" t="n">
        <f aca="false">K1447/J1447</f>
        <v>7883.32676389436</v>
      </c>
      <c r="M1447" s="34" t="s">
        <v>2010</v>
      </c>
      <c r="N1447" s="40" t="n">
        <v>67000</v>
      </c>
      <c r="O1447" s="30" t="n">
        <f aca="false">K1447+N1447</f>
        <v>667000</v>
      </c>
      <c r="P1447" s="39" t="n">
        <f aca="false">O1447/J1447</f>
        <v>8763.63158586257</v>
      </c>
      <c r="Q1447" s="19" t="s">
        <v>2011</v>
      </c>
      <c r="R1447" s="22" t="s">
        <v>26</v>
      </c>
      <c r="S1447" s="19" t="s">
        <v>29</v>
      </c>
      <c r="T1447" s="19" t="s">
        <v>30</v>
      </c>
      <c r="U1447" s="19" t="s">
        <v>31</v>
      </c>
      <c r="V1447" s="41" t="n">
        <v>43696</v>
      </c>
      <c r="W1447" s="34" t="s">
        <v>2012</v>
      </c>
      <c r="X1447" s="18"/>
    </row>
    <row r="1448" customFormat="false" ht="13.8" hidden="false" customHeight="false" outlineLevel="0" collapsed="false">
      <c r="A1448" s="34"/>
      <c r="B1448" s="19" t="s">
        <v>887</v>
      </c>
      <c r="C1448" s="20" t="n">
        <v>43448</v>
      </c>
      <c r="D1448" s="38" t="s">
        <v>22</v>
      </c>
      <c r="E1448" s="22" t="s">
        <v>45</v>
      </c>
      <c r="F1448" s="45" t="s">
        <v>404</v>
      </c>
      <c r="G1448" s="19" t="s">
        <v>1023</v>
      </c>
      <c r="H1448" s="19"/>
      <c r="I1448" s="19" t="n">
        <v>2</v>
      </c>
      <c r="J1448" s="25" t="n">
        <v>38.5</v>
      </c>
      <c r="K1448" s="39" t="n">
        <v>270000</v>
      </c>
      <c r="L1448" s="39" t="n">
        <f aca="false">K1448/J1448</f>
        <v>7012.98701298701</v>
      </c>
      <c r="M1448" s="34" t="s">
        <v>1140</v>
      </c>
      <c r="N1448" s="40"/>
      <c r="O1448" s="30" t="n">
        <f aca="false">K1448+N1448</f>
        <v>270000</v>
      </c>
      <c r="P1448" s="39" t="n">
        <f aca="false">O1448/J1448</f>
        <v>7012.98701298701</v>
      </c>
      <c r="Q1448" s="19" t="s">
        <v>889</v>
      </c>
      <c r="R1448" s="19" t="n">
        <v>3</v>
      </c>
      <c r="S1448" s="19" t="s">
        <v>1141</v>
      </c>
      <c r="T1448" s="19"/>
      <c r="U1448" s="19" t="s">
        <v>31</v>
      </c>
      <c r="V1448" s="41" t="n">
        <v>43727</v>
      </c>
      <c r="W1448" s="34"/>
      <c r="X1448" s="34"/>
    </row>
    <row r="1449" s="32" customFormat="true" ht="13.8" hidden="false" customHeight="false" outlineLevel="0" collapsed="false">
      <c r="A1449" s="34"/>
      <c r="B1449" s="19" t="n">
        <v>2356</v>
      </c>
      <c r="C1449" s="20" t="n">
        <v>43448</v>
      </c>
      <c r="D1449" s="38" t="s">
        <v>22</v>
      </c>
      <c r="E1449" s="22" t="s">
        <v>86</v>
      </c>
      <c r="F1449" s="34" t="s">
        <v>87</v>
      </c>
      <c r="G1449" s="19" t="n">
        <v>75</v>
      </c>
      <c r="H1449" s="19" t="n">
        <v>109</v>
      </c>
      <c r="I1449" s="19" t="n">
        <v>6</v>
      </c>
      <c r="J1449" s="19" t="n">
        <v>52.14</v>
      </c>
      <c r="K1449" s="39" t="n">
        <v>550000</v>
      </c>
      <c r="L1449" s="39" t="n">
        <f aca="false">K1449/J1449</f>
        <v>10548.5232067511</v>
      </c>
      <c r="M1449" s="34" t="s">
        <v>2013</v>
      </c>
      <c r="N1449" s="40"/>
      <c r="O1449" s="30" t="n">
        <f aca="false">K1449+N1449</f>
        <v>550000</v>
      </c>
      <c r="P1449" s="39" t="n">
        <f aca="false">O1449/J1449</f>
        <v>10548.5232067511</v>
      </c>
      <c r="Q1449" s="19" t="s">
        <v>1486</v>
      </c>
      <c r="R1449" s="22" t="s">
        <v>36</v>
      </c>
      <c r="S1449" s="19" t="s">
        <v>29</v>
      </c>
      <c r="T1449" s="19" t="s">
        <v>30</v>
      </c>
      <c r="U1449" s="31" t="s">
        <v>31</v>
      </c>
      <c r="V1449" s="41" t="n">
        <v>43689</v>
      </c>
      <c r="W1449" s="34" t="s">
        <v>2014</v>
      </c>
      <c r="X1449" s="34"/>
    </row>
    <row r="1450" s="32" customFormat="true" ht="13.8" hidden="false" customHeight="false" outlineLevel="0" collapsed="false">
      <c r="A1450" s="34"/>
      <c r="B1450" s="19" t="n">
        <v>5956</v>
      </c>
      <c r="C1450" s="20" t="n">
        <v>43448</v>
      </c>
      <c r="D1450" s="38" t="s">
        <v>22</v>
      </c>
      <c r="E1450" s="22" t="s">
        <v>187</v>
      </c>
      <c r="F1450" s="34" t="s">
        <v>271</v>
      </c>
      <c r="G1450" s="19" t="n">
        <v>40</v>
      </c>
      <c r="H1450" s="19" t="n">
        <v>120</v>
      </c>
      <c r="I1450" s="19" t="n">
        <v>2</v>
      </c>
      <c r="J1450" s="19" t="n">
        <v>48.21</v>
      </c>
      <c r="K1450" s="39" t="n">
        <v>450000</v>
      </c>
      <c r="L1450" s="39" t="n">
        <f aca="false">K1450/J1450</f>
        <v>9334.16303671438</v>
      </c>
      <c r="M1450" s="34" t="s">
        <v>2015</v>
      </c>
      <c r="N1450" s="40"/>
      <c r="O1450" s="30" t="n">
        <f aca="false">K1450+N1450</f>
        <v>450000</v>
      </c>
      <c r="P1450" s="39" t="n">
        <f aca="false">O1450/J1450</f>
        <v>9334.16303671438</v>
      </c>
      <c r="Q1450" s="19" t="s">
        <v>1486</v>
      </c>
      <c r="R1450" s="22" t="s">
        <v>36</v>
      </c>
      <c r="S1450" s="19" t="s">
        <v>29</v>
      </c>
      <c r="T1450" s="19" t="s">
        <v>30</v>
      </c>
      <c r="U1450" s="31" t="s">
        <v>31</v>
      </c>
      <c r="V1450" s="41" t="n">
        <v>43689</v>
      </c>
      <c r="W1450" s="34" t="s">
        <v>2016</v>
      </c>
      <c r="X1450" s="34"/>
    </row>
    <row r="1451" s="32" customFormat="true" ht="13.8" hidden="false" customHeight="false" outlineLevel="0" collapsed="false">
      <c r="A1451" s="34"/>
      <c r="B1451" s="19" t="n">
        <v>4304</v>
      </c>
      <c r="C1451" s="20" t="n">
        <v>43448</v>
      </c>
      <c r="D1451" s="38" t="s">
        <v>22</v>
      </c>
      <c r="E1451" s="41" t="s">
        <v>375</v>
      </c>
      <c r="F1451" s="34" t="s">
        <v>544</v>
      </c>
      <c r="G1451" s="19" t="s">
        <v>2017</v>
      </c>
      <c r="H1451" s="19"/>
      <c r="I1451" s="19" t="n">
        <v>4</v>
      </c>
      <c r="J1451" s="25" t="n">
        <v>69.03</v>
      </c>
      <c r="K1451" s="39" t="n">
        <v>745000</v>
      </c>
      <c r="L1451" s="39" t="n">
        <v>10792.4090974938</v>
      </c>
      <c r="M1451" s="18"/>
      <c r="N1451" s="40"/>
      <c r="O1451" s="39" t="n">
        <v>745000</v>
      </c>
      <c r="P1451" s="39" t="n">
        <v>10792.4090974938</v>
      </c>
      <c r="Q1451" s="19" t="s">
        <v>1982</v>
      </c>
      <c r="R1451" s="22" t="s">
        <v>26</v>
      </c>
      <c r="S1451" s="19" t="s">
        <v>29</v>
      </c>
      <c r="T1451" s="19" t="s">
        <v>30</v>
      </c>
      <c r="U1451" s="31" t="s">
        <v>31</v>
      </c>
      <c r="V1451" s="41" t="n">
        <v>43689</v>
      </c>
      <c r="W1451" s="34" t="s">
        <v>2018</v>
      </c>
      <c r="X1451" s="18"/>
    </row>
    <row r="1452" s="32" customFormat="true" ht="13.8" hidden="false" customHeight="false" outlineLevel="0" collapsed="false">
      <c r="A1452" s="34"/>
      <c r="B1452" s="19" t="n">
        <v>293</v>
      </c>
      <c r="C1452" s="20" t="n">
        <v>43448</v>
      </c>
      <c r="D1452" s="38" t="s">
        <v>22</v>
      </c>
      <c r="E1452" s="22" t="s">
        <v>75</v>
      </c>
      <c r="F1452" s="34" t="s">
        <v>2019</v>
      </c>
      <c r="G1452" s="19" t="n">
        <v>2</v>
      </c>
      <c r="H1452" s="19" t="n">
        <v>27</v>
      </c>
      <c r="I1452" s="19" t="n">
        <v>2</v>
      </c>
      <c r="J1452" s="19" t="n">
        <f aca="false">49.59-2.89</f>
        <v>46.7</v>
      </c>
      <c r="K1452" s="39" t="n">
        <v>380000</v>
      </c>
      <c r="L1452" s="39" t="n">
        <f aca="false">K1452/J1452</f>
        <v>8137.04496788009</v>
      </c>
      <c r="M1452" s="34" t="s">
        <v>2020</v>
      </c>
      <c r="N1452" s="40"/>
      <c r="O1452" s="30" t="n">
        <f aca="false">K1452+N1452</f>
        <v>380000</v>
      </c>
      <c r="P1452" s="39" t="n">
        <f aca="false">O1452/J1452</f>
        <v>8137.04496788009</v>
      </c>
      <c r="Q1452" s="19" t="s">
        <v>2021</v>
      </c>
      <c r="R1452" s="22" t="s">
        <v>36</v>
      </c>
      <c r="S1452" s="19" t="s">
        <v>29</v>
      </c>
      <c r="T1452" s="19" t="s">
        <v>30</v>
      </c>
      <c r="U1452" s="31" t="s">
        <v>31</v>
      </c>
      <c r="V1452" s="41" t="n">
        <v>43690</v>
      </c>
      <c r="W1452" s="34" t="s">
        <v>2022</v>
      </c>
      <c r="X1452" s="18"/>
    </row>
    <row r="1453" s="32" customFormat="true" ht="13.8" hidden="false" customHeight="false" outlineLevel="0" collapsed="false">
      <c r="A1453" s="34"/>
      <c r="B1453" s="19" t="n">
        <v>9259</v>
      </c>
      <c r="C1453" s="20" t="n">
        <v>43451</v>
      </c>
      <c r="D1453" s="38" t="s">
        <v>22</v>
      </c>
      <c r="E1453" s="22" t="s">
        <v>129</v>
      </c>
      <c r="F1453" s="34" t="s">
        <v>130</v>
      </c>
      <c r="G1453" s="19" t="n">
        <v>4</v>
      </c>
      <c r="H1453" s="19" t="n">
        <v>82</v>
      </c>
      <c r="I1453" s="19" t="n">
        <v>9</v>
      </c>
      <c r="J1453" s="19" t="n">
        <v>106.97</v>
      </c>
      <c r="K1453" s="39" t="n">
        <v>940000</v>
      </c>
      <c r="L1453" s="39" t="n">
        <f aca="false">K1453/J1453</f>
        <v>8787.51051696737</v>
      </c>
      <c r="M1453" s="34" t="s">
        <v>2023</v>
      </c>
      <c r="N1453" s="40"/>
      <c r="O1453" s="30" t="n">
        <f aca="false">K1453+N1453</f>
        <v>940000</v>
      </c>
      <c r="P1453" s="39" t="n">
        <f aca="false">O1453/J1453</f>
        <v>8787.51051696737</v>
      </c>
      <c r="Q1453" s="19" t="s">
        <v>1440</v>
      </c>
      <c r="R1453" s="22" t="s">
        <v>49</v>
      </c>
      <c r="S1453" s="19" t="s">
        <v>29</v>
      </c>
      <c r="T1453" s="19" t="s">
        <v>30</v>
      </c>
      <c r="U1453" s="19" t="s">
        <v>31</v>
      </c>
      <c r="V1453" s="41" t="n">
        <v>43691</v>
      </c>
      <c r="W1453" s="34" t="s">
        <v>2024</v>
      </c>
      <c r="X1453" s="18"/>
    </row>
    <row r="1454" customFormat="false" ht="13.8" hidden="false" customHeight="false" outlineLevel="0" collapsed="false">
      <c r="A1454" s="34"/>
      <c r="B1454" s="19" t="n">
        <v>3212</v>
      </c>
      <c r="C1454" s="20" t="n">
        <v>43451</v>
      </c>
      <c r="D1454" s="38" t="s">
        <v>22</v>
      </c>
      <c r="E1454" s="22" t="s">
        <v>80</v>
      </c>
      <c r="F1454" s="34" t="s">
        <v>162</v>
      </c>
      <c r="G1454" s="19" t="n">
        <v>2</v>
      </c>
      <c r="H1454" s="19" t="n">
        <v>68</v>
      </c>
      <c r="I1454" s="19" t="n">
        <v>6</v>
      </c>
      <c r="J1454" s="19" t="n">
        <v>111.7</v>
      </c>
      <c r="K1454" s="39" t="n">
        <v>1950000</v>
      </c>
      <c r="L1454" s="39" t="n">
        <f aca="false">K1454/J1454</f>
        <v>17457.4753804834</v>
      </c>
      <c r="M1454" s="34" t="s">
        <v>2025</v>
      </c>
      <c r="N1454" s="40" t="n">
        <v>50000</v>
      </c>
      <c r="O1454" s="30" t="n">
        <f aca="false">K1454+N1454</f>
        <v>2000000</v>
      </c>
      <c r="P1454" s="39" t="n">
        <f aca="false">O1454/J1454</f>
        <v>17905.102954342</v>
      </c>
      <c r="Q1454" s="19" t="s">
        <v>2026</v>
      </c>
      <c r="R1454" s="22" t="s">
        <v>49</v>
      </c>
      <c r="S1454" s="19" t="s">
        <v>29</v>
      </c>
      <c r="T1454" s="19" t="s">
        <v>30</v>
      </c>
      <c r="U1454" s="19" t="s">
        <v>31</v>
      </c>
      <c r="V1454" s="41" t="n">
        <v>43691</v>
      </c>
      <c r="W1454" s="34" t="s">
        <v>2027</v>
      </c>
      <c r="X1454" s="18"/>
    </row>
    <row r="1455" s="32" customFormat="true" ht="13.8" hidden="false" customHeight="false" outlineLevel="0" collapsed="false">
      <c r="A1455" s="34"/>
      <c r="B1455" s="19" t="n">
        <v>14055</v>
      </c>
      <c r="C1455" s="20" t="n">
        <v>43451</v>
      </c>
      <c r="D1455" s="38" t="s">
        <v>22</v>
      </c>
      <c r="E1455" s="22" t="s">
        <v>276</v>
      </c>
      <c r="F1455" s="34" t="s">
        <v>38</v>
      </c>
      <c r="G1455" s="19" t="n">
        <v>32</v>
      </c>
      <c r="H1455" s="19" t="n">
        <v>31</v>
      </c>
      <c r="I1455" s="19" t="n">
        <v>6</v>
      </c>
      <c r="J1455" s="19" t="n">
        <v>45.1</v>
      </c>
      <c r="K1455" s="39" t="n">
        <v>460000</v>
      </c>
      <c r="L1455" s="39" t="n">
        <f aca="false">K1455/J1455</f>
        <v>10199.55654102</v>
      </c>
      <c r="M1455" s="34"/>
      <c r="N1455" s="40"/>
      <c r="O1455" s="30" t="n">
        <f aca="false">K1455+N1455</f>
        <v>460000</v>
      </c>
      <c r="P1455" s="39" t="n">
        <f aca="false">O1455/J1455</f>
        <v>10199.55654102</v>
      </c>
      <c r="Q1455" s="19" t="s">
        <v>1486</v>
      </c>
      <c r="R1455" s="22" t="s">
        <v>36</v>
      </c>
      <c r="S1455" s="19" t="s">
        <v>29</v>
      </c>
      <c r="T1455" s="19" t="s">
        <v>30</v>
      </c>
      <c r="U1455" s="19" t="s">
        <v>31</v>
      </c>
      <c r="V1455" s="41" t="n">
        <v>43696</v>
      </c>
      <c r="W1455" s="34" t="s">
        <v>2028</v>
      </c>
      <c r="X1455" s="34"/>
    </row>
    <row r="1456" s="32" customFormat="true" ht="13.8" hidden="false" customHeight="false" outlineLevel="0" collapsed="false">
      <c r="A1456" s="34"/>
      <c r="B1456" s="19" t="n">
        <v>20480</v>
      </c>
      <c r="C1456" s="20" t="n">
        <v>43451</v>
      </c>
      <c r="D1456" s="38" t="s">
        <v>22</v>
      </c>
      <c r="E1456" s="22" t="s">
        <v>1617</v>
      </c>
      <c r="F1456" s="34" t="s">
        <v>1819</v>
      </c>
      <c r="G1456" s="19" t="s">
        <v>830</v>
      </c>
      <c r="H1456" s="19" t="n">
        <v>13</v>
      </c>
      <c r="I1456" s="19" t="n">
        <v>2</v>
      </c>
      <c r="J1456" s="19" t="n">
        <v>88.18</v>
      </c>
      <c r="K1456" s="39" t="n">
        <v>1050000</v>
      </c>
      <c r="L1456" s="39" t="n">
        <f aca="false">K1456/J1456</f>
        <v>11907.462009526</v>
      </c>
      <c r="M1456" s="34" t="s">
        <v>2029</v>
      </c>
      <c r="N1456" s="40"/>
      <c r="O1456" s="30" t="n">
        <f aca="false">K1456+N1456</f>
        <v>1050000</v>
      </c>
      <c r="P1456" s="39" t="n">
        <f aca="false">O1456/J1456</f>
        <v>11907.462009526</v>
      </c>
      <c r="Q1456" s="19" t="s">
        <v>2030</v>
      </c>
      <c r="R1456" s="22" t="s">
        <v>36</v>
      </c>
      <c r="S1456" s="19" t="s">
        <v>29</v>
      </c>
      <c r="T1456" s="19" t="s">
        <v>30</v>
      </c>
      <c r="U1456" s="31" t="s">
        <v>31</v>
      </c>
      <c r="V1456" s="41" t="n">
        <v>43690</v>
      </c>
      <c r="W1456" s="34" t="s">
        <v>2031</v>
      </c>
      <c r="X1456" s="18"/>
    </row>
    <row r="1457" s="32" customFormat="true" ht="13.8" hidden="false" customHeight="false" outlineLevel="0" collapsed="false">
      <c r="A1457" s="34"/>
      <c r="B1457" s="19" t="n">
        <v>16492</v>
      </c>
      <c r="C1457" s="20" t="n">
        <v>43451</v>
      </c>
      <c r="D1457" s="38" t="s">
        <v>22</v>
      </c>
      <c r="E1457" s="22" t="s">
        <v>399</v>
      </c>
      <c r="F1457" s="34" t="s">
        <v>549</v>
      </c>
      <c r="G1457" s="19" t="n">
        <v>5</v>
      </c>
      <c r="H1457" s="19" t="n">
        <v>73</v>
      </c>
      <c r="I1457" s="19" t="n">
        <v>9</v>
      </c>
      <c r="J1457" s="19" t="n">
        <v>68.19</v>
      </c>
      <c r="K1457" s="39" t="n">
        <v>700000</v>
      </c>
      <c r="L1457" s="39" t="n">
        <f aca="false">K1457/J1457</f>
        <v>10265.4348144889</v>
      </c>
      <c r="M1457" s="34" t="s">
        <v>987</v>
      </c>
      <c r="N1457" s="40" t="n">
        <v>50000</v>
      </c>
      <c r="O1457" s="30" t="n">
        <f aca="false">K1457+N1457</f>
        <v>750000</v>
      </c>
      <c r="P1457" s="39" t="n">
        <f aca="false">O1457/J1457</f>
        <v>10998.680158381</v>
      </c>
      <c r="Q1457" s="19" t="s">
        <v>1471</v>
      </c>
      <c r="R1457" s="22" t="s">
        <v>26</v>
      </c>
      <c r="S1457" s="19" t="s">
        <v>29</v>
      </c>
      <c r="T1457" s="19" t="s">
        <v>30</v>
      </c>
      <c r="U1457" s="31" t="s">
        <v>31</v>
      </c>
      <c r="V1457" s="41" t="n">
        <v>43691</v>
      </c>
      <c r="W1457" s="34" t="s">
        <v>2032</v>
      </c>
      <c r="X1457" s="18"/>
    </row>
    <row r="1458" customFormat="false" ht="13.8" hidden="false" customHeight="false" outlineLevel="0" collapsed="false">
      <c r="A1458" s="34"/>
      <c r="B1458" s="19" t="n">
        <v>4574</v>
      </c>
      <c r="C1458" s="20" t="n">
        <v>43452</v>
      </c>
      <c r="D1458" s="38" t="s">
        <v>22</v>
      </c>
      <c r="E1458" s="22" t="s">
        <v>144</v>
      </c>
      <c r="F1458" s="34" t="s">
        <v>854</v>
      </c>
      <c r="G1458" s="19" t="n">
        <v>13</v>
      </c>
      <c r="H1458" s="19" t="n">
        <v>20</v>
      </c>
      <c r="I1458" s="19" t="n">
        <v>3</v>
      </c>
      <c r="J1458" s="19" t="n">
        <v>37.2</v>
      </c>
      <c r="K1458" s="39" t="n">
        <v>368000</v>
      </c>
      <c r="L1458" s="39" t="n">
        <f aca="false">K1458/J1458</f>
        <v>9892.47311827957</v>
      </c>
      <c r="M1458" s="34"/>
      <c r="N1458" s="40"/>
      <c r="O1458" s="30" t="n">
        <f aca="false">K1458+N1458</f>
        <v>368000</v>
      </c>
      <c r="P1458" s="39" t="n">
        <f aca="false">O1458/J1458</f>
        <v>9892.47311827957</v>
      </c>
      <c r="Q1458" s="19" t="s">
        <v>1320</v>
      </c>
      <c r="R1458" s="22" t="s">
        <v>27</v>
      </c>
      <c r="S1458" s="19" t="s">
        <v>29</v>
      </c>
      <c r="T1458" s="19" t="s">
        <v>30</v>
      </c>
      <c r="U1458" s="31" t="s">
        <v>31</v>
      </c>
      <c r="V1458" s="41" t="n">
        <v>43690</v>
      </c>
      <c r="W1458" s="34" t="s">
        <v>2033</v>
      </c>
      <c r="X1458" s="18"/>
    </row>
    <row r="1459" customFormat="false" ht="13.8" hidden="false" customHeight="false" outlineLevel="0" collapsed="false">
      <c r="A1459" s="34"/>
      <c r="B1459" s="19" t="n">
        <v>14088</v>
      </c>
      <c r="C1459" s="20" t="n">
        <v>43452</v>
      </c>
      <c r="D1459" s="38" t="s">
        <v>22</v>
      </c>
      <c r="E1459" s="22" t="s">
        <v>118</v>
      </c>
      <c r="F1459" s="34" t="s">
        <v>1125</v>
      </c>
      <c r="G1459" s="19" t="n">
        <v>4</v>
      </c>
      <c r="H1459" s="19" t="n">
        <v>3</v>
      </c>
      <c r="I1459" s="19" t="n">
        <v>2</v>
      </c>
      <c r="J1459" s="19" t="n">
        <v>42.69</v>
      </c>
      <c r="K1459" s="39" t="n">
        <v>369000</v>
      </c>
      <c r="L1459" s="39" t="n">
        <f aca="false">K1459/J1459</f>
        <v>8643.71047083626</v>
      </c>
      <c r="M1459" s="34" t="s">
        <v>2034</v>
      </c>
      <c r="N1459" s="40" t="n">
        <v>20000</v>
      </c>
      <c r="O1459" s="30" t="n">
        <f aca="false">K1459+N1459</f>
        <v>389000</v>
      </c>
      <c r="P1459" s="39" t="n">
        <f aca="false">O1459/J1459</f>
        <v>9112.20426329351</v>
      </c>
      <c r="Q1459" s="19" t="s">
        <v>2035</v>
      </c>
      <c r="R1459" s="22" t="s">
        <v>27</v>
      </c>
      <c r="S1459" s="19" t="s">
        <v>29</v>
      </c>
      <c r="T1459" s="19" t="s">
        <v>30</v>
      </c>
      <c r="U1459" s="19" t="s">
        <v>31</v>
      </c>
      <c r="V1459" s="41" t="n">
        <v>43696</v>
      </c>
      <c r="W1459" s="34" t="s">
        <v>2036</v>
      </c>
      <c r="X1459" s="18"/>
    </row>
    <row r="1460" customFormat="false" ht="13.8" hidden="false" customHeight="false" outlineLevel="0" collapsed="false">
      <c r="A1460" s="34"/>
      <c r="B1460" s="19" t="n">
        <v>2743</v>
      </c>
      <c r="C1460" s="20" t="n">
        <v>43452</v>
      </c>
      <c r="D1460" s="38" t="s">
        <v>22</v>
      </c>
      <c r="E1460" s="22" t="s">
        <v>289</v>
      </c>
      <c r="F1460" s="34" t="s">
        <v>290</v>
      </c>
      <c r="G1460" s="19" t="n">
        <v>17</v>
      </c>
      <c r="H1460" s="19" t="n">
        <v>52</v>
      </c>
      <c r="I1460" s="19" t="n">
        <v>7</v>
      </c>
      <c r="J1460" s="19" t="n">
        <f aca="false">195.6-1.2</f>
        <v>194.4</v>
      </c>
      <c r="K1460" s="39" t="n">
        <v>3880000</v>
      </c>
      <c r="L1460" s="39" t="n">
        <f aca="false">K1460/J1460</f>
        <v>19958.8477366255</v>
      </c>
      <c r="M1460" s="34" t="s">
        <v>2037</v>
      </c>
      <c r="N1460" s="40" t="n">
        <v>120000</v>
      </c>
      <c r="O1460" s="30" t="n">
        <f aca="false">K1460+N1460</f>
        <v>4000000</v>
      </c>
      <c r="P1460" s="39" t="n">
        <f aca="false">O1460/J1460</f>
        <v>20576.1316872428</v>
      </c>
      <c r="Q1460" s="19" t="s">
        <v>2038</v>
      </c>
      <c r="R1460" s="22" t="s">
        <v>49</v>
      </c>
      <c r="S1460" s="19" t="s">
        <v>29</v>
      </c>
      <c r="T1460" s="19" t="s">
        <v>30</v>
      </c>
      <c r="U1460" s="19" t="s">
        <v>31</v>
      </c>
      <c r="V1460" s="41" t="n">
        <v>43326</v>
      </c>
      <c r="W1460" s="34" t="s">
        <v>2039</v>
      </c>
      <c r="X1460" s="18"/>
    </row>
    <row r="1461" customFormat="false" ht="13.8" hidden="false" customHeight="false" outlineLevel="0" collapsed="false">
      <c r="A1461" s="34"/>
      <c r="B1461" s="19" t="n">
        <v>559</v>
      </c>
      <c r="C1461" s="20" t="n">
        <v>43452</v>
      </c>
      <c r="D1461" s="38" t="s">
        <v>22</v>
      </c>
      <c r="E1461" s="22" t="s">
        <v>37</v>
      </c>
      <c r="F1461" s="34" t="s">
        <v>152</v>
      </c>
      <c r="G1461" s="19" t="n">
        <v>41</v>
      </c>
      <c r="H1461" s="19" t="n">
        <v>4</v>
      </c>
      <c r="I1461" s="19" t="n">
        <v>1</v>
      </c>
      <c r="J1461" s="19" t="n">
        <v>26.49</v>
      </c>
      <c r="K1461" s="39" t="n">
        <v>290000</v>
      </c>
      <c r="L1461" s="39" t="n">
        <f aca="false">K1461/J1461</f>
        <v>10947.5273688184</v>
      </c>
      <c r="M1461" s="34"/>
      <c r="N1461" s="40"/>
      <c r="O1461" s="30" t="n">
        <f aca="false">K1461+N1461</f>
        <v>290000</v>
      </c>
      <c r="P1461" s="39" t="n">
        <f aca="false">O1461/J1461</f>
        <v>10947.5273688184</v>
      </c>
      <c r="Q1461" s="19" t="s">
        <v>1486</v>
      </c>
      <c r="R1461" s="22" t="s">
        <v>36</v>
      </c>
      <c r="S1461" s="19" t="s">
        <v>29</v>
      </c>
      <c r="T1461" s="19" t="s">
        <v>30</v>
      </c>
      <c r="U1461" s="31" t="s">
        <v>31</v>
      </c>
      <c r="V1461" s="41" t="n">
        <v>43690</v>
      </c>
      <c r="W1461" s="34" t="s">
        <v>2040</v>
      </c>
      <c r="X1461" s="18"/>
    </row>
    <row r="1462" s="32" customFormat="true" ht="13.8" hidden="false" customHeight="false" outlineLevel="0" collapsed="false">
      <c r="A1462" s="34"/>
      <c r="B1462" s="19" t="s">
        <v>887</v>
      </c>
      <c r="C1462" s="20" t="n">
        <v>43452</v>
      </c>
      <c r="D1462" s="38" t="s">
        <v>22</v>
      </c>
      <c r="E1462" s="22" t="s">
        <v>934</v>
      </c>
      <c r="F1462" s="45" t="s">
        <v>46</v>
      </c>
      <c r="G1462" s="19" t="n">
        <v>111</v>
      </c>
      <c r="H1462" s="19"/>
      <c r="I1462" s="19" t="n">
        <v>7</v>
      </c>
      <c r="J1462" s="25" t="n">
        <v>36.3</v>
      </c>
      <c r="K1462" s="39" t="n">
        <v>308000</v>
      </c>
      <c r="L1462" s="39" t="n">
        <f aca="false">K1462/J1462</f>
        <v>8484.84848484849</v>
      </c>
      <c r="M1462" s="34"/>
      <c r="N1462" s="40"/>
      <c r="O1462" s="30" t="n">
        <f aca="false">K1462+N1462</f>
        <v>308000</v>
      </c>
      <c r="P1462" s="39" t="n">
        <f aca="false">O1462/J1462</f>
        <v>8484.84848484849</v>
      </c>
      <c r="Q1462" s="19" t="s">
        <v>889</v>
      </c>
      <c r="R1462" s="19" t="n">
        <v>3</v>
      </c>
      <c r="S1462" s="19" t="s">
        <v>1141</v>
      </c>
      <c r="T1462" s="19"/>
      <c r="U1462" s="19" t="s">
        <v>31</v>
      </c>
      <c r="V1462" s="41" t="n">
        <v>43727</v>
      </c>
      <c r="W1462" s="18"/>
      <c r="X1462" s="18"/>
    </row>
    <row r="1463" customFormat="false" ht="13.8" hidden="false" customHeight="false" outlineLevel="0" collapsed="false">
      <c r="A1463" s="34"/>
      <c r="B1463" s="19" t="n">
        <v>975</v>
      </c>
      <c r="C1463" s="20" t="n">
        <v>43452</v>
      </c>
      <c r="D1463" s="38" t="s">
        <v>22</v>
      </c>
      <c r="E1463" s="22" t="s">
        <v>183</v>
      </c>
      <c r="F1463" s="34" t="s">
        <v>46</v>
      </c>
      <c r="G1463" s="19" t="s">
        <v>608</v>
      </c>
      <c r="H1463" s="19" t="n">
        <v>7</v>
      </c>
      <c r="I1463" s="19" t="n">
        <v>2</v>
      </c>
      <c r="J1463" s="19" t="n">
        <v>58.91</v>
      </c>
      <c r="K1463" s="39" t="n">
        <v>570000</v>
      </c>
      <c r="L1463" s="39" t="n">
        <f aca="false">K1463/J1463</f>
        <v>9675.77660838567</v>
      </c>
      <c r="M1463" s="34"/>
      <c r="N1463" s="40"/>
      <c r="O1463" s="30" t="n">
        <f aca="false">K1463+N1463</f>
        <v>570000</v>
      </c>
      <c r="P1463" s="39" t="n">
        <f aca="false">O1463/J1463</f>
        <v>9675.77660838567</v>
      </c>
      <c r="Q1463" s="19" t="s">
        <v>1486</v>
      </c>
      <c r="R1463" s="22" t="s">
        <v>36</v>
      </c>
      <c r="S1463" s="19" t="s">
        <v>29</v>
      </c>
      <c r="T1463" s="19" t="s">
        <v>30</v>
      </c>
      <c r="U1463" s="31" t="s">
        <v>31</v>
      </c>
      <c r="V1463" s="41" t="n">
        <v>43690</v>
      </c>
      <c r="W1463" s="34" t="s">
        <v>2041</v>
      </c>
      <c r="X1463" s="18"/>
    </row>
    <row r="1464" customFormat="false" ht="13.8" hidden="false" customHeight="false" outlineLevel="0" collapsed="false">
      <c r="A1464" s="34"/>
      <c r="B1464" s="19" t="n">
        <v>9641</v>
      </c>
      <c r="C1464" s="20" t="n">
        <v>43452</v>
      </c>
      <c r="D1464" s="38" t="s">
        <v>22</v>
      </c>
      <c r="E1464" s="22" t="s">
        <v>369</v>
      </c>
      <c r="F1464" s="34" t="s">
        <v>127</v>
      </c>
      <c r="G1464" s="19" t="n">
        <v>14</v>
      </c>
      <c r="H1464" s="19" t="n">
        <v>13</v>
      </c>
      <c r="I1464" s="19" t="n">
        <v>5</v>
      </c>
      <c r="J1464" s="19" t="n">
        <v>103.8</v>
      </c>
      <c r="K1464" s="39" t="n">
        <v>1030000</v>
      </c>
      <c r="L1464" s="39" t="n">
        <f aca="false">K1464/J1464</f>
        <v>9922.92870905588</v>
      </c>
      <c r="M1464" s="34" t="s">
        <v>2042</v>
      </c>
      <c r="N1464" s="40"/>
      <c r="O1464" s="30" t="n">
        <f aca="false">K1464+N1464</f>
        <v>1030000</v>
      </c>
      <c r="P1464" s="39" t="n">
        <f aca="false">O1464/J1464</f>
        <v>9922.92870905588</v>
      </c>
      <c r="Q1464" s="19" t="s">
        <v>2043</v>
      </c>
      <c r="R1464" s="22" t="s">
        <v>49</v>
      </c>
      <c r="S1464" s="19" t="s">
        <v>29</v>
      </c>
      <c r="T1464" s="19" t="s">
        <v>30</v>
      </c>
      <c r="U1464" s="31" t="s">
        <v>31</v>
      </c>
      <c r="V1464" s="41" t="n">
        <v>43689</v>
      </c>
      <c r="W1464" s="34" t="s">
        <v>2044</v>
      </c>
      <c r="X1464" s="18"/>
    </row>
    <row r="1465" customFormat="false" ht="13.8" hidden="false" customHeight="false" outlineLevel="0" collapsed="false">
      <c r="A1465" s="34"/>
      <c r="B1465" s="19" t="n">
        <v>2817</v>
      </c>
      <c r="C1465" s="20" t="n">
        <v>43453</v>
      </c>
      <c r="D1465" s="38" t="s">
        <v>22</v>
      </c>
      <c r="E1465" s="22" t="s">
        <v>369</v>
      </c>
      <c r="F1465" s="34" t="s">
        <v>1041</v>
      </c>
      <c r="G1465" s="19" t="n">
        <v>7</v>
      </c>
      <c r="H1465" s="19" t="n">
        <v>1</v>
      </c>
      <c r="I1465" s="19" t="n">
        <v>1</v>
      </c>
      <c r="J1465" s="19" t="n">
        <v>54.07</v>
      </c>
      <c r="K1465" s="39" t="n">
        <f aca="false">265000+265000</f>
        <v>530000</v>
      </c>
      <c r="L1465" s="39" t="n">
        <f aca="false">K1465/J1465</f>
        <v>9802.10837802848</v>
      </c>
      <c r="M1465" s="34"/>
      <c r="N1465" s="40"/>
      <c r="O1465" s="30" t="n">
        <f aca="false">K1465+N1465</f>
        <v>530000</v>
      </c>
      <c r="P1465" s="39" t="n">
        <f aca="false">O1465/J1465</f>
        <v>9802.10837802848</v>
      </c>
      <c r="Q1465" s="19" t="s">
        <v>1486</v>
      </c>
      <c r="R1465" s="22" t="s">
        <v>36</v>
      </c>
      <c r="S1465" s="19" t="s">
        <v>29</v>
      </c>
      <c r="T1465" s="19" t="s">
        <v>30</v>
      </c>
      <c r="U1465" s="31" t="s">
        <v>31</v>
      </c>
      <c r="V1465" s="41" t="n">
        <v>43691</v>
      </c>
      <c r="W1465" s="34" t="s">
        <v>2045</v>
      </c>
      <c r="X1465" s="18"/>
    </row>
    <row r="1466" customFormat="false" ht="13.8" hidden="false" customHeight="false" outlineLevel="0" collapsed="false">
      <c r="A1466" s="34"/>
      <c r="B1466" s="19" t="n">
        <v>14145</v>
      </c>
      <c r="C1466" s="20" t="n">
        <v>43453</v>
      </c>
      <c r="D1466" s="38" t="s">
        <v>22</v>
      </c>
      <c r="E1466" s="22" t="s">
        <v>278</v>
      </c>
      <c r="F1466" s="34" t="s">
        <v>688</v>
      </c>
      <c r="G1466" s="19" t="s">
        <v>274</v>
      </c>
      <c r="H1466" s="19" t="n">
        <v>27</v>
      </c>
      <c r="I1466" s="19" t="n">
        <v>5</v>
      </c>
      <c r="J1466" s="19" t="n">
        <v>35.37</v>
      </c>
      <c r="K1466" s="39" t="n">
        <v>280000</v>
      </c>
      <c r="L1466" s="39" t="n">
        <f aca="false">K1466/J1466</f>
        <v>7916.31325982471</v>
      </c>
      <c r="M1466" s="34"/>
      <c r="N1466" s="40"/>
      <c r="O1466" s="30" t="n">
        <f aca="false">K1466+N1466</f>
        <v>280000</v>
      </c>
      <c r="P1466" s="39" t="n">
        <f aca="false">O1466/J1466</f>
        <v>7916.31325982471</v>
      </c>
      <c r="Q1466" s="19" t="s">
        <v>297</v>
      </c>
      <c r="R1466" s="22" t="s">
        <v>36</v>
      </c>
      <c r="S1466" s="19" t="s">
        <v>29</v>
      </c>
      <c r="T1466" s="19" t="s">
        <v>30</v>
      </c>
      <c r="U1466" s="19" t="s">
        <v>31</v>
      </c>
      <c r="V1466" s="41" t="n">
        <v>43693</v>
      </c>
      <c r="W1466" s="34" t="s">
        <v>2046</v>
      </c>
      <c r="X1466" s="18"/>
    </row>
    <row r="1467" customFormat="false" ht="13.8" hidden="false" customHeight="false" outlineLevel="0" collapsed="false">
      <c r="A1467" s="34"/>
      <c r="B1467" s="19" t="n">
        <v>5049</v>
      </c>
      <c r="C1467" s="20" t="n">
        <v>43453</v>
      </c>
      <c r="D1467" s="38" t="s">
        <v>22</v>
      </c>
      <c r="E1467" s="22" t="s">
        <v>302</v>
      </c>
      <c r="F1467" s="34" t="s">
        <v>485</v>
      </c>
      <c r="G1467" s="19" t="n">
        <v>27</v>
      </c>
      <c r="H1467" s="19" t="n">
        <v>22</v>
      </c>
      <c r="I1467" s="19" t="n">
        <v>5</v>
      </c>
      <c r="J1467" s="19" t="n">
        <v>27.41</v>
      </c>
      <c r="K1467" s="39" t="n">
        <v>360000</v>
      </c>
      <c r="L1467" s="39" t="n">
        <f aca="false">K1467/J1467</f>
        <v>13133.892739876</v>
      </c>
      <c r="M1467" s="34"/>
      <c r="N1467" s="40"/>
      <c r="O1467" s="30" t="n">
        <f aca="false">K1467+N1467</f>
        <v>360000</v>
      </c>
      <c r="P1467" s="39" t="n">
        <f aca="false">O1467/J1467</f>
        <v>13133.892739876</v>
      </c>
      <c r="Q1467" s="19" t="s">
        <v>1320</v>
      </c>
      <c r="R1467" s="22" t="s">
        <v>27</v>
      </c>
      <c r="S1467" s="19" t="s">
        <v>29</v>
      </c>
      <c r="T1467" s="19" t="s">
        <v>30</v>
      </c>
      <c r="U1467" s="31" t="s">
        <v>31</v>
      </c>
      <c r="V1467" s="41" t="s">
        <v>2047</v>
      </c>
      <c r="W1467" s="34" t="s">
        <v>1790</v>
      </c>
      <c r="X1467" s="34" t="s">
        <v>2048</v>
      </c>
    </row>
    <row r="1468" customFormat="false" ht="13.8" hidden="false" customHeight="false" outlineLevel="0" collapsed="false">
      <c r="A1468" s="34"/>
      <c r="B1468" s="19" t="n">
        <v>4515</v>
      </c>
      <c r="C1468" s="20" t="n">
        <v>43453</v>
      </c>
      <c r="D1468" s="38" t="s">
        <v>22</v>
      </c>
      <c r="E1468" s="22" t="s">
        <v>350</v>
      </c>
      <c r="F1468" s="34" t="s">
        <v>351</v>
      </c>
      <c r="G1468" s="19" t="s">
        <v>283</v>
      </c>
      <c r="H1468" s="19" t="n">
        <v>100</v>
      </c>
      <c r="I1468" s="19" t="n">
        <v>7</v>
      </c>
      <c r="J1468" s="19" t="n">
        <v>66.42</v>
      </c>
      <c r="K1468" s="39" t="n">
        <v>670000</v>
      </c>
      <c r="L1468" s="39" t="n">
        <f aca="false">K1468/J1468</f>
        <v>10087.3230954532</v>
      </c>
      <c r="M1468" s="34" t="s">
        <v>2049</v>
      </c>
      <c r="N1468" s="40" t="n">
        <v>70000</v>
      </c>
      <c r="O1468" s="30" t="n">
        <f aca="false">K1468+N1468</f>
        <v>740000</v>
      </c>
      <c r="P1468" s="39" t="n">
        <f aca="false">O1468/J1468</f>
        <v>11141.2225233363</v>
      </c>
      <c r="Q1468" s="19" t="s">
        <v>2050</v>
      </c>
      <c r="R1468" s="22" t="s">
        <v>26</v>
      </c>
      <c r="S1468" s="19" t="s">
        <v>29</v>
      </c>
      <c r="T1468" s="19" t="s">
        <v>30</v>
      </c>
      <c r="U1468" s="19" t="s">
        <v>31</v>
      </c>
      <c r="V1468" s="41" t="n">
        <v>43691</v>
      </c>
      <c r="W1468" s="34" t="s">
        <v>2051</v>
      </c>
      <c r="X1468" s="18"/>
    </row>
    <row r="1469" customFormat="false" ht="13.8" hidden="false" customHeight="false" outlineLevel="0" collapsed="false">
      <c r="A1469" s="34"/>
      <c r="B1469" s="19" t="n">
        <v>3355</v>
      </c>
      <c r="C1469" s="20" t="n">
        <v>43453</v>
      </c>
      <c r="D1469" s="38" t="s">
        <v>22</v>
      </c>
      <c r="E1469" s="22" t="s">
        <v>934</v>
      </c>
      <c r="F1469" s="34" t="s">
        <v>46</v>
      </c>
      <c r="G1469" s="19" t="s">
        <v>2052</v>
      </c>
      <c r="H1469" s="19"/>
      <c r="I1469" s="19" t="n">
        <v>2</v>
      </c>
      <c r="J1469" s="25" t="n">
        <v>85.2</v>
      </c>
      <c r="K1469" s="39" t="n">
        <v>1030000</v>
      </c>
      <c r="L1469" s="39" t="n">
        <v>12089.2018779343</v>
      </c>
      <c r="M1469" s="34" t="s">
        <v>940</v>
      </c>
      <c r="N1469" s="40"/>
      <c r="O1469" s="39" t="n">
        <v>1030000</v>
      </c>
      <c r="P1469" s="39" t="n">
        <v>12089.2018779343</v>
      </c>
      <c r="Q1469" s="19" t="s">
        <v>2053</v>
      </c>
      <c r="R1469" s="22" t="s">
        <v>49</v>
      </c>
      <c r="S1469" s="19" t="s">
        <v>29</v>
      </c>
      <c r="T1469" s="19" t="s">
        <v>30</v>
      </c>
      <c r="U1469" s="31" t="s">
        <v>31</v>
      </c>
      <c r="V1469" s="41" t="n">
        <v>43689</v>
      </c>
      <c r="W1469" s="34" t="s">
        <v>2054</v>
      </c>
      <c r="X1469" s="18"/>
    </row>
    <row r="1470" customFormat="false" ht="13.8" hidden="false" customHeight="false" outlineLevel="0" collapsed="false">
      <c r="A1470" s="34"/>
      <c r="B1470" s="19" t="n">
        <v>11480</v>
      </c>
      <c r="C1470" s="20" t="n">
        <v>43453</v>
      </c>
      <c r="D1470" s="38" t="s">
        <v>22</v>
      </c>
      <c r="E1470" s="22" t="s">
        <v>299</v>
      </c>
      <c r="F1470" s="34" t="s">
        <v>271</v>
      </c>
      <c r="G1470" s="19" t="n">
        <v>29</v>
      </c>
      <c r="H1470" s="19" t="n">
        <v>21</v>
      </c>
      <c r="I1470" s="19" t="n">
        <v>4</v>
      </c>
      <c r="J1470" s="19" t="n">
        <v>48.26</v>
      </c>
      <c r="K1470" s="39" t="n">
        <v>520000</v>
      </c>
      <c r="L1470" s="39" t="n">
        <f aca="false">K1470/J1470</f>
        <v>10774.9689183589</v>
      </c>
      <c r="M1470" s="34" t="s">
        <v>2055</v>
      </c>
      <c r="N1470" s="40"/>
      <c r="O1470" s="30" t="n">
        <f aca="false">K1470+N1470</f>
        <v>520000</v>
      </c>
      <c r="P1470" s="39" t="n">
        <f aca="false">O1470/J1470</f>
        <v>10774.9689183589</v>
      </c>
      <c r="Q1470" s="19" t="s">
        <v>1486</v>
      </c>
      <c r="R1470" s="22" t="s">
        <v>36</v>
      </c>
      <c r="S1470" s="19" t="s">
        <v>29</v>
      </c>
      <c r="T1470" s="19" t="s">
        <v>30</v>
      </c>
      <c r="U1470" s="31" t="s">
        <v>31</v>
      </c>
      <c r="V1470" s="41" t="n">
        <v>43689</v>
      </c>
      <c r="W1470" s="34" t="s">
        <v>2056</v>
      </c>
      <c r="X1470" s="18"/>
    </row>
    <row r="1471" customFormat="false" ht="13.8" hidden="false" customHeight="false" outlineLevel="0" collapsed="false">
      <c r="A1471" s="34"/>
      <c r="B1471" s="19" t="n">
        <v>6204</v>
      </c>
      <c r="C1471" s="20" t="n">
        <v>43453</v>
      </c>
      <c r="D1471" s="38" t="s">
        <v>22</v>
      </c>
      <c r="E1471" s="22" t="s">
        <v>45</v>
      </c>
      <c r="F1471" s="34" t="s">
        <v>303</v>
      </c>
      <c r="G1471" s="19" t="n">
        <v>3</v>
      </c>
      <c r="H1471" s="19" t="n">
        <v>3</v>
      </c>
      <c r="I1471" s="19" t="n">
        <v>1</v>
      </c>
      <c r="J1471" s="19" t="n">
        <v>60.62</v>
      </c>
      <c r="K1471" s="39" t="n">
        <v>585000</v>
      </c>
      <c r="L1471" s="39" t="n">
        <f aca="false">K1471/J1471</f>
        <v>9650.28043549984</v>
      </c>
      <c r="M1471" s="34"/>
      <c r="N1471" s="40"/>
      <c r="O1471" s="30" t="n">
        <f aca="false">K1471+N1471</f>
        <v>585000</v>
      </c>
      <c r="P1471" s="39" t="n">
        <f aca="false">O1471/J1471</f>
        <v>9650.28043549984</v>
      </c>
      <c r="Q1471" s="19" t="s">
        <v>2057</v>
      </c>
      <c r="R1471" s="22" t="s">
        <v>26</v>
      </c>
      <c r="S1471" s="19" t="s">
        <v>29</v>
      </c>
      <c r="T1471" s="19" t="s">
        <v>30</v>
      </c>
      <c r="U1471" s="31" t="s">
        <v>31</v>
      </c>
      <c r="V1471" s="41" t="n">
        <v>43689</v>
      </c>
      <c r="W1471" s="34" t="s">
        <v>2058</v>
      </c>
      <c r="X1471" s="34"/>
    </row>
    <row r="1472" customFormat="false" ht="13.8" hidden="false" customHeight="false" outlineLevel="0" collapsed="false">
      <c r="A1472" s="34"/>
      <c r="B1472" s="19" t="n">
        <v>381</v>
      </c>
      <c r="C1472" s="20" t="n">
        <v>43453</v>
      </c>
      <c r="D1472" s="38" t="s">
        <v>22</v>
      </c>
      <c r="E1472" s="22" t="s">
        <v>308</v>
      </c>
      <c r="F1472" s="34" t="s">
        <v>538</v>
      </c>
      <c r="G1472" s="19" t="n">
        <v>3</v>
      </c>
      <c r="H1472" s="19" t="n">
        <v>17</v>
      </c>
      <c r="I1472" s="19" t="n">
        <v>2</v>
      </c>
      <c r="J1472" s="19" t="n">
        <v>54.12</v>
      </c>
      <c r="K1472" s="39" t="n">
        <v>568000</v>
      </c>
      <c r="L1472" s="39" t="n">
        <f aca="false">K1472/J1472</f>
        <v>10495.1958610495</v>
      </c>
      <c r="M1472" s="34"/>
      <c r="N1472" s="40"/>
      <c r="O1472" s="30" t="n">
        <f aca="false">K1472+N1472</f>
        <v>568000</v>
      </c>
      <c r="P1472" s="39" t="n">
        <f aca="false">O1472/J1472</f>
        <v>10495.1958610495</v>
      </c>
      <c r="Q1472" s="19" t="s">
        <v>2059</v>
      </c>
      <c r="R1472" s="22" t="s">
        <v>26</v>
      </c>
      <c r="S1472" s="19" t="s">
        <v>29</v>
      </c>
      <c r="T1472" s="19" t="s">
        <v>30</v>
      </c>
      <c r="U1472" s="31" t="s">
        <v>31</v>
      </c>
      <c r="V1472" s="41" t="n">
        <v>43690</v>
      </c>
      <c r="W1472" s="34" t="s">
        <v>2060</v>
      </c>
      <c r="X1472" s="34"/>
    </row>
    <row r="1473" customFormat="false" ht="13.8" hidden="false" customHeight="false" outlineLevel="0" collapsed="false">
      <c r="A1473" s="34"/>
      <c r="B1473" s="19" t="n">
        <v>8300</v>
      </c>
      <c r="C1473" s="20" t="n">
        <v>43453</v>
      </c>
      <c r="D1473" s="38" t="s">
        <v>22</v>
      </c>
      <c r="E1473" s="22" t="s">
        <v>299</v>
      </c>
      <c r="F1473" s="34" t="s">
        <v>642</v>
      </c>
      <c r="G1473" s="19" t="n">
        <v>22</v>
      </c>
      <c r="H1473" s="19" t="n">
        <v>6</v>
      </c>
      <c r="I1473" s="19" t="n">
        <v>3</v>
      </c>
      <c r="J1473" s="19" t="n">
        <v>26.38</v>
      </c>
      <c r="K1473" s="39" t="n">
        <v>330000</v>
      </c>
      <c r="L1473" s="39" t="n">
        <f aca="false">K1473/J1473</f>
        <v>12509.4768764215</v>
      </c>
      <c r="M1473" s="34"/>
      <c r="N1473" s="40"/>
      <c r="O1473" s="30" t="n">
        <f aca="false">K1473+N1473</f>
        <v>330000</v>
      </c>
      <c r="P1473" s="39" t="n">
        <f aca="false">O1473/J1473</f>
        <v>12509.4768764215</v>
      </c>
      <c r="Q1473" s="19" t="s">
        <v>1320</v>
      </c>
      <c r="R1473" s="22" t="s">
        <v>27</v>
      </c>
      <c r="S1473" s="19" t="s">
        <v>29</v>
      </c>
      <c r="T1473" s="19" t="s">
        <v>30</v>
      </c>
      <c r="U1473" s="19" t="s">
        <v>31</v>
      </c>
      <c r="V1473" s="41" t="n">
        <v>43693</v>
      </c>
      <c r="W1473" s="34" t="s">
        <v>2061</v>
      </c>
      <c r="X1473" s="18"/>
    </row>
    <row r="1474" customFormat="false" ht="13.8" hidden="false" customHeight="false" outlineLevel="0" collapsed="false">
      <c r="A1474" s="34"/>
      <c r="B1474" s="19" t="n">
        <v>8055</v>
      </c>
      <c r="C1474" s="20" t="n">
        <v>43453</v>
      </c>
      <c r="D1474" s="38" t="s">
        <v>22</v>
      </c>
      <c r="E1474" s="22" t="s">
        <v>369</v>
      </c>
      <c r="F1474" s="34" t="s">
        <v>127</v>
      </c>
      <c r="G1474" s="19" t="n">
        <v>12</v>
      </c>
      <c r="H1474" s="19" t="n">
        <v>9</v>
      </c>
      <c r="I1474" s="19" t="n">
        <v>3</v>
      </c>
      <c r="J1474" s="19" t="n">
        <v>66.25</v>
      </c>
      <c r="K1474" s="39" t="n">
        <v>675000</v>
      </c>
      <c r="L1474" s="39" t="n">
        <f aca="false">K1474/J1474</f>
        <v>10188.679245283</v>
      </c>
      <c r="M1474" s="34" t="s">
        <v>189</v>
      </c>
      <c r="N1474" s="40"/>
      <c r="O1474" s="30" t="n">
        <f aca="false">K1474+N1474</f>
        <v>675000</v>
      </c>
      <c r="P1474" s="39" t="n">
        <f aca="false">O1474/J1474</f>
        <v>10188.679245283</v>
      </c>
      <c r="Q1474" s="19" t="s">
        <v>1486</v>
      </c>
      <c r="R1474" s="22" t="s">
        <v>36</v>
      </c>
      <c r="S1474" s="19" t="s">
        <v>29</v>
      </c>
      <c r="T1474" s="19" t="s">
        <v>30</v>
      </c>
      <c r="U1474" s="31" t="s">
        <v>31</v>
      </c>
      <c r="V1474" s="41" t="n">
        <v>43691</v>
      </c>
      <c r="W1474" s="34" t="s">
        <v>2062</v>
      </c>
      <c r="X1474" s="18"/>
    </row>
    <row r="1475" customFormat="false" ht="13.8" hidden="false" customHeight="false" outlineLevel="0" collapsed="false">
      <c r="A1475" s="34"/>
      <c r="B1475" s="19" t="n">
        <v>3208</v>
      </c>
      <c r="C1475" s="20" t="n">
        <v>43453</v>
      </c>
      <c r="D1475" s="38" t="s">
        <v>22</v>
      </c>
      <c r="E1475" s="22" t="s">
        <v>187</v>
      </c>
      <c r="F1475" s="34" t="s">
        <v>569</v>
      </c>
      <c r="G1475" s="19" t="n">
        <v>88</v>
      </c>
      <c r="H1475" s="19" t="n">
        <v>21</v>
      </c>
      <c r="I1475" s="19" t="n">
        <v>3</v>
      </c>
      <c r="J1475" s="19" t="n">
        <f aca="false">51.29-2.72</f>
        <v>48.57</v>
      </c>
      <c r="K1475" s="39" t="n">
        <v>535000</v>
      </c>
      <c r="L1475" s="39" t="n">
        <f aca="false">K1475/J1475</f>
        <v>11015.0298538192</v>
      </c>
      <c r="M1475" s="34" t="s">
        <v>2063</v>
      </c>
      <c r="N1475" s="40"/>
      <c r="O1475" s="30" t="n">
        <f aca="false">K1475+N1475</f>
        <v>535000</v>
      </c>
      <c r="P1475" s="39" t="n">
        <f aca="false">O1475/J1475</f>
        <v>11015.0298538192</v>
      </c>
      <c r="Q1475" s="19" t="s">
        <v>2064</v>
      </c>
      <c r="R1475" s="22" t="s">
        <v>36</v>
      </c>
      <c r="S1475" s="19" t="s">
        <v>29</v>
      </c>
      <c r="T1475" s="19" t="s">
        <v>30</v>
      </c>
      <c r="U1475" s="31" t="s">
        <v>31</v>
      </c>
      <c r="V1475" s="41" t="n">
        <v>43689</v>
      </c>
      <c r="W1475" s="34" t="s">
        <v>2065</v>
      </c>
      <c r="X1475" s="18"/>
      <c r="Y1475" s="35"/>
      <c r="Z1475" s="43"/>
    </row>
    <row r="1476" customFormat="false" ht="13.8" hidden="false" customHeight="false" outlineLevel="0" collapsed="false">
      <c r="A1476" s="34"/>
      <c r="B1476" s="19" t="n">
        <v>11788</v>
      </c>
      <c r="C1476" s="20" t="n">
        <v>43454</v>
      </c>
      <c r="D1476" s="38" t="s">
        <v>22</v>
      </c>
      <c r="E1476" s="22" t="s">
        <v>75</v>
      </c>
      <c r="F1476" s="34" t="s">
        <v>528</v>
      </c>
      <c r="G1476" s="19" t="n">
        <v>105</v>
      </c>
      <c r="H1476" s="19" t="n">
        <v>76</v>
      </c>
      <c r="I1476" s="19" t="n">
        <v>6</v>
      </c>
      <c r="J1476" s="19" t="n">
        <v>56.86</v>
      </c>
      <c r="K1476" s="39" t="n">
        <v>624000</v>
      </c>
      <c r="L1476" s="39" t="n">
        <f aca="false">K1476/J1476</f>
        <v>10974.3228983468</v>
      </c>
      <c r="M1476" s="34" t="s">
        <v>2066</v>
      </c>
      <c r="N1476" s="40" t="n">
        <v>30000</v>
      </c>
      <c r="O1476" s="30" t="n">
        <f aca="false">K1476+N1476</f>
        <v>654000</v>
      </c>
      <c r="P1476" s="39" t="n">
        <f aca="false">O1476/J1476</f>
        <v>11501.934576152</v>
      </c>
      <c r="Q1476" s="19" t="s">
        <v>2067</v>
      </c>
      <c r="R1476" s="22" t="s">
        <v>26</v>
      </c>
      <c r="S1476" s="19" t="s">
        <v>29</v>
      </c>
      <c r="T1476" s="19" t="s">
        <v>30</v>
      </c>
      <c r="U1476" s="31" t="s">
        <v>31</v>
      </c>
      <c r="V1476" s="41" t="n">
        <v>43690</v>
      </c>
      <c r="W1476" s="34" t="s">
        <v>2068</v>
      </c>
      <c r="X1476" s="18"/>
    </row>
    <row r="1477" s="32" customFormat="true" ht="13.8" hidden="false" customHeight="false" outlineLevel="0" collapsed="false">
      <c r="A1477" s="34"/>
      <c r="B1477" s="19" t="n">
        <v>1358</v>
      </c>
      <c r="C1477" s="20" t="n">
        <v>43454</v>
      </c>
      <c r="D1477" s="38" t="s">
        <v>22</v>
      </c>
      <c r="E1477" s="22" t="s">
        <v>178</v>
      </c>
      <c r="F1477" s="34" t="s">
        <v>220</v>
      </c>
      <c r="G1477" s="19" t="n">
        <v>1</v>
      </c>
      <c r="H1477" s="19" t="n">
        <v>22</v>
      </c>
      <c r="I1477" s="19" t="n">
        <v>3</v>
      </c>
      <c r="J1477" s="19" t="n">
        <v>49.56</v>
      </c>
      <c r="K1477" s="39" t="n">
        <v>430000</v>
      </c>
      <c r="L1477" s="39" t="n">
        <f aca="false">K1477/J1477</f>
        <v>8676.35189669088</v>
      </c>
      <c r="M1477" s="18"/>
      <c r="N1477" s="40"/>
      <c r="O1477" s="30" t="n">
        <f aca="false">K1477+N1477</f>
        <v>430000</v>
      </c>
      <c r="P1477" s="39" t="n">
        <f aca="false">O1477/J1477</f>
        <v>8676.35189669088</v>
      </c>
      <c r="Q1477" s="19" t="s">
        <v>1369</v>
      </c>
      <c r="R1477" s="22" t="s">
        <v>36</v>
      </c>
      <c r="S1477" s="19" t="s">
        <v>29</v>
      </c>
      <c r="T1477" s="19" t="s">
        <v>30</v>
      </c>
      <c r="U1477" s="31" t="s">
        <v>31</v>
      </c>
      <c r="V1477" s="41" t="n">
        <v>43690</v>
      </c>
      <c r="W1477" s="34" t="s">
        <v>2069</v>
      </c>
      <c r="X1477" s="18"/>
    </row>
    <row r="1478" s="32" customFormat="true" ht="13.8" hidden="false" customHeight="false" outlineLevel="0" collapsed="false">
      <c r="A1478" s="34"/>
      <c r="B1478" s="19" t="n">
        <v>4470</v>
      </c>
      <c r="C1478" s="20" t="n">
        <v>43454</v>
      </c>
      <c r="D1478" s="38" t="s">
        <v>22</v>
      </c>
      <c r="E1478" s="22" t="s">
        <v>268</v>
      </c>
      <c r="F1478" s="34" t="s">
        <v>1740</v>
      </c>
      <c r="G1478" s="19" t="n">
        <v>129</v>
      </c>
      <c r="H1478" s="19" t="n">
        <v>1</v>
      </c>
      <c r="I1478" s="19" t="n">
        <v>1</v>
      </c>
      <c r="J1478" s="19" t="n">
        <v>38.1</v>
      </c>
      <c r="K1478" s="39" t="n">
        <v>330000</v>
      </c>
      <c r="L1478" s="39" t="n">
        <f aca="false">K1478/J1478</f>
        <v>8661.41732283464</v>
      </c>
      <c r="M1478" s="34" t="s">
        <v>2070</v>
      </c>
      <c r="N1478" s="40"/>
      <c r="O1478" s="30" t="n">
        <f aca="false">K1478+N1478</f>
        <v>330000</v>
      </c>
      <c r="P1478" s="39" t="n">
        <f aca="false">O1478/J1478</f>
        <v>8661.41732283464</v>
      </c>
      <c r="Q1478" s="19" t="s">
        <v>1320</v>
      </c>
      <c r="R1478" s="22" t="s">
        <v>27</v>
      </c>
      <c r="S1478" s="19" t="s">
        <v>29</v>
      </c>
      <c r="T1478" s="19" t="s">
        <v>30</v>
      </c>
      <c r="U1478" s="31" t="s">
        <v>31</v>
      </c>
      <c r="V1478" s="41" t="n">
        <v>43689</v>
      </c>
      <c r="W1478" s="34" t="s">
        <v>2071</v>
      </c>
      <c r="X1478" s="18"/>
    </row>
    <row r="1479" customFormat="false" ht="13.8" hidden="false" customHeight="false" outlineLevel="0" collapsed="false">
      <c r="A1479" s="34"/>
      <c r="B1479" s="19" t="n">
        <v>20841</v>
      </c>
      <c r="C1479" s="20" t="n">
        <v>43454</v>
      </c>
      <c r="D1479" s="38" t="s">
        <v>22</v>
      </c>
      <c r="E1479" s="22" t="s">
        <v>137</v>
      </c>
      <c r="F1479" s="34" t="s">
        <v>138</v>
      </c>
      <c r="G1479" s="19" t="s">
        <v>2072</v>
      </c>
      <c r="H1479" s="19" t="n">
        <v>3</v>
      </c>
      <c r="I1479" s="19" t="n">
        <v>2</v>
      </c>
      <c r="J1479" s="19" t="n">
        <v>50.4</v>
      </c>
      <c r="K1479" s="39" t="n">
        <v>550000</v>
      </c>
      <c r="L1479" s="39" t="n">
        <f aca="false">K1479/J1479</f>
        <v>10912.6984126984</v>
      </c>
      <c r="M1479" s="18"/>
      <c r="N1479" s="40"/>
      <c r="O1479" s="30" t="n">
        <f aca="false">K1479+N1479</f>
        <v>550000</v>
      </c>
      <c r="P1479" s="39" t="n">
        <f aca="false">O1479/J1479</f>
        <v>10912.6984126984</v>
      </c>
      <c r="Q1479" s="19" t="s">
        <v>2073</v>
      </c>
      <c r="R1479" s="22" t="s">
        <v>36</v>
      </c>
      <c r="S1479" s="19" t="s">
        <v>29</v>
      </c>
      <c r="T1479" s="19" t="s">
        <v>30</v>
      </c>
      <c r="U1479" s="19" t="s">
        <v>31</v>
      </c>
      <c r="V1479" s="41" t="n">
        <v>43693</v>
      </c>
      <c r="W1479" s="34" t="s">
        <v>2074</v>
      </c>
      <c r="X1479" s="18"/>
      <c r="Y1479" s="35"/>
      <c r="Z1479" s="43"/>
    </row>
    <row r="1480" customFormat="false" ht="13.8" hidden="false" customHeight="false" outlineLevel="0" collapsed="false">
      <c r="A1480" s="34"/>
      <c r="B1480" s="19" t="n">
        <v>9414</v>
      </c>
      <c r="C1480" s="20" t="n">
        <v>43454</v>
      </c>
      <c r="D1480" s="38" t="s">
        <v>22</v>
      </c>
      <c r="E1480" s="22" t="s">
        <v>206</v>
      </c>
      <c r="F1480" s="34" t="s">
        <v>191</v>
      </c>
      <c r="G1480" s="19" t="n">
        <v>9</v>
      </c>
      <c r="H1480" s="19"/>
      <c r="I1480" s="19" t="n">
        <v>3</v>
      </c>
      <c r="J1480" s="25" t="n">
        <v>57.93</v>
      </c>
      <c r="K1480" s="39" t="n">
        <v>550000</v>
      </c>
      <c r="L1480" s="39" t="n">
        <v>9494.21715863974</v>
      </c>
      <c r="M1480" s="34"/>
      <c r="N1480" s="40"/>
      <c r="O1480" s="39" t="n">
        <v>550000</v>
      </c>
      <c r="P1480" s="39" t="n">
        <v>9494.21715863974</v>
      </c>
      <c r="Q1480" s="19" t="s">
        <v>2075</v>
      </c>
      <c r="R1480" s="22" t="s">
        <v>26</v>
      </c>
      <c r="S1480" s="19" t="s">
        <v>29</v>
      </c>
      <c r="T1480" s="19" t="s">
        <v>30</v>
      </c>
      <c r="U1480" s="31" t="s">
        <v>31</v>
      </c>
      <c r="V1480" s="41" t="n">
        <v>43689</v>
      </c>
      <c r="W1480" s="34" t="s">
        <v>2076</v>
      </c>
      <c r="X1480" s="34"/>
    </row>
    <row r="1481" customFormat="false" ht="13.8" hidden="false" customHeight="false" outlineLevel="0" collapsed="false">
      <c r="A1481" s="34"/>
      <c r="B1481" s="19" t="n">
        <v>10796</v>
      </c>
      <c r="C1481" s="20" t="n">
        <v>43454</v>
      </c>
      <c r="D1481" s="38" t="s">
        <v>22</v>
      </c>
      <c r="E1481" s="22" t="s">
        <v>665</v>
      </c>
      <c r="F1481" s="34" t="s">
        <v>1131</v>
      </c>
      <c r="G1481" s="19" t="n">
        <v>9</v>
      </c>
      <c r="H1481" s="19" t="n">
        <v>112</v>
      </c>
      <c r="I1481" s="19" t="n">
        <v>4</v>
      </c>
      <c r="J1481" s="19" t="n">
        <v>88.2</v>
      </c>
      <c r="K1481" s="39" t="n">
        <v>1350000</v>
      </c>
      <c r="L1481" s="39" t="n">
        <f aca="false">K1481/J1481</f>
        <v>15306.1224489796</v>
      </c>
      <c r="M1481" s="34" t="s">
        <v>943</v>
      </c>
      <c r="N1481" s="40" t="n">
        <v>30000</v>
      </c>
      <c r="O1481" s="30" t="n">
        <f aca="false">K1481+N1481</f>
        <v>1380000</v>
      </c>
      <c r="P1481" s="39" t="n">
        <f aca="false">O1481/J1481</f>
        <v>15646.2585034014</v>
      </c>
      <c r="Q1481" s="19" t="s">
        <v>2077</v>
      </c>
      <c r="R1481" s="22" t="s">
        <v>26</v>
      </c>
      <c r="S1481" s="19" t="s">
        <v>29</v>
      </c>
      <c r="T1481" s="19" t="s">
        <v>30</v>
      </c>
      <c r="U1481" s="31" t="s">
        <v>31</v>
      </c>
      <c r="V1481" s="41" t="n">
        <v>43689</v>
      </c>
      <c r="W1481" s="34" t="s">
        <v>2078</v>
      </c>
      <c r="X1481" s="18"/>
    </row>
    <row r="1482" customFormat="false" ht="13.8" hidden="false" customHeight="false" outlineLevel="0" collapsed="false">
      <c r="A1482" s="34"/>
      <c r="B1482" s="19" t="n">
        <v>20818</v>
      </c>
      <c r="C1482" s="20" t="n">
        <v>43454</v>
      </c>
      <c r="D1482" s="38" t="s">
        <v>22</v>
      </c>
      <c r="E1482" s="22" t="s">
        <v>527</v>
      </c>
      <c r="F1482" s="34" t="s">
        <v>973</v>
      </c>
      <c r="G1482" s="19" t="n">
        <v>17</v>
      </c>
      <c r="H1482" s="19" t="n">
        <v>50</v>
      </c>
      <c r="I1482" s="19" t="n">
        <v>7</v>
      </c>
      <c r="J1482" s="19" t="n">
        <v>121.57</v>
      </c>
      <c r="K1482" s="39" t="n">
        <f aca="false">877500*2</f>
        <v>1755000</v>
      </c>
      <c r="L1482" s="39" t="n">
        <f aca="false">K1482/J1482</f>
        <v>14436.1273340462</v>
      </c>
      <c r="M1482" s="34" t="s">
        <v>2079</v>
      </c>
      <c r="N1482" s="40"/>
      <c r="O1482" s="30" t="n">
        <f aca="false">K1482+N1482</f>
        <v>1755000</v>
      </c>
      <c r="P1482" s="39" t="n">
        <f aca="false">O1482/J1482</f>
        <v>14436.1273340462</v>
      </c>
      <c r="Q1482" s="19" t="s">
        <v>2080</v>
      </c>
      <c r="R1482" s="22" t="s">
        <v>49</v>
      </c>
      <c r="S1482" s="19" t="s">
        <v>29</v>
      </c>
      <c r="T1482" s="19" t="s">
        <v>30</v>
      </c>
      <c r="U1482" s="19" t="s">
        <v>31</v>
      </c>
      <c r="V1482" s="41" t="n">
        <v>43693</v>
      </c>
      <c r="W1482" s="34" t="s">
        <v>2081</v>
      </c>
      <c r="X1482" s="18"/>
    </row>
    <row r="1483" customFormat="false" ht="13.8" hidden="false" customHeight="false" outlineLevel="0" collapsed="false">
      <c r="A1483" s="34"/>
      <c r="B1483" s="19" t="n">
        <v>591</v>
      </c>
      <c r="C1483" s="20" t="n">
        <v>43454</v>
      </c>
      <c r="D1483" s="38" t="s">
        <v>22</v>
      </c>
      <c r="E1483" s="22" t="s">
        <v>42</v>
      </c>
      <c r="F1483" s="34" t="s">
        <v>263</v>
      </c>
      <c r="G1483" s="19" t="n">
        <v>3</v>
      </c>
      <c r="H1483" s="19" t="n">
        <v>46</v>
      </c>
      <c r="I1483" s="19" t="n">
        <v>8</v>
      </c>
      <c r="J1483" s="19" t="n">
        <v>28.2</v>
      </c>
      <c r="K1483" s="39" t="n">
        <v>200000</v>
      </c>
      <c r="L1483" s="39" t="n">
        <f aca="false">K1483/J1483</f>
        <v>7092.19858156028</v>
      </c>
      <c r="M1483" s="34"/>
      <c r="N1483" s="40"/>
      <c r="O1483" s="30" t="n">
        <f aca="false">K1483+N1483</f>
        <v>200000</v>
      </c>
      <c r="P1483" s="39" t="n">
        <f aca="false">O1483/J1483</f>
        <v>7092.19858156028</v>
      </c>
      <c r="Q1483" s="19" t="s">
        <v>1320</v>
      </c>
      <c r="R1483" s="22" t="s">
        <v>27</v>
      </c>
      <c r="S1483" s="19" t="s">
        <v>29</v>
      </c>
      <c r="T1483" s="19" t="s">
        <v>30</v>
      </c>
      <c r="U1483" s="19" t="s">
        <v>31</v>
      </c>
      <c r="V1483" s="41" t="n">
        <v>43693</v>
      </c>
      <c r="W1483" s="34" t="s">
        <v>2082</v>
      </c>
      <c r="X1483" s="18"/>
    </row>
    <row r="1484" customFormat="false" ht="13.8" hidden="false" customHeight="false" outlineLevel="0" collapsed="false">
      <c r="A1484" s="34"/>
      <c r="B1484" s="19" t="n">
        <v>10330</v>
      </c>
      <c r="C1484" s="20" t="n">
        <v>43454</v>
      </c>
      <c r="D1484" s="38" t="s">
        <v>22</v>
      </c>
      <c r="E1484" s="22" t="s">
        <v>350</v>
      </c>
      <c r="F1484" s="34" t="s">
        <v>351</v>
      </c>
      <c r="G1484" s="19" t="s">
        <v>1156</v>
      </c>
      <c r="H1484" s="19" t="n">
        <v>39</v>
      </c>
      <c r="I1484" s="19" t="n">
        <v>5</v>
      </c>
      <c r="J1484" s="19" t="n">
        <v>56.46</v>
      </c>
      <c r="K1484" s="39" t="n">
        <v>615000</v>
      </c>
      <c r="L1484" s="39" t="n">
        <f aca="false">K1484/J1484</f>
        <v>10892.6673751328</v>
      </c>
      <c r="M1484" s="34" t="s">
        <v>2083</v>
      </c>
      <c r="N1484" s="40" t="n">
        <v>45000</v>
      </c>
      <c r="O1484" s="30" t="n">
        <f aca="false">K1484+N1484</f>
        <v>660000</v>
      </c>
      <c r="P1484" s="39" t="n">
        <f aca="false">O1484/J1484</f>
        <v>11689.6918172157</v>
      </c>
      <c r="Q1484" s="19" t="s">
        <v>2084</v>
      </c>
      <c r="R1484" s="22" t="s">
        <v>26</v>
      </c>
      <c r="S1484" s="19" t="s">
        <v>29</v>
      </c>
      <c r="T1484" s="19" t="s">
        <v>30</v>
      </c>
      <c r="U1484" s="31" t="s">
        <v>31</v>
      </c>
      <c r="V1484" s="41" t="n">
        <v>43689</v>
      </c>
      <c r="W1484" s="34" t="s">
        <v>2085</v>
      </c>
      <c r="X1484" s="18"/>
    </row>
    <row r="1485" customFormat="false" ht="13.8" hidden="false" customHeight="false" outlineLevel="0" collapsed="false">
      <c r="A1485" s="34"/>
      <c r="B1485" s="19" t="n">
        <v>8385</v>
      </c>
      <c r="C1485" s="20" t="n">
        <v>43454</v>
      </c>
      <c r="D1485" s="38" t="s">
        <v>22</v>
      </c>
      <c r="E1485" s="22" t="s">
        <v>389</v>
      </c>
      <c r="F1485" s="34" t="s">
        <v>46</v>
      </c>
      <c r="G1485" s="19" t="n">
        <v>152</v>
      </c>
      <c r="H1485" s="19" t="n">
        <v>5</v>
      </c>
      <c r="I1485" s="19" t="n">
        <v>2</v>
      </c>
      <c r="J1485" s="19" t="n">
        <v>74.13</v>
      </c>
      <c r="K1485" s="39" t="n">
        <v>665000</v>
      </c>
      <c r="L1485" s="39" t="n">
        <f aca="false">K1485/J1485</f>
        <v>8970.72710103872</v>
      </c>
      <c r="M1485" s="34" t="s">
        <v>2086</v>
      </c>
      <c r="N1485" s="40"/>
      <c r="O1485" s="30" t="n">
        <f aca="false">K1485+N1485</f>
        <v>665000</v>
      </c>
      <c r="P1485" s="39" t="n">
        <f aca="false">O1485/J1485</f>
        <v>8970.72710103872</v>
      </c>
      <c r="Q1485" s="19" t="s">
        <v>2087</v>
      </c>
      <c r="R1485" s="22" t="s">
        <v>26</v>
      </c>
      <c r="S1485" s="19" t="s">
        <v>29</v>
      </c>
      <c r="T1485" s="19" t="s">
        <v>30</v>
      </c>
      <c r="U1485" s="19" t="s">
        <v>31</v>
      </c>
      <c r="V1485" s="41" t="n">
        <v>43696</v>
      </c>
      <c r="W1485" s="34" t="s">
        <v>2088</v>
      </c>
      <c r="X1485" s="18"/>
    </row>
    <row r="1486" s="32" customFormat="true" ht="13.8" hidden="false" customHeight="false" outlineLevel="0" collapsed="false">
      <c r="A1486" s="34"/>
      <c r="B1486" s="19" t="n">
        <v>4467</v>
      </c>
      <c r="C1486" s="20" t="n">
        <v>43454</v>
      </c>
      <c r="D1486" s="38" t="s">
        <v>22</v>
      </c>
      <c r="E1486" s="22" t="s">
        <v>399</v>
      </c>
      <c r="F1486" s="34" t="s">
        <v>1826</v>
      </c>
      <c r="G1486" s="19" t="n">
        <v>4</v>
      </c>
      <c r="H1486" s="19" t="n">
        <v>9</v>
      </c>
      <c r="I1486" s="19" t="n">
        <v>4</v>
      </c>
      <c r="J1486" s="19" t="n">
        <v>51.42</v>
      </c>
      <c r="K1486" s="39" t="n">
        <v>600000</v>
      </c>
      <c r="L1486" s="39" t="n">
        <f aca="false">K1486/J1486</f>
        <v>11668.6114352392</v>
      </c>
      <c r="M1486" s="34" t="s">
        <v>2089</v>
      </c>
      <c r="N1486" s="40"/>
      <c r="O1486" s="30" t="n">
        <f aca="false">K1486+N1486</f>
        <v>600000</v>
      </c>
      <c r="P1486" s="39" t="n">
        <f aca="false">O1486/J1486</f>
        <v>11668.6114352392</v>
      </c>
      <c r="Q1486" s="19" t="s">
        <v>1486</v>
      </c>
      <c r="R1486" s="22" t="s">
        <v>36</v>
      </c>
      <c r="S1486" s="19" t="s">
        <v>29</v>
      </c>
      <c r="T1486" s="19" t="s">
        <v>30</v>
      </c>
      <c r="U1486" s="31" t="s">
        <v>31</v>
      </c>
      <c r="V1486" s="41" t="n">
        <v>43689</v>
      </c>
      <c r="W1486" s="34" t="s">
        <v>2090</v>
      </c>
      <c r="X1486" s="18"/>
    </row>
    <row r="1487" customFormat="false" ht="13.8" hidden="false" customHeight="false" outlineLevel="0" collapsed="false">
      <c r="A1487" s="34"/>
      <c r="B1487" s="19" t="n">
        <v>2318</v>
      </c>
      <c r="C1487" s="20" t="n">
        <v>43454</v>
      </c>
      <c r="D1487" s="38" t="s">
        <v>22</v>
      </c>
      <c r="E1487" s="22" t="s">
        <v>235</v>
      </c>
      <c r="F1487" s="34" t="s">
        <v>456</v>
      </c>
      <c r="G1487" s="19" t="n">
        <v>5</v>
      </c>
      <c r="H1487" s="19" t="s">
        <v>1627</v>
      </c>
      <c r="I1487" s="19" t="n">
        <v>5</v>
      </c>
      <c r="J1487" s="19" t="n">
        <v>47.2</v>
      </c>
      <c r="K1487" s="39" t="n">
        <v>410000</v>
      </c>
      <c r="L1487" s="39" t="n">
        <f aca="false">K1487/J1487</f>
        <v>8686.4406779661</v>
      </c>
      <c r="M1487" s="34"/>
      <c r="N1487" s="40"/>
      <c r="O1487" s="30" t="n">
        <f aca="false">K1487+N1487</f>
        <v>410000</v>
      </c>
      <c r="P1487" s="39" t="n">
        <f aca="false">O1487/J1487</f>
        <v>8686.4406779661</v>
      </c>
      <c r="Q1487" s="19" t="s">
        <v>2091</v>
      </c>
      <c r="R1487" s="22" t="s">
        <v>27</v>
      </c>
      <c r="S1487" s="19" t="s">
        <v>29</v>
      </c>
      <c r="T1487" s="19" t="s">
        <v>30</v>
      </c>
      <c r="U1487" s="31" t="s">
        <v>31</v>
      </c>
      <c r="V1487" s="41" t="n">
        <v>43689</v>
      </c>
      <c r="W1487" s="34" t="s">
        <v>2092</v>
      </c>
      <c r="X1487" s="18"/>
    </row>
    <row r="1488" customFormat="false" ht="13.8" hidden="false" customHeight="false" outlineLevel="0" collapsed="false">
      <c r="A1488" s="34"/>
      <c r="B1488" s="19" t="n">
        <v>9537</v>
      </c>
      <c r="C1488" s="20" t="n">
        <v>43455</v>
      </c>
      <c r="D1488" s="38" t="s">
        <v>22</v>
      </c>
      <c r="E1488" s="22" t="s">
        <v>129</v>
      </c>
      <c r="F1488" s="34" t="s">
        <v>130</v>
      </c>
      <c r="G1488" s="19" t="n">
        <v>4</v>
      </c>
      <c r="H1488" s="19" t="n">
        <v>83</v>
      </c>
      <c r="I1488" s="19" t="n">
        <v>9</v>
      </c>
      <c r="J1488" s="19" t="n">
        <v>106.86</v>
      </c>
      <c r="K1488" s="39" t="n">
        <v>915000</v>
      </c>
      <c r="L1488" s="39" t="n">
        <f aca="false">K1488/J1488</f>
        <v>8562.60527793375</v>
      </c>
      <c r="M1488" s="34" t="s">
        <v>987</v>
      </c>
      <c r="N1488" s="40" t="n">
        <v>15000</v>
      </c>
      <c r="O1488" s="30" t="n">
        <f aca="false">K1488+N1488</f>
        <v>930000</v>
      </c>
      <c r="P1488" s="39" t="n">
        <f aca="false">O1488/J1488</f>
        <v>8702.97585626053</v>
      </c>
      <c r="Q1488" s="19" t="s">
        <v>2043</v>
      </c>
      <c r="R1488" s="22" t="s">
        <v>49</v>
      </c>
      <c r="S1488" s="19" t="s">
        <v>29</v>
      </c>
      <c r="T1488" s="19" t="s">
        <v>30</v>
      </c>
      <c r="U1488" s="19" t="s">
        <v>31</v>
      </c>
      <c r="V1488" s="41" t="n">
        <v>43691</v>
      </c>
      <c r="W1488" s="34" t="s">
        <v>2093</v>
      </c>
      <c r="X1488" s="18"/>
    </row>
    <row r="1489" customFormat="false" ht="13.8" hidden="false" customHeight="false" outlineLevel="0" collapsed="false">
      <c r="A1489" s="34"/>
      <c r="B1489" s="19" t="n">
        <v>10604</v>
      </c>
      <c r="C1489" s="20" t="n">
        <v>43455</v>
      </c>
      <c r="D1489" s="38" t="s">
        <v>22</v>
      </c>
      <c r="E1489" s="22" t="s">
        <v>178</v>
      </c>
      <c r="F1489" s="34" t="s">
        <v>513</v>
      </c>
      <c r="G1489" s="19" t="n">
        <v>2</v>
      </c>
      <c r="H1489" s="19" t="n">
        <v>80</v>
      </c>
      <c r="I1489" s="19" t="n">
        <v>5</v>
      </c>
      <c r="J1489" s="19" t="n">
        <v>36</v>
      </c>
      <c r="K1489" s="39" t="n">
        <f aca="false">296100+32900</f>
        <v>329000</v>
      </c>
      <c r="L1489" s="39" t="n">
        <f aca="false">K1489/J1489</f>
        <v>9138.88888888889</v>
      </c>
      <c r="M1489" s="34"/>
      <c r="N1489" s="40"/>
      <c r="O1489" s="30" t="n">
        <f aca="false">K1489+N1489</f>
        <v>329000</v>
      </c>
      <c r="P1489" s="39" t="n">
        <f aca="false">O1489/J1489</f>
        <v>9138.88888888889</v>
      </c>
      <c r="Q1489" s="19" t="s">
        <v>1320</v>
      </c>
      <c r="R1489" s="22" t="s">
        <v>27</v>
      </c>
      <c r="S1489" s="19" t="s">
        <v>29</v>
      </c>
      <c r="T1489" s="19" t="s">
        <v>30</v>
      </c>
      <c r="U1489" s="31" t="s">
        <v>31</v>
      </c>
      <c r="V1489" s="41" t="n">
        <v>43689</v>
      </c>
      <c r="W1489" s="34" t="s">
        <v>2094</v>
      </c>
      <c r="X1489" s="18"/>
    </row>
    <row r="1490" customFormat="false" ht="13.8" hidden="false" customHeight="false" outlineLevel="0" collapsed="false">
      <c r="A1490" s="34"/>
      <c r="B1490" s="19" t="n">
        <v>6489</v>
      </c>
      <c r="C1490" s="20" t="n">
        <v>43455</v>
      </c>
      <c r="D1490" s="38" t="s">
        <v>22</v>
      </c>
      <c r="E1490" s="22" t="s">
        <v>53</v>
      </c>
      <c r="F1490" s="34" t="s">
        <v>614</v>
      </c>
      <c r="G1490" s="19" t="s">
        <v>860</v>
      </c>
      <c r="H1490" s="19" t="n">
        <v>407</v>
      </c>
      <c r="I1490" s="19" t="n">
        <v>4</v>
      </c>
      <c r="J1490" s="19" t="n">
        <v>57.7</v>
      </c>
      <c r="K1490" s="39" t="n">
        <v>450000</v>
      </c>
      <c r="L1490" s="39" t="n">
        <f aca="false">K1490/J1490</f>
        <v>7798.96013864818</v>
      </c>
      <c r="M1490" s="34"/>
      <c r="N1490" s="40"/>
      <c r="O1490" s="30" t="n">
        <f aca="false">K1490+N1490</f>
        <v>450000</v>
      </c>
      <c r="P1490" s="39" t="n">
        <f aca="false">O1490/J1490</f>
        <v>7798.96013864818</v>
      </c>
      <c r="Q1490" s="19" t="s">
        <v>1471</v>
      </c>
      <c r="R1490" s="22" t="s">
        <v>26</v>
      </c>
      <c r="S1490" s="19" t="s">
        <v>29</v>
      </c>
      <c r="T1490" s="19" t="s">
        <v>30</v>
      </c>
      <c r="U1490" s="19" t="s">
        <v>31</v>
      </c>
      <c r="V1490" s="41" t="n">
        <v>43693</v>
      </c>
      <c r="W1490" s="34" t="s">
        <v>2095</v>
      </c>
      <c r="X1490" s="34"/>
    </row>
    <row r="1491" customFormat="false" ht="13.8" hidden="false" customHeight="false" outlineLevel="0" collapsed="false">
      <c r="A1491" s="34"/>
      <c r="B1491" s="19" t="n">
        <v>20960</v>
      </c>
      <c r="C1491" s="20" t="n">
        <v>43455</v>
      </c>
      <c r="D1491" s="38" t="s">
        <v>22</v>
      </c>
      <c r="E1491" s="22" t="s">
        <v>319</v>
      </c>
      <c r="F1491" s="34" t="s">
        <v>320</v>
      </c>
      <c r="G1491" s="19" t="s">
        <v>321</v>
      </c>
      <c r="H1491" s="19" t="n">
        <v>7</v>
      </c>
      <c r="I1491" s="19" t="n">
        <v>4</v>
      </c>
      <c r="J1491" s="19" t="n">
        <v>82.92</v>
      </c>
      <c r="K1491" s="39" t="n">
        <v>812000</v>
      </c>
      <c r="L1491" s="39" t="n">
        <f aca="false">K1491/J1491</f>
        <v>9792.57115291848</v>
      </c>
      <c r="M1491" s="34" t="s">
        <v>987</v>
      </c>
      <c r="N1491" s="40" t="n">
        <v>33000</v>
      </c>
      <c r="O1491" s="30" t="n">
        <f aca="false">K1491+N1491</f>
        <v>845000</v>
      </c>
      <c r="P1491" s="39" t="n">
        <f aca="false">O1491/J1491</f>
        <v>10190.5451037144</v>
      </c>
      <c r="Q1491" s="19" t="s">
        <v>2096</v>
      </c>
      <c r="R1491" s="22" t="s">
        <v>26</v>
      </c>
      <c r="S1491" s="19" t="s">
        <v>29</v>
      </c>
      <c r="T1491" s="19" t="s">
        <v>30</v>
      </c>
      <c r="U1491" s="19" t="s">
        <v>31</v>
      </c>
      <c r="V1491" s="41" t="n">
        <v>43693</v>
      </c>
      <c r="W1491" s="34" t="s">
        <v>2097</v>
      </c>
      <c r="X1491" s="34"/>
    </row>
    <row r="1492" customFormat="false" ht="13.8" hidden="false" customHeight="false" outlineLevel="0" collapsed="false">
      <c r="A1492" s="34"/>
      <c r="B1492" s="19" t="n">
        <v>5049</v>
      </c>
      <c r="C1492" s="20" t="n">
        <v>43455</v>
      </c>
      <c r="D1492" s="38" t="s">
        <v>22</v>
      </c>
      <c r="E1492" s="22" t="s">
        <v>354</v>
      </c>
      <c r="F1492" s="34" t="s">
        <v>191</v>
      </c>
      <c r="G1492" s="19" t="n">
        <v>38</v>
      </c>
      <c r="H1492" s="19" t="n">
        <v>28</v>
      </c>
      <c r="I1492" s="19" t="n">
        <v>3</v>
      </c>
      <c r="J1492" s="19" t="n">
        <v>49.76</v>
      </c>
      <c r="K1492" s="39" t="n">
        <v>323400</v>
      </c>
      <c r="L1492" s="39" t="n">
        <f aca="false">K1492/J1492</f>
        <v>6499.1961414791</v>
      </c>
      <c r="M1492" s="34"/>
      <c r="N1492" s="40"/>
      <c r="O1492" s="30" t="n">
        <f aca="false">K1492+N1492</f>
        <v>323400</v>
      </c>
      <c r="P1492" s="39" t="n">
        <f aca="false">O1492/J1492</f>
        <v>6499.1961414791</v>
      </c>
      <c r="Q1492" s="19" t="s">
        <v>1486</v>
      </c>
      <c r="R1492" s="22" t="s">
        <v>36</v>
      </c>
      <c r="S1492" s="19" t="s">
        <v>29</v>
      </c>
      <c r="T1492" s="19" t="s">
        <v>30</v>
      </c>
      <c r="U1492" s="31" t="s">
        <v>31</v>
      </c>
      <c r="V1492" s="41" t="n">
        <v>43689</v>
      </c>
      <c r="W1492" s="34" t="s">
        <v>2098</v>
      </c>
      <c r="X1492" s="18"/>
    </row>
    <row r="1493" customFormat="false" ht="13.8" hidden="false" customHeight="false" outlineLevel="0" collapsed="false">
      <c r="A1493" s="34"/>
      <c r="B1493" s="19" t="n">
        <v>1410</v>
      </c>
      <c r="C1493" s="20" t="n">
        <v>43455</v>
      </c>
      <c r="D1493" s="38" t="s">
        <v>22</v>
      </c>
      <c r="E1493" s="22" t="s">
        <v>80</v>
      </c>
      <c r="F1493" s="34" t="s">
        <v>81</v>
      </c>
      <c r="G1493" s="19" t="n">
        <v>10</v>
      </c>
      <c r="H1493" s="19" t="n">
        <v>60</v>
      </c>
      <c r="I1493" s="19" t="n">
        <v>5</v>
      </c>
      <c r="J1493" s="19" t="n">
        <v>58.35</v>
      </c>
      <c r="K1493" s="39" t="n">
        <v>830000</v>
      </c>
      <c r="L1493" s="39" t="n">
        <f aca="false">K1493/J1493</f>
        <v>14224.5072836332</v>
      </c>
      <c r="M1493" s="34" t="s">
        <v>2099</v>
      </c>
      <c r="N1493" s="40" t="n">
        <v>5000</v>
      </c>
      <c r="O1493" s="30" t="n">
        <f aca="false">K1493+N1493</f>
        <v>835000</v>
      </c>
      <c r="P1493" s="39" t="n">
        <f aca="false">O1493/J1493</f>
        <v>14310.1970865467</v>
      </c>
      <c r="Q1493" s="19" t="s">
        <v>2100</v>
      </c>
      <c r="R1493" s="22" t="s">
        <v>36</v>
      </c>
      <c r="S1493" s="19" t="s">
        <v>29</v>
      </c>
      <c r="T1493" s="19" t="s">
        <v>30</v>
      </c>
      <c r="U1493" s="19" t="s">
        <v>31</v>
      </c>
      <c r="V1493" s="41" t="n">
        <v>43693</v>
      </c>
      <c r="W1493" s="34" t="s">
        <v>2101</v>
      </c>
      <c r="X1493" s="18"/>
    </row>
    <row r="1494" s="32" customFormat="true" ht="13.8" hidden="false" customHeight="false" outlineLevel="0" collapsed="false">
      <c r="A1494" s="34"/>
      <c r="B1494" s="19" t="n">
        <v>6086</v>
      </c>
      <c r="C1494" s="20" t="n">
        <v>43455</v>
      </c>
      <c r="D1494" s="38" t="s">
        <v>22</v>
      </c>
      <c r="E1494" s="22" t="s">
        <v>80</v>
      </c>
      <c r="F1494" s="34" t="s">
        <v>81</v>
      </c>
      <c r="G1494" s="19" t="n">
        <v>5</v>
      </c>
      <c r="H1494" s="19" t="n">
        <v>139</v>
      </c>
      <c r="I1494" s="19" t="n">
        <v>4</v>
      </c>
      <c r="J1494" s="19" t="n">
        <v>58.95</v>
      </c>
      <c r="K1494" s="39" t="n">
        <v>933000</v>
      </c>
      <c r="L1494" s="39" t="n">
        <f aca="false">K1494/J1494</f>
        <v>15826.9720101781</v>
      </c>
      <c r="M1494" s="34" t="s">
        <v>2102</v>
      </c>
      <c r="N1494" s="40" t="n">
        <v>47000</v>
      </c>
      <c r="O1494" s="30" t="n">
        <f aca="false">K1494+N1494</f>
        <v>980000</v>
      </c>
      <c r="P1494" s="39" t="n">
        <f aca="false">O1494/J1494</f>
        <v>16624.2578456319</v>
      </c>
      <c r="Q1494" s="19" t="s">
        <v>2103</v>
      </c>
      <c r="R1494" s="22" t="s">
        <v>36</v>
      </c>
      <c r="S1494" s="19" t="s">
        <v>29</v>
      </c>
      <c r="T1494" s="19" t="s">
        <v>30</v>
      </c>
      <c r="U1494" s="31" t="s">
        <v>31</v>
      </c>
      <c r="V1494" s="41" t="n">
        <v>43690</v>
      </c>
      <c r="W1494" s="34" t="s">
        <v>2104</v>
      </c>
      <c r="X1494" s="18"/>
    </row>
    <row r="1495" s="32" customFormat="true" ht="13.8" hidden="false" customHeight="false" outlineLevel="0" collapsed="false">
      <c r="A1495" s="34"/>
      <c r="B1495" s="19" t="n">
        <v>13096</v>
      </c>
      <c r="C1495" s="20" t="n">
        <v>43455</v>
      </c>
      <c r="D1495" s="38" t="s">
        <v>22</v>
      </c>
      <c r="E1495" s="22" t="s">
        <v>350</v>
      </c>
      <c r="F1495" s="34" t="s">
        <v>323</v>
      </c>
      <c r="G1495" s="19" t="s">
        <v>715</v>
      </c>
      <c r="H1495" s="19" t="n">
        <v>74</v>
      </c>
      <c r="I1495" s="19" t="n">
        <v>3</v>
      </c>
      <c r="J1495" s="19" t="n">
        <v>74.85</v>
      </c>
      <c r="K1495" s="39" t="n">
        <v>750000</v>
      </c>
      <c r="L1495" s="39" t="n">
        <f aca="false">K1495/J1495</f>
        <v>10020.0400801603</v>
      </c>
      <c r="M1495" s="34" t="s">
        <v>2105</v>
      </c>
      <c r="N1495" s="40"/>
      <c r="O1495" s="30" t="n">
        <f aca="false">K1495+N1495</f>
        <v>750000</v>
      </c>
      <c r="P1495" s="39" t="n">
        <f aca="false">O1495/J1495</f>
        <v>10020.0400801603</v>
      </c>
      <c r="Q1495" s="19" t="s">
        <v>2106</v>
      </c>
      <c r="R1495" s="22" t="s">
        <v>49</v>
      </c>
      <c r="S1495" s="19" t="s">
        <v>29</v>
      </c>
      <c r="T1495" s="19" t="s">
        <v>30</v>
      </c>
      <c r="U1495" s="31" t="s">
        <v>31</v>
      </c>
      <c r="V1495" s="41" t="n">
        <v>43690</v>
      </c>
      <c r="W1495" s="34" t="s">
        <v>2107</v>
      </c>
      <c r="X1495" s="18"/>
    </row>
    <row r="1496" customFormat="false" ht="13.8" hidden="false" customHeight="false" outlineLevel="0" collapsed="false">
      <c r="A1496" s="34"/>
      <c r="B1496" s="19" t="n">
        <v>2754</v>
      </c>
      <c r="C1496" s="20" t="n">
        <v>43455</v>
      </c>
      <c r="D1496" s="38" t="s">
        <v>22</v>
      </c>
      <c r="E1496" s="22" t="s">
        <v>187</v>
      </c>
      <c r="F1496" s="34" t="s">
        <v>1041</v>
      </c>
      <c r="G1496" s="19" t="n">
        <v>77</v>
      </c>
      <c r="H1496" s="19" t="n">
        <v>20</v>
      </c>
      <c r="I1496" s="19" t="n">
        <v>1</v>
      </c>
      <c r="J1496" s="19" t="n">
        <v>25.19</v>
      </c>
      <c r="K1496" s="39" t="n">
        <v>250000</v>
      </c>
      <c r="L1496" s="39" t="n">
        <f aca="false">K1496/J1496</f>
        <v>9924.57324335054</v>
      </c>
      <c r="M1496" s="34" t="s">
        <v>2108</v>
      </c>
      <c r="N1496" s="40"/>
      <c r="O1496" s="30" t="n">
        <f aca="false">K1496+N1496</f>
        <v>250000</v>
      </c>
      <c r="P1496" s="39" t="n">
        <f aca="false">O1496/J1496</f>
        <v>9924.57324335054</v>
      </c>
      <c r="Q1496" s="19" t="s">
        <v>1320</v>
      </c>
      <c r="R1496" s="22" t="s">
        <v>27</v>
      </c>
      <c r="S1496" s="19" t="s">
        <v>29</v>
      </c>
      <c r="T1496" s="19" t="s">
        <v>30</v>
      </c>
      <c r="U1496" s="31" t="s">
        <v>31</v>
      </c>
      <c r="V1496" s="41" t="n">
        <v>43689</v>
      </c>
      <c r="W1496" s="34" t="s">
        <v>2109</v>
      </c>
      <c r="X1496" s="18"/>
    </row>
    <row r="1497" customFormat="false" ht="13.8" hidden="false" customHeight="false" outlineLevel="0" collapsed="false">
      <c r="A1497" s="34"/>
      <c r="B1497" s="19" t="n">
        <v>11098</v>
      </c>
      <c r="C1497" s="20" t="n">
        <v>43455</v>
      </c>
      <c r="D1497" s="38" t="s">
        <v>22</v>
      </c>
      <c r="E1497" s="22" t="s">
        <v>543</v>
      </c>
      <c r="F1497" s="34" t="s">
        <v>1076</v>
      </c>
      <c r="G1497" s="19" t="n">
        <v>20</v>
      </c>
      <c r="H1497" s="19" t="n">
        <v>10</v>
      </c>
      <c r="I1497" s="19" t="n">
        <v>2</v>
      </c>
      <c r="J1497" s="19" t="n">
        <f aca="false">28.63-1</f>
        <v>27.63</v>
      </c>
      <c r="K1497" s="39" t="n">
        <v>225000</v>
      </c>
      <c r="L1497" s="39" t="n">
        <f aca="false">K1497/J1497</f>
        <v>8143.32247557003</v>
      </c>
      <c r="M1497" s="34" t="s">
        <v>2110</v>
      </c>
      <c r="N1497" s="40"/>
      <c r="O1497" s="30" t="n">
        <f aca="false">K1497+N1497</f>
        <v>225000</v>
      </c>
      <c r="P1497" s="39" t="n">
        <f aca="false">O1497/J1497</f>
        <v>8143.32247557003</v>
      </c>
      <c r="Q1497" s="19" t="s">
        <v>1320</v>
      </c>
      <c r="R1497" s="22" t="s">
        <v>27</v>
      </c>
      <c r="S1497" s="19" t="s">
        <v>29</v>
      </c>
      <c r="T1497" s="19" t="s">
        <v>30</v>
      </c>
      <c r="U1497" s="19" t="s">
        <v>31</v>
      </c>
      <c r="V1497" s="41" t="n">
        <v>43691</v>
      </c>
      <c r="W1497" s="34" t="s">
        <v>2111</v>
      </c>
      <c r="X1497" s="18"/>
    </row>
    <row r="1498" customFormat="false" ht="13.8" hidden="false" customHeight="false" outlineLevel="0" collapsed="false">
      <c r="A1498" s="34"/>
      <c r="B1498" s="19" t="n">
        <v>12115</v>
      </c>
      <c r="C1498" s="20" t="n">
        <v>43455</v>
      </c>
      <c r="D1498" s="38" t="s">
        <v>22</v>
      </c>
      <c r="E1498" s="22" t="s">
        <v>42</v>
      </c>
      <c r="F1498" s="34" t="s">
        <v>1028</v>
      </c>
      <c r="G1498" s="19" t="s">
        <v>146</v>
      </c>
      <c r="H1498" s="19" t="n">
        <v>60</v>
      </c>
      <c r="I1498" s="19" t="n">
        <v>8</v>
      </c>
      <c r="J1498" s="19" t="n">
        <v>36.29</v>
      </c>
      <c r="K1498" s="39" t="n">
        <v>308000</v>
      </c>
      <c r="L1498" s="39" t="n">
        <f aca="false">K1498/J1498</f>
        <v>8487.18655276936</v>
      </c>
      <c r="M1498" s="34"/>
      <c r="N1498" s="40"/>
      <c r="O1498" s="30" t="n">
        <f aca="false">K1498+N1498</f>
        <v>308000</v>
      </c>
      <c r="P1498" s="39" t="n">
        <f aca="false">O1498/J1498</f>
        <v>8487.18655276936</v>
      </c>
      <c r="Q1498" s="19" t="s">
        <v>1486</v>
      </c>
      <c r="R1498" s="22" t="s">
        <v>36</v>
      </c>
      <c r="S1498" s="19" t="s">
        <v>29</v>
      </c>
      <c r="T1498" s="19" t="s">
        <v>30</v>
      </c>
      <c r="U1498" s="31" t="s">
        <v>31</v>
      </c>
      <c r="V1498" s="41" t="n">
        <v>43689</v>
      </c>
      <c r="W1498" s="34" t="s">
        <v>2112</v>
      </c>
      <c r="X1498" s="18"/>
    </row>
    <row r="1499" customFormat="false" ht="13.8" hidden="false" customHeight="false" outlineLevel="0" collapsed="false">
      <c r="A1499" s="34"/>
      <c r="B1499" s="19" t="n">
        <v>23743</v>
      </c>
      <c r="C1499" s="20" t="n">
        <v>43455</v>
      </c>
      <c r="D1499" s="38" t="s">
        <v>22</v>
      </c>
      <c r="E1499" s="22" t="s">
        <v>23</v>
      </c>
      <c r="F1499" s="34" t="s">
        <v>1028</v>
      </c>
      <c r="G1499" s="19" t="n">
        <v>26</v>
      </c>
      <c r="H1499" s="19" t="n">
        <v>29</v>
      </c>
      <c r="I1499" s="19" t="n">
        <v>4</v>
      </c>
      <c r="J1499" s="19" t="n">
        <v>30.71</v>
      </c>
      <c r="K1499" s="39" t="n">
        <v>300700</v>
      </c>
      <c r="L1499" s="39" t="n">
        <f aca="false">K1499/J1499</f>
        <v>9791.59882774341</v>
      </c>
      <c r="M1499" s="34" t="s">
        <v>2113</v>
      </c>
      <c r="N1499" s="40"/>
      <c r="O1499" s="30" t="n">
        <f aca="false">K1499+N1499</f>
        <v>300700</v>
      </c>
      <c r="P1499" s="39" t="n">
        <f aca="false">O1499/J1499</f>
        <v>9791.59882774341</v>
      </c>
      <c r="Q1499" s="19" t="s">
        <v>1320</v>
      </c>
      <c r="R1499" s="22" t="s">
        <v>27</v>
      </c>
      <c r="S1499" s="19" t="s">
        <v>29</v>
      </c>
      <c r="T1499" s="19" t="s">
        <v>30</v>
      </c>
      <c r="U1499" s="31" t="s">
        <v>31</v>
      </c>
      <c r="V1499" s="41" t="n">
        <v>43689</v>
      </c>
      <c r="W1499" s="34" t="s">
        <v>2114</v>
      </c>
      <c r="X1499" s="18"/>
    </row>
    <row r="1500" customFormat="false" ht="13.8" hidden="false" customHeight="false" outlineLevel="0" collapsed="false">
      <c r="A1500" s="34"/>
      <c r="B1500" s="19" t="n">
        <v>4492</v>
      </c>
      <c r="C1500" s="20" t="n">
        <v>43455</v>
      </c>
      <c r="D1500" s="38" t="s">
        <v>22</v>
      </c>
      <c r="E1500" s="22" t="s">
        <v>65</v>
      </c>
      <c r="F1500" s="34" t="s">
        <v>507</v>
      </c>
      <c r="G1500" s="19" t="n">
        <v>1</v>
      </c>
      <c r="H1500" s="19" t="n">
        <v>262</v>
      </c>
      <c r="I1500" s="19" t="n">
        <v>1</v>
      </c>
      <c r="J1500" s="19" t="n">
        <v>48</v>
      </c>
      <c r="K1500" s="39" t="n">
        <v>326000</v>
      </c>
      <c r="L1500" s="39" t="n">
        <f aca="false">K1500/J1500</f>
        <v>6791.66666666667</v>
      </c>
      <c r="M1500" s="34"/>
      <c r="N1500" s="40"/>
      <c r="O1500" s="30" t="n">
        <f aca="false">K1500+N1500</f>
        <v>326000</v>
      </c>
      <c r="P1500" s="39" t="n">
        <f aca="false">O1500/J1500</f>
        <v>6791.66666666667</v>
      </c>
      <c r="Q1500" s="19" t="s">
        <v>1486</v>
      </c>
      <c r="R1500" s="22" t="s">
        <v>36</v>
      </c>
      <c r="S1500" s="19" t="s">
        <v>29</v>
      </c>
      <c r="T1500" s="19" t="s">
        <v>30</v>
      </c>
      <c r="U1500" s="31" t="s">
        <v>31</v>
      </c>
      <c r="V1500" s="41" t="n">
        <v>43689</v>
      </c>
      <c r="W1500" s="34" t="s">
        <v>2115</v>
      </c>
      <c r="X1500" s="18"/>
    </row>
    <row r="1501" customFormat="false" ht="13.8" hidden="false" customHeight="false" outlineLevel="0" collapsed="false">
      <c r="A1501" s="34"/>
      <c r="B1501" s="19" t="n">
        <v>12474</v>
      </c>
      <c r="C1501" s="20" t="n">
        <v>43455</v>
      </c>
      <c r="D1501" s="38" t="s">
        <v>22</v>
      </c>
      <c r="E1501" s="22" t="s">
        <v>72</v>
      </c>
      <c r="F1501" s="34" t="s">
        <v>387</v>
      </c>
      <c r="G1501" s="19" t="n">
        <v>17</v>
      </c>
      <c r="H1501" s="19" t="n">
        <v>9</v>
      </c>
      <c r="I1501" s="19" t="n">
        <v>3</v>
      </c>
      <c r="J1501" s="19" t="n">
        <v>36.93</v>
      </c>
      <c r="K1501" s="39" t="n">
        <v>367000</v>
      </c>
      <c r="L1501" s="39" t="n">
        <f aca="false">K1501/J1501</f>
        <v>9937.7200108313</v>
      </c>
      <c r="M1501" s="34"/>
      <c r="N1501" s="40"/>
      <c r="O1501" s="30" t="n">
        <f aca="false">K1501+N1501</f>
        <v>367000</v>
      </c>
      <c r="P1501" s="39" t="n">
        <f aca="false">O1501/J1501</f>
        <v>9937.7200108313</v>
      </c>
      <c r="Q1501" s="19" t="s">
        <v>1320</v>
      </c>
      <c r="R1501" s="22" t="s">
        <v>27</v>
      </c>
      <c r="S1501" s="19" t="s">
        <v>29</v>
      </c>
      <c r="T1501" s="19" t="s">
        <v>30</v>
      </c>
      <c r="U1501" s="31" t="s">
        <v>31</v>
      </c>
      <c r="V1501" s="41" t="n">
        <v>43690</v>
      </c>
      <c r="W1501" s="34" t="s">
        <v>2116</v>
      </c>
      <c r="X1501" s="34"/>
    </row>
    <row r="1502" customFormat="false" ht="13.8" hidden="false" customHeight="false" outlineLevel="0" collapsed="false">
      <c r="A1502" s="34"/>
      <c r="B1502" s="19" t="n">
        <v>5322</v>
      </c>
      <c r="C1502" s="20" t="n">
        <v>43455</v>
      </c>
      <c r="D1502" s="38" t="s">
        <v>22</v>
      </c>
      <c r="E1502" s="22" t="s">
        <v>440</v>
      </c>
      <c r="F1502" s="34" t="s">
        <v>544</v>
      </c>
      <c r="G1502" s="19" t="s">
        <v>818</v>
      </c>
      <c r="H1502" s="19" t="n">
        <v>13</v>
      </c>
      <c r="I1502" s="19" t="n">
        <v>2</v>
      </c>
      <c r="J1502" s="19" t="n">
        <v>70.52</v>
      </c>
      <c r="K1502" s="39" t="n">
        <v>745000</v>
      </c>
      <c r="L1502" s="39" t="n">
        <f aca="false">K1502/J1502</f>
        <v>10564.378899603</v>
      </c>
      <c r="M1502" s="18"/>
      <c r="N1502" s="40"/>
      <c r="O1502" s="30" t="n">
        <f aca="false">K1502+N1502</f>
        <v>745000</v>
      </c>
      <c r="P1502" s="39" t="n">
        <f aca="false">O1502/J1502</f>
        <v>10564.378899603</v>
      </c>
      <c r="Q1502" s="19" t="s">
        <v>2117</v>
      </c>
      <c r="R1502" s="22" t="s">
        <v>26</v>
      </c>
      <c r="S1502" s="19" t="s">
        <v>29</v>
      </c>
      <c r="T1502" s="19" t="s">
        <v>30</v>
      </c>
      <c r="U1502" s="31" t="s">
        <v>31</v>
      </c>
      <c r="V1502" s="41" t="n">
        <v>43690</v>
      </c>
      <c r="W1502" s="34" t="s">
        <v>2118</v>
      </c>
      <c r="X1502" s="18"/>
    </row>
    <row r="1503" customFormat="false" ht="13.8" hidden="false" customHeight="false" outlineLevel="0" collapsed="false">
      <c r="A1503" s="34"/>
      <c r="B1503" s="19" t="n">
        <v>4377</v>
      </c>
      <c r="C1503" s="20" t="n">
        <v>43456</v>
      </c>
      <c r="D1503" s="38" t="s">
        <v>22</v>
      </c>
      <c r="E1503" s="22" t="s">
        <v>622</v>
      </c>
      <c r="F1503" s="34" t="s">
        <v>38</v>
      </c>
      <c r="G1503" s="19" t="n">
        <v>54</v>
      </c>
      <c r="H1503" s="19" t="n">
        <v>83</v>
      </c>
      <c r="I1503" s="19" t="n">
        <v>7</v>
      </c>
      <c r="J1503" s="19" t="n">
        <v>37.4</v>
      </c>
      <c r="K1503" s="39" t="n">
        <v>320000</v>
      </c>
      <c r="L1503" s="39" t="n">
        <f aca="false">K1503/J1503</f>
        <v>8556.14973262032</v>
      </c>
      <c r="M1503" s="18"/>
      <c r="N1503" s="40"/>
      <c r="O1503" s="30" t="n">
        <f aca="false">K1503+N1503</f>
        <v>320000</v>
      </c>
      <c r="P1503" s="39" t="n">
        <f aca="false">O1503/J1503</f>
        <v>8556.14973262032</v>
      </c>
      <c r="Q1503" s="19" t="s">
        <v>1486</v>
      </c>
      <c r="R1503" s="22" t="s">
        <v>36</v>
      </c>
      <c r="S1503" s="19" t="s">
        <v>29</v>
      </c>
      <c r="T1503" s="19" t="s">
        <v>30</v>
      </c>
      <c r="U1503" s="19" t="s">
        <v>31</v>
      </c>
      <c r="V1503" s="41" t="n">
        <v>43693</v>
      </c>
      <c r="W1503" s="34" t="s">
        <v>2119</v>
      </c>
      <c r="X1503" s="18"/>
    </row>
    <row r="1504" customFormat="false" ht="13.8" hidden="false" customHeight="false" outlineLevel="0" collapsed="false">
      <c r="A1504" s="34"/>
      <c r="B1504" s="19" t="n">
        <v>5851</v>
      </c>
      <c r="C1504" s="20" t="n">
        <v>43461</v>
      </c>
      <c r="D1504" s="38" t="s">
        <v>22</v>
      </c>
      <c r="E1504" s="22" t="s">
        <v>319</v>
      </c>
      <c r="F1504" s="34" t="s">
        <v>320</v>
      </c>
      <c r="G1504" s="19" t="s">
        <v>321</v>
      </c>
      <c r="H1504" s="19" t="n">
        <v>145</v>
      </c>
      <c r="I1504" s="19" t="n">
        <v>6</v>
      </c>
      <c r="J1504" s="19" t="n">
        <v>85.64</v>
      </c>
      <c r="K1504" s="39" t="n">
        <v>784000</v>
      </c>
      <c r="L1504" s="39" t="n">
        <f aca="false">K1504/J1504</f>
        <v>9154.60065390005</v>
      </c>
      <c r="M1504" s="34" t="s">
        <v>2120</v>
      </c>
      <c r="N1504" s="40" t="n">
        <v>35000</v>
      </c>
      <c r="O1504" s="30" t="n">
        <f aca="false">K1504+N1504</f>
        <v>819000</v>
      </c>
      <c r="P1504" s="39" t="n">
        <f aca="false">O1504/J1504</f>
        <v>9563.28818309201</v>
      </c>
      <c r="Q1504" s="19" t="s">
        <v>2121</v>
      </c>
      <c r="R1504" s="22" t="s">
        <v>26</v>
      </c>
      <c r="S1504" s="19" t="s">
        <v>29</v>
      </c>
      <c r="T1504" s="19" t="s">
        <v>30</v>
      </c>
      <c r="U1504" s="31" t="s">
        <v>31</v>
      </c>
      <c r="V1504" s="41" t="n">
        <v>43690</v>
      </c>
      <c r="W1504" s="34" t="s">
        <v>2122</v>
      </c>
      <c r="X1504" s="18"/>
    </row>
    <row r="1505" s="32" customFormat="true" ht="13.8" hidden="false" customHeight="false" outlineLevel="0" collapsed="false">
      <c r="A1505" s="34"/>
      <c r="B1505" s="19" t="n">
        <v>4168</v>
      </c>
      <c r="C1505" s="20" t="n">
        <v>43461</v>
      </c>
      <c r="D1505" s="38" t="s">
        <v>22</v>
      </c>
      <c r="E1505" s="22" t="s">
        <v>190</v>
      </c>
      <c r="F1505" s="34" t="s">
        <v>191</v>
      </c>
      <c r="G1505" s="22" t="s">
        <v>192</v>
      </c>
      <c r="H1505" s="19" t="n">
        <v>32</v>
      </c>
      <c r="I1505" s="19" t="n">
        <v>6</v>
      </c>
      <c r="J1505" s="19" t="n">
        <f aca="false">64.72-3.16</f>
        <v>61.56</v>
      </c>
      <c r="K1505" s="39" t="n">
        <v>415000</v>
      </c>
      <c r="L1505" s="39" t="n">
        <f aca="false">K1505/J1505</f>
        <v>6741.39051332034</v>
      </c>
      <c r="M1505" s="34" t="s">
        <v>2123</v>
      </c>
      <c r="N1505" s="40"/>
      <c r="O1505" s="30" t="n">
        <f aca="false">K1505+N1505</f>
        <v>415000</v>
      </c>
      <c r="P1505" s="39" t="n">
        <f aca="false">O1505/J1505</f>
        <v>6741.39051332034</v>
      </c>
      <c r="Q1505" s="19" t="s">
        <v>1340</v>
      </c>
      <c r="R1505" s="22" t="s">
        <v>26</v>
      </c>
      <c r="S1505" s="19" t="s">
        <v>29</v>
      </c>
      <c r="T1505" s="19" t="s">
        <v>30</v>
      </c>
      <c r="U1505" s="19" t="s">
        <v>31</v>
      </c>
      <c r="V1505" s="41" t="n">
        <v>43696</v>
      </c>
      <c r="W1505" s="34" t="s">
        <v>2124</v>
      </c>
      <c r="X1505" s="18"/>
    </row>
    <row r="1506" customFormat="false" ht="13.8" hidden="false" customHeight="false" outlineLevel="0" collapsed="false">
      <c r="A1506" s="34"/>
      <c r="B1506" s="19" t="n">
        <v>10846</v>
      </c>
      <c r="C1506" s="20" t="n">
        <v>43461</v>
      </c>
      <c r="D1506" s="38" t="s">
        <v>22</v>
      </c>
      <c r="E1506" s="22" t="s">
        <v>80</v>
      </c>
      <c r="F1506" s="34" t="s">
        <v>81</v>
      </c>
      <c r="G1506" s="19" t="n">
        <v>3</v>
      </c>
      <c r="H1506" s="19" t="n">
        <v>154</v>
      </c>
      <c r="I1506" s="19" t="n">
        <v>6</v>
      </c>
      <c r="J1506" s="19" t="n">
        <v>92.02</v>
      </c>
      <c r="K1506" s="39" t="n">
        <v>1500000</v>
      </c>
      <c r="L1506" s="39" t="n">
        <f aca="false">K1506/J1506</f>
        <v>16300.8041730059</v>
      </c>
      <c r="M1506" s="34" t="s">
        <v>2125</v>
      </c>
      <c r="N1506" s="40" t="n">
        <v>50000</v>
      </c>
      <c r="O1506" s="30" t="n">
        <f aca="false">K1506+N1506</f>
        <v>1550000</v>
      </c>
      <c r="P1506" s="39" t="n">
        <f aca="false">O1506/J1506</f>
        <v>16844.1643121061</v>
      </c>
      <c r="Q1506" s="19" t="s">
        <v>2126</v>
      </c>
      <c r="R1506" s="22" t="s">
        <v>26</v>
      </c>
      <c r="S1506" s="19" t="s">
        <v>29</v>
      </c>
      <c r="T1506" s="19" t="s">
        <v>30</v>
      </c>
      <c r="U1506" s="31" t="s">
        <v>31</v>
      </c>
      <c r="V1506" s="41" t="n">
        <v>43691</v>
      </c>
      <c r="W1506" s="34" t="s">
        <v>2127</v>
      </c>
      <c r="X1506" s="34"/>
    </row>
    <row r="1507" customFormat="false" ht="13.8" hidden="false" customHeight="false" outlineLevel="0" collapsed="false">
      <c r="A1507" s="34"/>
      <c r="B1507" s="19" t="n">
        <v>41405</v>
      </c>
      <c r="C1507" s="20" t="n">
        <v>43461</v>
      </c>
      <c r="D1507" s="38" t="s">
        <v>22</v>
      </c>
      <c r="E1507" s="22" t="s">
        <v>93</v>
      </c>
      <c r="F1507" s="34" t="s">
        <v>514</v>
      </c>
      <c r="G1507" s="19" t="s">
        <v>818</v>
      </c>
      <c r="H1507" s="19" t="n">
        <v>46</v>
      </c>
      <c r="I1507" s="19" t="n">
        <v>3</v>
      </c>
      <c r="J1507" s="19" t="n">
        <v>56.2</v>
      </c>
      <c r="K1507" s="39" t="n">
        <v>530000</v>
      </c>
      <c r="L1507" s="39" t="n">
        <f aca="false">K1507/J1507</f>
        <v>9430.60498220641</v>
      </c>
      <c r="M1507" s="34" t="s">
        <v>2128</v>
      </c>
      <c r="N1507" s="40" t="n">
        <v>20000</v>
      </c>
      <c r="O1507" s="30" t="n">
        <f aca="false">K1507+N1507</f>
        <v>550000</v>
      </c>
      <c r="P1507" s="39" t="n">
        <f aca="false">O1507/J1507</f>
        <v>9786.4768683274</v>
      </c>
      <c r="Q1507" s="19" t="s">
        <v>1486</v>
      </c>
      <c r="R1507" s="22" t="s">
        <v>36</v>
      </c>
      <c r="S1507" s="19" t="s">
        <v>29</v>
      </c>
      <c r="T1507" s="19" t="s">
        <v>30</v>
      </c>
      <c r="U1507" s="31" t="s">
        <v>31</v>
      </c>
      <c r="V1507" s="41" t="n">
        <v>43691</v>
      </c>
      <c r="W1507" s="34" t="s">
        <v>2129</v>
      </c>
      <c r="X1507" s="18"/>
    </row>
    <row r="1508" customFormat="false" ht="13.8" hidden="false" customHeight="false" outlineLevel="0" collapsed="false">
      <c r="A1508" s="34"/>
      <c r="B1508" s="19" t="n">
        <v>11592</v>
      </c>
      <c r="C1508" s="20" t="n">
        <v>43461</v>
      </c>
      <c r="D1508" s="38" t="s">
        <v>22</v>
      </c>
      <c r="E1508" s="22" t="s">
        <v>543</v>
      </c>
      <c r="F1508" s="34" t="s">
        <v>1076</v>
      </c>
      <c r="G1508" s="19" t="n">
        <v>49</v>
      </c>
      <c r="H1508" s="19" t="n">
        <v>75</v>
      </c>
      <c r="I1508" s="19" t="n">
        <v>10</v>
      </c>
      <c r="J1508" s="19" t="n">
        <v>37.02</v>
      </c>
      <c r="K1508" s="39" t="n">
        <v>275000</v>
      </c>
      <c r="L1508" s="39" t="n">
        <f aca="false">K1508/J1508</f>
        <v>7428.41707185305</v>
      </c>
      <c r="M1508" s="34"/>
      <c r="N1508" s="40"/>
      <c r="O1508" s="30" t="n">
        <f aca="false">K1508+N1508</f>
        <v>275000</v>
      </c>
      <c r="P1508" s="39" t="n">
        <f aca="false">O1508/J1508</f>
        <v>7428.41707185305</v>
      </c>
      <c r="Q1508" s="19" t="s">
        <v>1486</v>
      </c>
      <c r="R1508" s="22" t="s">
        <v>36</v>
      </c>
      <c r="S1508" s="19" t="s">
        <v>29</v>
      </c>
      <c r="T1508" s="19" t="s">
        <v>30</v>
      </c>
      <c r="U1508" s="19" t="s">
        <v>31</v>
      </c>
      <c r="V1508" s="41" t="n">
        <v>43693</v>
      </c>
      <c r="W1508" s="34" t="s">
        <v>2130</v>
      </c>
      <c r="X1508" s="18"/>
    </row>
    <row r="1509" customFormat="false" ht="13.8" hidden="false" customHeight="false" outlineLevel="0" collapsed="false">
      <c r="A1509" s="34"/>
      <c r="B1509" s="19" t="n">
        <v>21165</v>
      </c>
      <c r="C1509" s="20" t="n">
        <v>43461</v>
      </c>
      <c r="D1509" s="38" t="s">
        <v>22</v>
      </c>
      <c r="E1509" s="22" t="s">
        <v>118</v>
      </c>
      <c r="F1509" s="34" t="s">
        <v>119</v>
      </c>
      <c r="G1509" s="19" t="n">
        <v>10</v>
      </c>
      <c r="H1509" s="19" t="n">
        <v>25</v>
      </c>
      <c r="I1509" s="19" t="n">
        <v>5</v>
      </c>
      <c r="J1509" s="19" t="n">
        <v>38.9</v>
      </c>
      <c r="K1509" s="39" t="n">
        <v>345000</v>
      </c>
      <c r="L1509" s="39" t="n">
        <f aca="false">K1509/J1509</f>
        <v>8868.89460154242</v>
      </c>
      <c r="M1509" s="34" t="s">
        <v>2131</v>
      </c>
      <c r="N1509" s="40"/>
      <c r="O1509" s="30" t="n">
        <f aca="false">K1509+N1509</f>
        <v>345000</v>
      </c>
      <c r="P1509" s="39" t="n">
        <f aca="false">O1509/J1509</f>
        <v>8868.89460154242</v>
      </c>
      <c r="Q1509" s="19" t="s">
        <v>1486</v>
      </c>
      <c r="R1509" s="22" t="s">
        <v>36</v>
      </c>
      <c r="S1509" s="19" t="s">
        <v>29</v>
      </c>
      <c r="T1509" s="19" t="s">
        <v>30</v>
      </c>
      <c r="U1509" s="19" t="s">
        <v>31</v>
      </c>
      <c r="V1509" s="41" t="n">
        <v>43691</v>
      </c>
      <c r="W1509" s="34" t="s">
        <v>2132</v>
      </c>
      <c r="X1509" s="18"/>
    </row>
    <row r="1510" s="32" customFormat="true" ht="13.8" hidden="false" customHeight="false" outlineLevel="0" collapsed="false">
      <c r="A1510" s="34"/>
      <c r="B1510" s="19" t="n">
        <v>6168</v>
      </c>
      <c r="C1510" s="20" t="n">
        <v>43461</v>
      </c>
      <c r="D1510" s="38" t="s">
        <v>22</v>
      </c>
      <c r="E1510" s="22" t="s">
        <v>299</v>
      </c>
      <c r="F1510" s="34" t="s">
        <v>271</v>
      </c>
      <c r="G1510" s="19" t="s">
        <v>455</v>
      </c>
      <c r="H1510" s="19" t="n">
        <v>34</v>
      </c>
      <c r="I1510" s="19" t="n">
        <v>3</v>
      </c>
      <c r="J1510" s="19" t="n">
        <v>42.41</v>
      </c>
      <c r="K1510" s="39" t="n">
        <v>450000</v>
      </c>
      <c r="L1510" s="39" t="n">
        <f aca="false">K1510/J1510</f>
        <v>10610.7050224004</v>
      </c>
      <c r="M1510" s="34"/>
      <c r="N1510" s="40"/>
      <c r="O1510" s="30" t="n">
        <f aca="false">K1510+N1510</f>
        <v>450000</v>
      </c>
      <c r="P1510" s="39" t="n">
        <f aca="false">O1510/J1510</f>
        <v>10610.7050224004</v>
      </c>
      <c r="Q1510" s="19" t="s">
        <v>2133</v>
      </c>
      <c r="R1510" s="22" t="s">
        <v>36</v>
      </c>
      <c r="S1510" s="19" t="s">
        <v>29</v>
      </c>
      <c r="T1510" s="19" t="s">
        <v>30</v>
      </c>
      <c r="U1510" s="19" t="s">
        <v>31</v>
      </c>
      <c r="V1510" s="41" t="n">
        <v>43693</v>
      </c>
      <c r="W1510" s="34" t="s">
        <v>2134</v>
      </c>
      <c r="X1510" s="18"/>
    </row>
    <row r="1511" customFormat="false" ht="13.8" hidden="false" customHeight="false" outlineLevel="0" collapsed="false">
      <c r="A1511" s="34"/>
      <c r="B1511" s="19" t="n">
        <v>3147</v>
      </c>
      <c r="C1511" s="20" t="n">
        <v>43461</v>
      </c>
      <c r="D1511" s="38" t="s">
        <v>22</v>
      </c>
      <c r="E1511" s="22" t="s">
        <v>299</v>
      </c>
      <c r="F1511" s="34" t="s">
        <v>271</v>
      </c>
      <c r="G1511" s="19" t="s">
        <v>455</v>
      </c>
      <c r="H1511" s="19" t="n">
        <v>28</v>
      </c>
      <c r="I1511" s="19" t="n">
        <v>4</v>
      </c>
      <c r="J1511" s="19" t="n">
        <v>48.66</v>
      </c>
      <c r="K1511" s="39" t="n">
        <v>570000</v>
      </c>
      <c r="L1511" s="39" t="n">
        <f aca="false">K1511/J1511</f>
        <v>11713.9334155364</v>
      </c>
      <c r="M1511" s="34"/>
      <c r="N1511" s="40"/>
      <c r="O1511" s="30" t="n">
        <f aca="false">K1511+N1511</f>
        <v>570000</v>
      </c>
      <c r="P1511" s="39" t="n">
        <f aca="false">O1511/J1511</f>
        <v>11713.9334155364</v>
      </c>
      <c r="Q1511" s="19" t="s">
        <v>1486</v>
      </c>
      <c r="R1511" s="22" t="s">
        <v>36</v>
      </c>
      <c r="S1511" s="19" t="s">
        <v>29</v>
      </c>
      <c r="T1511" s="19" t="s">
        <v>30</v>
      </c>
      <c r="U1511" s="19" t="s">
        <v>2135</v>
      </c>
      <c r="V1511" s="41" t="n">
        <v>43691</v>
      </c>
      <c r="W1511" s="34" t="s">
        <v>2136</v>
      </c>
      <c r="X1511" s="18"/>
    </row>
    <row r="1512" customFormat="false" ht="13.8" hidden="false" customHeight="false" outlineLevel="0" collapsed="false">
      <c r="A1512" s="34"/>
      <c r="B1512" s="19" t="n">
        <v>7509</v>
      </c>
      <c r="C1512" s="20" t="n">
        <v>43462</v>
      </c>
      <c r="D1512" s="38" t="s">
        <v>22</v>
      </c>
      <c r="E1512" s="22" t="s">
        <v>375</v>
      </c>
      <c r="F1512" s="34" t="s">
        <v>94</v>
      </c>
      <c r="G1512" s="19" t="n">
        <v>157</v>
      </c>
      <c r="H1512" s="19" t="n">
        <v>4</v>
      </c>
      <c r="I1512" s="19" t="n">
        <v>1</v>
      </c>
      <c r="J1512" s="19" t="n">
        <v>41.1</v>
      </c>
      <c r="K1512" s="39" t="n">
        <v>425000</v>
      </c>
      <c r="L1512" s="39" t="n">
        <f aca="false">K1512/J1512</f>
        <v>10340.6326034063</v>
      </c>
      <c r="M1512" s="34"/>
      <c r="N1512" s="40"/>
      <c r="O1512" s="30" t="n">
        <f aca="false">K1512+N1512</f>
        <v>425000</v>
      </c>
      <c r="P1512" s="39" t="n">
        <f aca="false">O1512/J1512</f>
        <v>10340.6326034063</v>
      </c>
      <c r="Q1512" s="19" t="s">
        <v>1486</v>
      </c>
      <c r="R1512" s="22" t="s">
        <v>36</v>
      </c>
      <c r="S1512" s="19" t="s">
        <v>29</v>
      </c>
      <c r="T1512" s="19" t="s">
        <v>30</v>
      </c>
      <c r="U1512" s="31" t="s">
        <v>31</v>
      </c>
      <c r="V1512" s="41" t="n">
        <v>43689</v>
      </c>
      <c r="W1512" s="34" t="s">
        <v>2137</v>
      </c>
      <c r="X1512" s="18"/>
    </row>
    <row r="1513" customFormat="false" ht="13.8" hidden="false" customHeight="false" outlineLevel="0" collapsed="false">
      <c r="A1513" s="34"/>
      <c r="B1513" s="19" t="n">
        <v>3169</v>
      </c>
      <c r="C1513" s="20" t="n">
        <v>43462</v>
      </c>
      <c r="D1513" s="38" t="s">
        <v>22</v>
      </c>
      <c r="E1513" s="22" t="s">
        <v>75</v>
      </c>
      <c r="F1513" s="34" t="s">
        <v>134</v>
      </c>
      <c r="G1513" s="19" t="n">
        <v>8</v>
      </c>
      <c r="H1513" s="19" t="n">
        <v>13</v>
      </c>
      <c r="I1513" s="19" t="n">
        <v>2</v>
      </c>
      <c r="J1513" s="19" t="n">
        <v>49.75</v>
      </c>
      <c r="K1513" s="39" t="n">
        <v>310000</v>
      </c>
      <c r="L1513" s="39" t="n">
        <f aca="false">K1513/J1513</f>
        <v>6231.15577889447</v>
      </c>
      <c r="M1513" s="34" t="s">
        <v>2138</v>
      </c>
      <c r="N1513" s="40" t="n">
        <v>15000</v>
      </c>
      <c r="O1513" s="30" t="n">
        <f aca="false">K1513+N1513</f>
        <v>325000</v>
      </c>
      <c r="P1513" s="39" t="n">
        <f aca="false">O1513/J1513</f>
        <v>6532.66331658291</v>
      </c>
      <c r="Q1513" s="19" t="s">
        <v>2021</v>
      </c>
      <c r="R1513" s="22" t="s">
        <v>36</v>
      </c>
      <c r="S1513" s="19" t="s">
        <v>29</v>
      </c>
      <c r="T1513" s="19" t="s">
        <v>30</v>
      </c>
      <c r="U1513" s="19" t="s">
        <v>31</v>
      </c>
      <c r="V1513" s="41" t="n">
        <v>43693</v>
      </c>
      <c r="W1513" s="34" t="s">
        <v>2139</v>
      </c>
      <c r="X1513" s="18"/>
    </row>
    <row r="1514" customFormat="false" ht="13.8" hidden="false" customHeight="false" outlineLevel="0" collapsed="false">
      <c r="A1514" s="34"/>
      <c r="B1514" s="19" t="n">
        <v>8270</v>
      </c>
      <c r="C1514" s="20" t="n">
        <v>43462</v>
      </c>
      <c r="D1514" s="38" t="s">
        <v>22</v>
      </c>
      <c r="E1514" s="22" t="s">
        <v>677</v>
      </c>
      <c r="F1514" s="34" t="s">
        <v>344</v>
      </c>
      <c r="G1514" s="19" t="n">
        <v>20</v>
      </c>
      <c r="H1514" s="19" t="n">
        <v>34</v>
      </c>
      <c r="I1514" s="19" t="n">
        <v>8</v>
      </c>
      <c r="J1514" s="19" t="n">
        <v>58.4</v>
      </c>
      <c r="K1514" s="39" t="n">
        <v>437000</v>
      </c>
      <c r="L1514" s="39" t="n">
        <f aca="false">K1514/J1514</f>
        <v>7482.87671232877</v>
      </c>
      <c r="M1514" s="34" t="s">
        <v>2140</v>
      </c>
      <c r="N1514" s="40" t="n">
        <v>15000</v>
      </c>
      <c r="O1514" s="30" t="n">
        <f aca="false">K1514+N1514</f>
        <v>452000</v>
      </c>
      <c r="P1514" s="39" t="n">
        <f aca="false">O1514/J1514</f>
        <v>7739.72602739726</v>
      </c>
      <c r="Q1514" s="19" t="s">
        <v>2141</v>
      </c>
      <c r="R1514" s="22" t="s">
        <v>36</v>
      </c>
      <c r="S1514" s="19" t="s">
        <v>29</v>
      </c>
      <c r="T1514" s="19" t="s">
        <v>30</v>
      </c>
      <c r="U1514" s="31" t="s">
        <v>31</v>
      </c>
      <c r="V1514" s="41" t="n">
        <v>43690</v>
      </c>
      <c r="W1514" s="34" t="s">
        <v>2142</v>
      </c>
      <c r="X1514" s="34"/>
      <c r="Z1514" s="33"/>
    </row>
    <row r="1515" customFormat="false" ht="13.8" hidden="false" customHeight="false" outlineLevel="0" collapsed="false">
      <c r="A1515" s="34"/>
      <c r="B1515" s="19" t="n">
        <v>57058</v>
      </c>
      <c r="C1515" s="20" t="n">
        <v>43462</v>
      </c>
      <c r="D1515" s="38" t="s">
        <v>22</v>
      </c>
      <c r="E1515" s="22" t="s">
        <v>677</v>
      </c>
      <c r="F1515" s="34" t="s">
        <v>344</v>
      </c>
      <c r="G1515" s="19" t="n">
        <v>20</v>
      </c>
      <c r="H1515" s="19" t="n">
        <v>48</v>
      </c>
      <c r="I1515" s="19" t="n">
        <v>6</v>
      </c>
      <c r="J1515" s="19" t="n">
        <v>65.5</v>
      </c>
      <c r="K1515" s="39" t="n">
        <v>583000</v>
      </c>
      <c r="L1515" s="39" t="n">
        <f aca="false">K1515/J1515</f>
        <v>8900.76335877863</v>
      </c>
      <c r="M1515" s="18"/>
      <c r="N1515" s="40"/>
      <c r="O1515" s="30" t="n">
        <f aca="false">K1515+N1515</f>
        <v>583000</v>
      </c>
      <c r="P1515" s="39" t="n">
        <f aca="false">O1515/J1515</f>
        <v>8900.76335877863</v>
      </c>
      <c r="Q1515" s="19" t="s">
        <v>1340</v>
      </c>
      <c r="R1515" s="22" t="s">
        <v>26</v>
      </c>
      <c r="S1515" s="19" t="s">
        <v>29</v>
      </c>
      <c r="T1515" s="19" t="s">
        <v>30</v>
      </c>
      <c r="U1515" s="31" t="s">
        <v>31</v>
      </c>
      <c r="V1515" s="41" t="n">
        <v>43691</v>
      </c>
      <c r="W1515" s="34" t="s">
        <v>2143</v>
      </c>
      <c r="X1515" s="18"/>
    </row>
    <row r="1516" customFormat="false" ht="13.8" hidden="false" customHeight="false" outlineLevel="0" collapsed="false">
      <c r="A1516" s="34"/>
      <c r="B1516" s="19" t="n">
        <v>29</v>
      </c>
      <c r="C1516" s="20" t="n">
        <v>43462</v>
      </c>
      <c r="D1516" s="38" t="s">
        <v>22</v>
      </c>
      <c r="E1516" s="22" t="s">
        <v>517</v>
      </c>
      <c r="F1516" s="34" t="s">
        <v>1740</v>
      </c>
      <c r="G1516" s="19" t="n">
        <v>89</v>
      </c>
      <c r="H1516" s="19" t="n">
        <v>138</v>
      </c>
      <c r="I1516" s="19" t="n">
        <v>10</v>
      </c>
      <c r="J1516" s="19" t="n">
        <v>27.1</v>
      </c>
      <c r="K1516" s="39" t="n">
        <v>250000</v>
      </c>
      <c r="L1516" s="39" t="n">
        <f aca="false">K1516/J1516</f>
        <v>9225.09225092251</v>
      </c>
      <c r="M1516" s="18"/>
      <c r="N1516" s="40"/>
      <c r="O1516" s="30" t="n">
        <f aca="false">K1516+N1516</f>
        <v>250000</v>
      </c>
      <c r="P1516" s="39" t="n">
        <f aca="false">O1516/J1516</f>
        <v>9225.09225092251</v>
      </c>
      <c r="Q1516" s="19" t="s">
        <v>1320</v>
      </c>
      <c r="R1516" s="22" t="s">
        <v>27</v>
      </c>
      <c r="S1516" s="19" t="s">
        <v>29</v>
      </c>
      <c r="T1516" s="19" t="s">
        <v>30</v>
      </c>
      <c r="U1516" s="19" t="s">
        <v>31</v>
      </c>
      <c r="V1516" s="41" t="n">
        <v>43693</v>
      </c>
      <c r="W1516" s="34" t="s">
        <v>2144</v>
      </c>
      <c r="X1516" s="18"/>
      <c r="Y1516" s="35"/>
      <c r="Z1516" s="43"/>
      <c r="AB1516" s="37"/>
    </row>
    <row r="1517" customFormat="false" ht="13.8" hidden="false" customHeight="false" outlineLevel="0" collapsed="false">
      <c r="A1517" s="34"/>
      <c r="B1517" s="19" t="n">
        <v>3670</v>
      </c>
      <c r="C1517" s="20" t="n">
        <v>43462</v>
      </c>
      <c r="D1517" s="38" t="s">
        <v>22</v>
      </c>
      <c r="E1517" s="22" t="s">
        <v>622</v>
      </c>
      <c r="F1517" s="34" t="s">
        <v>38</v>
      </c>
      <c r="G1517" s="19" t="n">
        <v>48</v>
      </c>
      <c r="H1517" s="19" t="n">
        <v>125</v>
      </c>
      <c r="I1517" s="19" t="n">
        <v>10</v>
      </c>
      <c r="J1517" s="19" t="n">
        <v>19.5</v>
      </c>
      <c r="K1517" s="39" t="n">
        <v>244000</v>
      </c>
      <c r="L1517" s="39" t="n">
        <f aca="false">K1517/J1517</f>
        <v>12512.8205128205</v>
      </c>
      <c r="M1517" s="18"/>
      <c r="N1517" s="40"/>
      <c r="O1517" s="30" t="n">
        <f aca="false">K1517+N1517</f>
        <v>244000</v>
      </c>
      <c r="P1517" s="39" t="n">
        <f aca="false">O1517/J1517</f>
        <v>12512.8205128205</v>
      </c>
      <c r="Q1517" s="19" t="s">
        <v>1320</v>
      </c>
      <c r="R1517" s="22" t="s">
        <v>27</v>
      </c>
      <c r="S1517" s="19" t="s">
        <v>29</v>
      </c>
      <c r="T1517" s="19" t="s">
        <v>30</v>
      </c>
      <c r="U1517" s="31" t="s">
        <v>31</v>
      </c>
      <c r="V1517" s="41" t="n">
        <v>43691</v>
      </c>
      <c r="W1517" s="34" t="s">
        <v>1710</v>
      </c>
      <c r="X1517" s="18"/>
    </row>
    <row r="1518" customFormat="false" ht="13.8" hidden="false" customHeight="false" outlineLevel="0" collapsed="false">
      <c r="A1518" s="34"/>
      <c r="B1518" s="19" t="n">
        <v>7044</v>
      </c>
      <c r="C1518" s="20" t="n">
        <v>43462</v>
      </c>
      <c r="D1518" s="38" t="s">
        <v>22</v>
      </c>
      <c r="E1518" s="22" t="s">
        <v>190</v>
      </c>
      <c r="F1518" s="34" t="s">
        <v>591</v>
      </c>
      <c r="G1518" s="19" t="n">
        <v>18</v>
      </c>
      <c r="H1518" s="19" t="n">
        <v>408</v>
      </c>
      <c r="I1518" s="19" t="n">
        <v>5</v>
      </c>
      <c r="J1518" s="19" t="n">
        <v>45.45</v>
      </c>
      <c r="K1518" s="39" t="n">
        <v>440000</v>
      </c>
      <c r="L1518" s="39" t="n">
        <f aca="false">K1518/J1518</f>
        <v>9680.96809680968</v>
      </c>
      <c r="M1518" s="34" t="s">
        <v>2145</v>
      </c>
      <c r="N1518" s="40"/>
      <c r="O1518" s="30" t="n">
        <f aca="false">K1518+N1518</f>
        <v>440000</v>
      </c>
      <c r="P1518" s="39" t="n">
        <f aca="false">O1518/J1518</f>
        <v>9680.96809680968</v>
      </c>
      <c r="Q1518" s="19" t="s">
        <v>2146</v>
      </c>
      <c r="R1518" s="22" t="s">
        <v>36</v>
      </c>
      <c r="S1518" s="19" t="s">
        <v>29</v>
      </c>
      <c r="T1518" s="19" t="s">
        <v>30</v>
      </c>
      <c r="U1518" s="19" t="s">
        <v>31</v>
      </c>
      <c r="V1518" s="41" t="n">
        <v>43696</v>
      </c>
      <c r="W1518" s="34" t="s">
        <v>2147</v>
      </c>
      <c r="X1518" s="18"/>
    </row>
    <row r="1519" s="32" customFormat="true" ht="13.8" hidden="false" customHeight="false" outlineLevel="0" collapsed="false">
      <c r="A1519" s="34"/>
      <c r="B1519" s="19" t="n">
        <v>3621</v>
      </c>
      <c r="C1519" s="20" t="n">
        <v>43462</v>
      </c>
      <c r="D1519" s="38" t="s">
        <v>22</v>
      </c>
      <c r="E1519" s="22" t="s">
        <v>572</v>
      </c>
      <c r="F1519" s="34" t="s">
        <v>809</v>
      </c>
      <c r="G1519" s="19" t="n">
        <v>2</v>
      </c>
      <c r="H1519" s="19" t="n">
        <v>1103</v>
      </c>
      <c r="I1519" s="19" t="n">
        <v>11</v>
      </c>
      <c r="J1519" s="19" t="n">
        <v>48.7</v>
      </c>
      <c r="K1519" s="39" t="n">
        <v>330000</v>
      </c>
      <c r="L1519" s="39" t="n">
        <f aca="false">K1519/J1519</f>
        <v>6776.18069815195</v>
      </c>
      <c r="M1519" s="34" t="s">
        <v>2148</v>
      </c>
      <c r="N1519" s="40"/>
      <c r="O1519" s="30" t="n">
        <f aca="false">K1519+N1519</f>
        <v>330000</v>
      </c>
      <c r="P1519" s="39" t="n">
        <f aca="false">O1519/J1519</f>
        <v>6776.18069815195</v>
      </c>
      <c r="Q1519" s="19" t="s">
        <v>2149</v>
      </c>
      <c r="R1519" s="22" t="s">
        <v>36</v>
      </c>
      <c r="S1519" s="19" t="s">
        <v>29</v>
      </c>
      <c r="T1519" s="19" t="s">
        <v>30</v>
      </c>
      <c r="U1519" s="31" t="s">
        <v>31</v>
      </c>
      <c r="V1519" s="41" t="n">
        <v>43690</v>
      </c>
      <c r="W1519" s="34" t="s">
        <v>2150</v>
      </c>
      <c r="X1519" s="34"/>
    </row>
    <row r="1520" customFormat="false" ht="13.8" hidden="false" customHeight="false" outlineLevel="0" collapsed="false">
      <c r="A1520" s="34"/>
      <c r="B1520" s="19" t="n">
        <v>3204</v>
      </c>
      <c r="C1520" s="20" t="n">
        <v>43462</v>
      </c>
      <c r="D1520" s="38" t="s">
        <v>22</v>
      </c>
      <c r="E1520" s="22" t="s">
        <v>2151</v>
      </c>
      <c r="F1520" s="34" t="s">
        <v>2152</v>
      </c>
      <c r="G1520" s="19" t="n">
        <v>4</v>
      </c>
      <c r="H1520" s="19" t="n">
        <v>23</v>
      </c>
      <c r="I1520" s="19" t="n">
        <v>6</v>
      </c>
      <c r="J1520" s="19" t="n">
        <v>49.7</v>
      </c>
      <c r="K1520" s="39" t="n">
        <v>360000</v>
      </c>
      <c r="L1520" s="39" t="n">
        <f aca="false">K1520/J1520</f>
        <v>7243.46076458752</v>
      </c>
      <c r="M1520" s="34" t="s">
        <v>189</v>
      </c>
      <c r="N1520" s="40"/>
      <c r="O1520" s="30" t="n">
        <f aca="false">K1520+N1520</f>
        <v>360000</v>
      </c>
      <c r="P1520" s="39" t="n">
        <f aca="false">O1520/J1520</f>
        <v>7243.46076458752</v>
      </c>
      <c r="Q1520" s="19" t="s">
        <v>1486</v>
      </c>
      <c r="R1520" s="22" t="s">
        <v>36</v>
      </c>
      <c r="S1520" s="19" t="s">
        <v>29</v>
      </c>
      <c r="T1520" s="19" t="s">
        <v>30</v>
      </c>
      <c r="U1520" s="19" t="s">
        <v>31</v>
      </c>
      <c r="V1520" s="41" t="n">
        <v>43693</v>
      </c>
      <c r="W1520" s="34" t="s">
        <v>2153</v>
      </c>
      <c r="X1520" s="18"/>
    </row>
    <row r="1521" customFormat="false" ht="13.8" hidden="false" customHeight="false" outlineLevel="0" collapsed="false">
      <c r="A1521" s="34"/>
      <c r="B1521" s="19" t="n">
        <v>4669</v>
      </c>
      <c r="C1521" s="20" t="n">
        <v>43462</v>
      </c>
      <c r="D1521" s="38" t="s">
        <v>22</v>
      </c>
      <c r="E1521" s="22" t="s">
        <v>268</v>
      </c>
      <c r="F1521" s="34" t="s">
        <v>87</v>
      </c>
      <c r="G1521" s="19" t="s">
        <v>1989</v>
      </c>
      <c r="H1521" s="19" t="n">
        <v>27</v>
      </c>
      <c r="I1521" s="19" t="n">
        <v>1</v>
      </c>
      <c r="J1521" s="19" t="n">
        <v>38.2</v>
      </c>
      <c r="K1521" s="39" t="n">
        <v>325000</v>
      </c>
      <c r="L1521" s="39" t="n">
        <f aca="false">K1521/J1521</f>
        <v>8507.85340314136</v>
      </c>
      <c r="M1521" s="34"/>
      <c r="N1521" s="40"/>
      <c r="O1521" s="30" t="n">
        <f aca="false">K1521+N1521</f>
        <v>325000</v>
      </c>
      <c r="P1521" s="39" t="n">
        <f aca="false">O1521/J1521</f>
        <v>8507.85340314136</v>
      </c>
      <c r="Q1521" s="19" t="s">
        <v>1486</v>
      </c>
      <c r="R1521" s="22" t="s">
        <v>36</v>
      </c>
      <c r="S1521" s="19" t="s">
        <v>29</v>
      </c>
      <c r="T1521" s="19" t="s">
        <v>30</v>
      </c>
      <c r="U1521" s="31" t="s">
        <v>31</v>
      </c>
      <c r="V1521" s="41" t="n">
        <v>43691</v>
      </c>
      <c r="W1521" s="34" t="s">
        <v>2154</v>
      </c>
      <c r="X1521" s="18"/>
    </row>
    <row r="1522" customFormat="false" ht="13.8" hidden="false" customHeight="false" outlineLevel="0" collapsed="false">
      <c r="A1522" s="34"/>
      <c r="B1522" s="19" t="n">
        <v>5534</v>
      </c>
      <c r="C1522" s="20" t="n">
        <v>43462</v>
      </c>
      <c r="D1522" s="38" t="s">
        <v>22</v>
      </c>
      <c r="E1522" s="22" t="s">
        <v>681</v>
      </c>
      <c r="F1522" s="34" t="s">
        <v>46</v>
      </c>
      <c r="G1522" s="19" t="n">
        <v>41</v>
      </c>
      <c r="H1522" s="19" t="n">
        <v>9</v>
      </c>
      <c r="I1522" s="19" t="n">
        <v>3</v>
      </c>
      <c r="J1522" s="19" t="n">
        <v>80.31</v>
      </c>
      <c r="K1522" s="39" t="n">
        <v>845000</v>
      </c>
      <c r="L1522" s="39" t="n">
        <f aca="false">K1522/J1522</f>
        <v>10521.7283028265</v>
      </c>
      <c r="M1522" s="34"/>
      <c r="N1522" s="40"/>
      <c r="O1522" s="30" t="n">
        <f aca="false">K1522+N1522</f>
        <v>845000</v>
      </c>
      <c r="P1522" s="39" t="n">
        <f aca="false">O1522/J1522</f>
        <v>10521.7283028265</v>
      </c>
      <c r="Q1522" s="19" t="s">
        <v>2043</v>
      </c>
      <c r="R1522" s="22" t="s">
        <v>49</v>
      </c>
      <c r="S1522" s="19" t="s">
        <v>29</v>
      </c>
      <c r="T1522" s="19" t="s">
        <v>30</v>
      </c>
      <c r="U1522" s="19" t="s">
        <v>31</v>
      </c>
      <c r="V1522" s="41" t="n">
        <v>43693</v>
      </c>
      <c r="W1522" s="34" t="s">
        <v>2155</v>
      </c>
      <c r="X1522" s="18"/>
      <c r="Y1522" s="35"/>
      <c r="Z1522" s="36"/>
    </row>
    <row r="1523" customFormat="false" ht="13.8" hidden="false" customHeight="false" outlineLevel="0" collapsed="false">
      <c r="A1523" s="34"/>
      <c r="B1523" s="19" t="n">
        <v>1952</v>
      </c>
      <c r="C1523" s="20" t="n">
        <v>43462</v>
      </c>
      <c r="D1523" s="38" t="s">
        <v>22</v>
      </c>
      <c r="E1523" s="22" t="s">
        <v>369</v>
      </c>
      <c r="F1523" s="34" t="s">
        <v>271</v>
      </c>
      <c r="G1523" s="19" t="n">
        <v>8</v>
      </c>
      <c r="H1523" s="19" t="n">
        <v>64</v>
      </c>
      <c r="I1523" s="19" t="n">
        <v>10</v>
      </c>
      <c r="J1523" s="19" t="n">
        <v>51.1</v>
      </c>
      <c r="K1523" s="39" t="n">
        <v>515000</v>
      </c>
      <c r="L1523" s="39" t="n">
        <f aca="false">K1523/J1523</f>
        <v>10078.2778864971</v>
      </c>
      <c r="M1523" s="34" t="s">
        <v>2156</v>
      </c>
      <c r="N1523" s="40"/>
      <c r="O1523" s="30" t="n">
        <f aca="false">K1523+N1523</f>
        <v>515000</v>
      </c>
      <c r="P1523" s="39" t="n">
        <f aca="false">O1523/J1523</f>
        <v>10078.2778864971</v>
      </c>
      <c r="Q1523" s="19" t="s">
        <v>1340</v>
      </c>
      <c r="R1523" s="22" t="s">
        <v>26</v>
      </c>
      <c r="S1523" s="19" t="s">
        <v>29</v>
      </c>
      <c r="T1523" s="19" t="s">
        <v>30</v>
      </c>
      <c r="U1523" s="19" t="s">
        <v>31</v>
      </c>
      <c r="V1523" s="41" t="n">
        <v>43697</v>
      </c>
      <c r="W1523" s="34" t="s">
        <v>2157</v>
      </c>
      <c r="X1523" s="18"/>
    </row>
    <row r="1524" s="32" customFormat="true" ht="13.8" hidden="false" customHeight="false" outlineLevel="0" collapsed="false">
      <c r="A1524" s="34"/>
      <c r="B1524" s="19" t="n">
        <v>1065</v>
      </c>
      <c r="C1524" s="20" t="n">
        <v>43462</v>
      </c>
      <c r="D1524" s="38" t="s">
        <v>22</v>
      </c>
      <c r="E1524" s="22" t="s">
        <v>229</v>
      </c>
      <c r="F1524" s="34" t="s">
        <v>1722</v>
      </c>
      <c r="G1524" s="19" t="s">
        <v>1567</v>
      </c>
      <c r="H1524" s="19" t="s">
        <v>2158</v>
      </c>
      <c r="I1524" s="19" t="n">
        <v>4</v>
      </c>
      <c r="J1524" s="19" t="n">
        <v>49.43</v>
      </c>
      <c r="K1524" s="39" t="n">
        <v>500000</v>
      </c>
      <c r="L1524" s="39" t="n">
        <f aca="false">K1524/J1524</f>
        <v>10115.3145862836</v>
      </c>
      <c r="M1524" s="34"/>
      <c r="N1524" s="40"/>
      <c r="O1524" s="30" t="n">
        <f aca="false">K1524+N1524</f>
        <v>500000</v>
      </c>
      <c r="P1524" s="39" t="n">
        <f aca="false">O1524/J1524</f>
        <v>10115.3145862836</v>
      </c>
      <c r="Q1524" s="19" t="s">
        <v>2159</v>
      </c>
      <c r="R1524" s="22" t="s">
        <v>27</v>
      </c>
      <c r="S1524" s="19" t="s">
        <v>29</v>
      </c>
      <c r="T1524" s="19" t="s">
        <v>30</v>
      </c>
      <c r="U1524" s="19" t="s">
        <v>31</v>
      </c>
      <c r="V1524" s="41" t="n">
        <v>43691</v>
      </c>
      <c r="W1524" s="34" t="s">
        <v>2160</v>
      </c>
      <c r="X1524" s="18"/>
    </row>
    <row r="1525" customFormat="false" ht="13.8" hidden="false" customHeight="false" outlineLevel="0" collapsed="false">
      <c r="A1525" s="34"/>
      <c r="B1525" s="19" t="n">
        <v>52717</v>
      </c>
      <c r="C1525" s="20" t="n">
        <v>43462</v>
      </c>
      <c r="D1525" s="38" t="s">
        <v>22</v>
      </c>
      <c r="E1525" s="22" t="s">
        <v>459</v>
      </c>
      <c r="F1525" s="34" t="s">
        <v>240</v>
      </c>
      <c r="G1525" s="19" t="s">
        <v>2161</v>
      </c>
      <c r="H1525" s="19" t="n">
        <v>41</v>
      </c>
      <c r="I1525" s="19" t="n">
        <v>4</v>
      </c>
      <c r="J1525" s="19" t="n">
        <v>22.36</v>
      </c>
      <c r="K1525" s="39" t="n">
        <v>250000</v>
      </c>
      <c r="L1525" s="39" t="n">
        <f aca="false">K1525/J1525</f>
        <v>11180.679785331</v>
      </c>
      <c r="M1525" s="34" t="s">
        <v>2162</v>
      </c>
      <c r="N1525" s="40"/>
      <c r="O1525" s="30" t="n">
        <f aca="false">K1525+N1525</f>
        <v>250000</v>
      </c>
      <c r="P1525" s="39" t="n">
        <f aca="false">O1525/J1525</f>
        <v>11180.679785331</v>
      </c>
      <c r="Q1525" s="19" t="s">
        <v>1320</v>
      </c>
      <c r="R1525" s="22" t="s">
        <v>27</v>
      </c>
      <c r="S1525" s="19" t="s">
        <v>29</v>
      </c>
      <c r="T1525" s="19" t="s">
        <v>30</v>
      </c>
      <c r="U1525" s="31" t="s">
        <v>31</v>
      </c>
      <c r="V1525" s="41" t="n">
        <v>43691</v>
      </c>
      <c r="W1525" s="34" t="s">
        <v>2163</v>
      </c>
      <c r="X1525" s="18"/>
      <c r="Z1525" s="33"/>
    </row>
    <row r="1526" customFormat="false" ht="13.8" hidden="false" customHeight="false" outlineLevel="0" collapsed="false">
      <c r="A1526" s="34"/>
      <c r="B1526" s="19" t="n">
        <v>7100</v>
      </c>
      <c r="C1526" s="20" t="n">
        <v>43462</v>
      </c>
      <c r="D1526" s="38" t="s">
        <v>22</v>
      </c>
      <c r="E1526" s="22" t="s">
        <v>178</v>
      </c>
      <c r="F1526" s="34" t="s">
        <v>926</v>
      </c>
      <c r="G1526" s="19" t="n">
        <v>1</v>
      </c>
      <c r="H1526" s="19" t="n">
        <v>37</v>
      </c>
      <c r="I1526" s="19" t="n">
        <v>5</v>
      </c>
      <c r="J1526" s="19" t="n">
        <v>36.56</v>
      </c>
      <c r="K1526" s="39" t="n">
        <f aca="false">57750+82250+245000</f>
        <v>385000</v>
      </c>
      <c r="L1526" s="39" t="n">
        <f aca="false">K1526/J1526</f>
        <v>10530.6345733042</v>
      </c>
      <c r="M1526" s="34"/>
      <c r="N1526" s="40"/>
      <c r="O1526" s="30" t="n">
        <f aca="false">K1526+N1526</f>
        <v>385000</v>
      </c>
      <c r="P1526" s="39" t="n">
        <f aca="false">O1526/J1526</f>
        <v>10530.6345733042</v>
      </c>
      <c r="Q1526" s="19" t="s">
        <v>1320</v>
      </c>
      <c r="R1526" s="22" t="s">
        <v>27</v>
      </c>
      <c r="S1526" s="19" t="s">
        <v>29</v>
      </c>
      <c r="T1526" s="19" t="s">
        <v>30</v>
      </c>
      <c r="U1526" s="19" t="s">
        <v>31</v>
      </c>
      <c r="V1526" s="41" t="n">
        <v>43691</v>
      </c>
      <c r="W1526" s="34" t="s">
        <v>2164</v>
      </c>
      <c r="X1526" s="18"/>
    </row>
    <row r="1527" customFormat="false" ht="13.8" hidden="false" customHeight="false" outlineLevel="0" collapsed="false">
      <c r="A1527" s="34"/>
      <c r="B1527" s="19" t="n">
        <v>7546</v>
      </c>
      <c r="C1527" s="20" t="n">
        <v>43462</v>
      </c>
      <c r="D1527" s="38" t="s">
        <v>22</v>
      </c>
      <c r="E1527" s="22" t="s">
        <v>215</v>
      </c>
      <c r="F1527" s="34" t="s">
        <v>216</v>
      </c>
      <c r="G1527" s="19" t="n">
        <v>2</v>
      </c>
      <c r="H1527" s="19" t="n">
        <v>204</v>
      </c>
      <c r="I1527" s="19" t="n">
        <v>6</v>
      </c>
      <c r="J1527" s="19" t="n">
        <f aca="false">67.74-4.5</f>
        <v>63.24</v>
      </c>
      <c r="K1527" s="39" t="n">
        <v>722000</v>
      </c>
      <c r="L1527" s="39" t="n">
        <f aca="false">K1527/J1527</f>
        <v>11416.8247944339</v>
      </c>
      <c r="M1527" s="34" t="s">
        <v>2165</v>
      </c>
      <c r="N1527" s="40"/>
      <c r="O1527" s="30" t="n">
        <f aca="false">K1527+N1527</f>
        <v>722000</v>
      </c>
      <c r="P1527" s="39" t="n">
        <f aca="false">O1527/J1527</f>
        <v>11416.8247944339</v>
      </c>
      <c r="Q1527" s="19" t="s">
        <v>1340</v>
      </c>
      <c r="R1527" s="22" t="s">
        <v>26</v>
      </c>
      <c r="S1527" s="19" t="s">
        <v>29</v>
      </c>
      <c r="T1527" s="19" t="s">
        <v>30</v>
      </c>
      <c r="U1527" s="31" t="s">
        <v>31</v>
      </c>
      <c r="V1527" s="41" t="n">
        <v>43689</v>
      </c>
      <c r="W1527" s="34" t="s">
        <v>2166</v>
      </c>
      <c r="X1527" s="18"/>
    </row>
    <row r="1528" customFormat="false" ht="13.8" hidden="false" customHeight="false" outlineLevel="0" collapsed="false">
      <c r="A1528" s="34"/>
      <c r="B1528" s="19" t="n">
        <v>10653</v>
      </c>
      <c r="C1528" s="20" t="n">
        <v>43463</v>
      </c>
      <c r="D1528" s="38" t="s">
        <v>22</v>
      </c>
      <c r="E1528" s="22" t="s">
        <v>72</v>
      </c>
      <c r="F1528" s="34" t="s">
        <v>2167</v>
      </c>
      <c r="G1528" s="22" t="s">
        <v>2168</v>
      </c>
      <c r="H1528" s="19" t="n">
        <v>9</v>
      </c>
      <c r="I1528" s="19" t="n">
        <v>3</v>
      </c>
      <c r="J1528" s="19" t="n">
        <v>45.07</v>
      </c>
      <c r="K1528" s="39" t="n">
        <v>380000</v>
      </c>
      <c r="L1528" s="39" t="n">
        <f aca="false">K1528/J1528</f>
        <v>8431.32904370978</v>
      </c>
      <c r="M1528" s="34"/>
      <c r="N1528" s="40"/>
      <c r="O1528" s="30" t="n">
        <f aca="false">K1528+N1528</f>
        <v>380000</v>
      </c>
      <c r="P1528" s="39" t="n">
        <f aca="false">O1528/J1528</f>
        <v>8431.32904370978</v>
      </c>
      <c r="Q1528" s="19" t="s">
        <v>1486</v>
      </c>
      <c r="R1528" s="22" t="s">
        <v>36</v>
      </c>
      <c r="S1528" s="19" t="s">
        <v>29</v>
      </c>
      <c r="T1528" s="19" t="s">
        <v>30</v>
      </c>
      <c r="U1528" s="19" t="s">
        <v>31</v>
      </c>
      <c r="V1528" s="41" t="n">
        <v>43696</v>
      </c>
      <c r="W1528" s="34" t="s">
        <v>2169</v>
      </c>
      <c r="X1528" s="18"/>
    </row>
    <row r="1529" customFormat="false" ht="13.8" hidden="false" customHeight="false" outlineLevel="0" collapsed="false">
      <c r="A1529" s="34"/>
      <c r="B1529" s="19" t="n">
        <v>21251</v>
      </c>
      <c r="C1529" s="20" t="n">
        <v>43465</v>
      </c>
      <c r="D1529" s="38" t="s">
        <v>22</v>
      </c>
      <c r="E1529" s="22" t="s">
        <v>171</v>
      </c>
      <c r="F1529" s="34" t="s">
        <v>315</v>
      </c>
      <c r="G1529" s="19" t="n">
        <v>2</v>
      </c>
      <c r="H1529" s="19" t="n">
        <v>3</v>
      </c>
      <c r="I1529" s="19" t="n">
        <v>1</v>
      </c>
      <c r="J1529" s="19" t="n">
        <v>58.8</v>
      </c>
      <c r="K1529" s="39" t="n">
        <v>631750</v>
      </c>
      <c r="L1529" s="39" t="n">
        <f aca="false">K1529/J1529</f>
        <v>10744.0476190476</v>
      </c>
      <c r="M1529" s="34" t="s">
        <v>987</v>
      </c>
      <c r="N1529" s="40" t="n">
        <v>33250</v>
      </c>
      <c r="O1529" s="30" t="n">
        <f aca="false">K1529+N1529</f>
        <v>665000</v>
      </c>
      <c r="P1529" s="39" t="n">
        <f aca="false">O1529/J1529</f>
        <v>11309.5238095238</v>
      </c>
      <c r="Q1529" s="19" t="s">
        <v>2170</v>
      </c>
      <c r="R1529" s="22" t="s">
        <v>36</v>
      </c>
      <c r="S1529" s="19" t="s">
        <v>29</v>
      </c>
      <c r="T1529" s="19" t="s">
        <v>30</v>
      </c>
      <c r="U1529" s="19" t="s">
        <v>31</v>
      </c>
      <c r="V1529" s="41" t="n">
        <v>43697</v>
      </c>
      <c r="W1529" s="34" t="s">
        <v>2171</v>
      </c>
      <c r="X1529" s="18"/>
    </row>
    <row r="1530" customFormat="false" ht="13.8" hidden="false" customHeight="false" outlineLevel="0" collapsed="false">
      <c r="A1530" s="34"/>
      <c r="B1530" s="19" t="n">
        <v>19080</v>
      </c>
      <c r="C1530" s="20" t="n">
        <v>43465</v>
      </c>
      <c r="D1530" s="38" t="s">
        <v>22</v>
      </c>
      <c r="E1530" s="22" t="s">
        <v>284</v>
      </c>
      <c r="F1530" s="34" t="s">
        <v>1041</v>
      </c>
      <c r="G1530" s="19" t="n">
        <v>34</v>
      </c>
      <c r="H1530" s="19" t="s">
        <v>2172</v>
      </c>
      <c r="I1530" s="19" t="n">
        <v>3</v>
      </c>
      <c r="J1530" s="19" t="n">
        <v>72.46</v>
      </c>
      <c r="K1530" s="39" t="n">
        <v>1000000</v>
      </c>
      <c r="L1530" s="39" t="n">
        <f aca="false">K1530/J1530</f>
        <v>13800.7176373171</v>
      </c>
      <c r="M1530" s="34"/>
      <c r="N1530" s="40"/>
      <c r="O1530" s="30" t="n">
        <f aca="false">K1530+N1530</f>
        <v>1000000</v>
      </c>
      <c r="P1530" s="39" t="n">
        <f aca="false">O1530/J1530</f>
        <v>13800.7176373171</v>
      </c>
      <c r="Q1530" s="19" t="s">
        <v>2173</v>
      </c>
      <c r="R1530" s="22" t="s">
        <v>26</v>
      </c>
      <c r="S1530" s="19" t="s">
        <v>29</v>
      </c>
      <c r="T1530" s="19" t="s">
        <v>30</v>
      </c>
      <c r="U1530" s="31" t="s">
        <v>31</v>
      </c>
      <c r="V1530" s="41" t="n">
        <v>43691</v>
      </c>
      <c r="W1530" s="34" t="s">
        <v>2174</v>
      </c>
      <c r="X1530" s="18"/>
    </row>
    <row r="1531" customFormat="false" ht="13.8" hidden="false" customHeight="false" outlineLevel="0" collapsed="false">
      <c r="A1531" s="34"/>
      <c r="B1531" s="19" t="n">
        <v>9257</v>
      </c>
      <c r="C1531" s="20" t="n">
        <v>43465</v>
      </c>
      <c r="D1531" s="38" t="s">
        <v>22</v>
      </c>
      <c r="E1531" s="22" t="s">
        <v>665</v>
      </c>
      <c r="F1531" s="34" t="s">
        <v>1131</v>
      </c>
      <c r="G1531" s="19" t="n">
        <v>9</v>
      </c>
      <c r="H1531" s="19" t="n">
        <v>210</v>
      </c>
      <c r="I1531" s="19" t="n">
        <v>3</v>
      </c>
      <c r="J1531" s="19" t="n">
        <v>46</v>
      </c>
      <c r="K1531" s="39" t="n">
        <f aca="false">790000-38000</f>
        <v>752000</v>
      </c>
      <c r="L1531" s="39" t="n">
        <f aca="false">K1531/J1531</f>
        <v>16347.8260869565</v>
      </c>
      <c r="M1531" s="34" t="s">
        <v>2175</v>
      </c>
      <c r="N1531" s="40" t="n">
        <v>38000</v>
      </c>
      <c r="O1531" s="30" t="n">
        <f aca="false">K1531+N1531</f>
        <v>790000</v>
      </c>
      <c r="P1531" s="39" t="n">
        <f aca="false">O1531/J1531</f>
        <v>17173.9130434783</v>
      </c>
      <c r="Q1531" s="19" t="s">
        <v>2176</v>
      </c>
      <c r="R1531" s="22" t="s">
        <v>36</v>
      </c>
      <c r="S1531" s="19" t="s">
        <v>29</v>
      </c>
      <c r="T1531" s="19" t="s">
        <v>30</v>
      </c>
      <c r="U1531" s="19" t="s">
        <v>31</v>
      </c>
      <c r="V1531" s="41" t="n">
        <v>43696</v>
      </c>
      <c r="W1531" s="34" t="s">
        <v>2177</v>
      </c>
      <c r="X1531" s="34"/>
    </row>
    <row r="1532" customFormat="false" ht="13.8" hidden="false" customHeight="false" outlineLevel="0" collapsed="false">
      <c r="A1532" s="34"/>
      <c r="B1532" s="19" t="n">
        <v>14473</v>
      </c>
      <c r="C1532" s="20" t="n">
        <v>43465</v>
      </c>
      <c r="D1532" s="38" t="s">
        <v>22</v>
      </c>
      <c r="E1532" s="22" t="s">
        <v>369</v>
      </c>
      <c r="F1532" s="34" t="s">
        <v>370</v>
      </c>
      <c r="G1532" s="19" t="n">
        <v>7</v>
      </c>
      <c r="H1532" s="19" t="n">
        <v>3</v>
      </c>
      <c r="I1532" s="19" t="n">
        <v>2</v>
      </c>
      <c r="J1532" s="19" t="n">
        <v>35.7</v>
      </c>
      <c r="K1532" s="39" t="n">
        <v>420000</v>
      </c>
      <c r="L1532" s="39" t="n">
        <f aca="false">K1532/J1532</f>
        <v>11764.7058823529</v>
      </c>
      <c r="M1532" s="18"/>
      <c r="N1532" s="40"/>
      <c r="O1532" s="30" t="n">
        <f aca="false">K1532+N1532</f>
        <v>420000</v>
      </c>
      <c r="P1532" s="39" t="n">
        <f aca="false">O1532/J1532</f>
        <v>11764.7058823529</v>
      </c>
      <c r="Q1532" s="19" t="s">
        <v>1486</v>
      </c>
      <c r="R1532" s="22" t="s">
        <v>36</v>
      </c>
      <c r="S1532" s="19" t="s">
        <v>29</v>
      </c>
      <c r="T1532" s="19" t="s">
        <v>30</v>
      </c>
      <c r="U1532" s="19" t="s">
        <v>31</v>
      </c>
      <c r="V1532" s="41" t="n">
        <v>43693</v>
      </c>
      <c r="W1532" s="34" t="s">
        <v>2178</v>
      </c>
      <c r="X1532" s="34"/>
    </row>
    <row r="1533" customFormat="false" ht="13.8" hidden="false" customHeight="false" outlineLevel="0" collapsed="false">
      <c r="A1533" s="34"/>
      <c r="B1533" s="19" t="n">
        <v>1</v>
      </c>
      <c r="C1533" s="20" t="n">
        <v>43467</v>
      </c>
      <c r="D1533" s="38" t="s">
        <v>22</v>
      </c>
      <c r="E1533" s="22" t="s">
        <v>156</v>
      </c>
      <c r="F1533" s="34" t="s">
        <v>157</v>
      </c>
      <c r="G1533" s="19" t="n">
        <v>1</v>
      </c>
      <c r="H1533" s="19" t="n">
        <v>12</v>
      </c>
      <c r="I1533" s="19" t="n">
        <v>2</v>
      </c>
      <c r="J1533" s="19" t="n">
        <v>49.68</v>
      </c>
      <c r="K1533" s="39" t="n">
        <v>515000</v>
      </c>
      <c r="L1533" s="39" t="n">
        <f aca="false">K1533/J1533</f>
        <v>10366.344605475</v>
      </c>
      <c r="M1533" s="34" t="s">
        <v>2179</v>
      </c>
      <c r="N1533" s="40"/>
      <c r="O1533" s="30" t="n">
        <f aca="false">K1533+N1533</f>
        <v>515000</v>
      </c>
      <c r="P1533" s="39" t="n">
        <f aca="false">O1533/J1533</f>
        <v>10366.344605475</v>
      </c>
      <c r="Q1533" s="19" t="s">
        <v>2180</v>
      </c>
      <c r="R1533" s="22" t="s">
        <v>36</v>
      </c>
      <c r="S1533" s="19" t="s">
        <v>29</v>
      </c>
      <c r="T1533" s="19" t="s">
        <v>30</v>
      </c>
      <c r="U1533" s="19" t="s">
        <v>31</v>
      </c>
      <c r="V1533" s="41" t="n">
        <v>43698</v>
      </c>
      <c r="W1533" s="34" t="s">
        <v>2181</v>
      </c>
      <c r="X1533" s="18"/>
    </row>
    <row r="1534" customFormat="false" ht="13.8" hidden="false" customHeight="false" outlineLevel="0" collapsed="false">
      <c r="A1534" s="18"/>
      <c r="B1534" s="22" t="s">
        <v>2182</v>
      </c>
      <c r="C1534" s="20" t="n">
        <v>43467</v>
      </c>
      <c r="D1534" s="38" t="s">
        <v>22</v>
      </c>
      <c r="E1534" s="22" t="s">
        <v>156</v>
      </c>
      <c r="F1534" s="42" t="s">
        <v>2183</v>
      </c>
      <c r="G1534" s="22" t="s">
        <v>27</v>
      </c>
      <c r="H1534" s="22" t="s">
        <v>200</v>
      </c>
      <c r="I1534" s="22" t="n">
        <v>2</v>
      </c>
      <c r="J1534" s="25" t="n">
        <v>49.68</v>
      </c>
      <c r="K1534" s="26" t="n">
        <v>500000</v>
      </c>
      <c r="L1534" s="39" t="n">
        <f aca="false">K1534/J1534</f>
        <v>10064.4122383253</v>
      </c>
      <c r="M1534" s="34" t="s">
        <v>189</v>
      </c>
      <c r="N1534" s="54"/>
      <c r="O1534" s="30" t="n">
        <f aca="false">K1534+N1534</f>
        <v>500000</v>
      </c>
      <c r="P1534" s="39" t="n">
        <f aca="false">O1534/J1534</f>
        <v>10064.4122383253</v>
      </c>
      <c r="Q1534" s="28"/>
      <c r="R1534" s="55" t="n">
        <v>2</v>
      </c>
      <c r="S1534" s="19" t="s">
        <v>29</v>
      </c>
      <c r="T1534" s="19" t="s">
        <v>30</v>
      </c>
      <c r="U1534" s="19" t="s">
        <v>31</v>
      </c>
      <c r="V1534" s="22" t="s">
        <v>2184</v>
      </c>
      <c r="W1534" s="53"/>
      <c r="X1534" s="25"/>
    </row>
    <row r="1535" customFormat="false" ht="13.8" hidden="false" customHeight="false" outlineLevel="0" collapsed="false">
      <c r="A1535" s="18"/>
      <c r="B1535" s="22" t="s">
        <v>2185</v>
      </c>
      <c r="C1535" s="20" t="n">
        <v>43467</v>
      </c>
      <c r="D1535" s="38" t="s">
        <v>22</v>
      </c>
      <c r="E1535" s="22" t="s">
        <v>156</v>
      </c>
      <c r="F1535" s="23" t="s">
        <v>2183</v>
      </c>
      <c r="G1535" s="22" t="s">
        <v>283</v>
      </c>
      <c r="H1535" s="22" t="s">
        <v>2186</v>
      </c>
      <c r="I1535" s="22" t="n">
        <v>2</v>
      </c>
      <c r="J1535" s="25" t="n">
        <v>49.27</v>
      </c>
      <c r="K1535" s="26" t="n">
        <v>500000</v>
      </c>
      <c r="L1535" s="39" t="n">
        <f aca="false">K1535/J1535</f>
        <v>10148.163182464</v>
      </c>
      <c r="M1535" s="34" t="s">
        <v>189</v>
      </c>
      <c r="N1535" s="54"/>
      <c r="O1535" s="30" t="n">
        <f aca="false">K1535+N1535</f>
        <v>500000</v>
      </c>
      <c r="P1535" s="39" t="n">
        <f aca="false">O1535/J1535</f>
        <v>10148.163182464</v>
      </c>
      <c r="Q1535" s="56"/>
      <c r="R1535" s="57" t="n">
        <v>3</v>
      </c>
      <c r="S1535" s="19" t="s">
        <v>29</v>
      </c>
      <c r="T1535" s="19" t="s">
        <v>30</v>
      </c>
      <c r="U1535" s="19" t="s">
        <v>31</v>
      </c>
      <c r="V1535" s="22" t="s">
        <v>2184</v>
      </c>
      <c r="W1535" s="22"/>
      <c r="X1535" s="22"/>
    </row>
    <row r="1536" s="32" customFormat="true" ht="13.8" hidden="false" customHeight="false" outlineLevel="0" collapsed="false">
      <c r="A1536" s="18"/>
      <c r="B1536" s="22" t="s">
        <v>2187</v>
      </c>
      <c r="C1536" s="20" t="n">
        <v>43467</v>
      </c>
      <c r="D1536" s="38" t="s">
        <v>22</v>
      </c>
      <c r="E1536" s="22" t="s">
        <v>302</v>
      </c>
      <c r="F1536" s="23" t="s">
        <v>2188</v>
      </c>
      <c r="G1536" s="22" t="s">
        <v>336</v>
      </c>
      <c r="H1536" s="22" t="s">
        <v>126</v>
      </c>
      <c r="I1536" s="22" t="n">
        <v>1</v>
      </c>
      <c r="J1536" s="25" t="n">
        <v>65</v>
      </c>
      <c r="K1536" s="26" t="n">
        <v>995000</v>
      </c>
      <c r="L1536" s="39" t="n">
        <f aca="false">K1536/J1536</f>
        <v>15307.6923076923</v>
      </c>
      <c r="M1536" s="34" t="s">
        <v>189</v>
      </c>
      <c r="N1536" s="34"/>
      <c r="O1536" s="30" t="n">
        <f aca="false">K1536+N1536</f>
        <v>995000</v>
      </c>
      <c r="P1536" s="39" t="n">
        <f aca="false">O1536/J1536</f>
        <v>15307.6923076923</v>
      </c>
      <c r="Q1536" s="58"/>
      <c r="R1536" s="57" t="n">
        <v>3</v>
      </c>
      <c r="S1536" s="19" t="s">
        <v>29</v>
      </c>
      <c r="T1536" s="19" t="s">
        <v>30</v>
      </c>
      <c r="U1536" s="19" t="s">
        <v>31</v>
      </c>
      <c r="V1536" s="22" t="s">
        <v>2184</v>
      </c>
      <c r="W1536" s="22"/>
      <c r="X1536" s="22"/>
    </row>
    <row r="1537" customFormat="false" ht="13.8" hidden="false" customHeight="false" outlineLevel="0" collapsed="false">
      <c r="A1537" s="34"/>
      <c r="B1537" s="19" t="n">
        <v>13</v>
      </c>
      <c r="C1537" s="20" t="n">
        <v>43467</v>
      </c>
      <c r="D1537" s="38" t="s">
        <v>22</v>
      </c>
      <c r="E1537" s="22" t="s">
        <v>302</v>
      </c>
      <c r="F1537" s="34" t="s">
        <v>485</v>
      </c>
      <c r="G1537" s="19" t="n">
        <v>27</v>
      </c>
      <c r="H1537" s="19" t="n">
        <v>14</v>
      </c>
      <c r="I1537" s="19" t="s">
        <v>1214</v>
      </c>
      <c r="J1537" s="19" t="n">
        <v>65</v>
      </c>
      <c r="K1537" s="39" t="n">
        <v>995000</v>
      </c>
      <c r="L1537" s="39" t="n">
        <f aca="false">K1537/J1537</f>
        <v>15307.6923076923</v>
      </c>
      <c r="M1537" s="34"/>
      <c r="N1537" s="40"/>
      <c r="O1537" s="30" t="n">
        <f aca="false">K1537+N1537</f>
        <v>995000</v>
      </c>
      <c r="P1537" s="39" t="n">
        <f aca="false">O1537/J1537</f>
        <v>15307.6923076923</v>
      </c>
      <c r="Q1537" s="19" t="s">
        <v>2189</v>
      </c>
      <c r="R1537" s="22" t="s">
        <v>36</v>
      </c>
      <c r="S1537" s="19" t="s">
        <v>29</v>
      </c>
      <c r="T1537" s="19" t="s">
        <v>30</v>
      </c>
      <c r="U1537" s="19" t="s">
        <v>31</v>
      </c>
      <c r="V1537" s="41" t="n">
        <v>43691</v>
      </c>
      <c r="W1537" s="34" t="s">
        <v>2190</v>
      </c>
      <c r="X1537" s="18"/>
      <c r="Y1537" s="35"/>
      <c r="Z1537" s="43"/>
    </row>
    <row r="1538" customFormat="false" ht="13.8" hidden="false" customHeight="false" outlineLevel="0" collapsed="false">
      <c r="A1538" s="34"/>
      <c r="B1538" s="19" t="n">
        <v>30</v>
      </c>
      <c r="C1538" s="20" t="n">
        <v>43468</v>
      </c>
      <c r="D1538" s="38" t="s">
        <v>22</v>
      </c>
      <c r="E1538" s="22" t="s">
        <v>198</v>
      </c>
      <c r="F1538" s="34" t="s">
        <v>2191</v>
      </c>
      <c r="G1538" s="19" t="s">
        <v>274</v>
      </c>
      <c r="H1538" s="19" t="n">
        <v>31</v>
      </c>
      <c r="I1538" s="19" t="n">
        <v>7</v>
      </c>
      <c r="J1538" s="19" t="n">
        <v>51.5</v>
      </c>
      <c r="K1538" s="39" t="n">
        <f aca="false">285000+65000</f>
        <v>350000</v>
      </c>
      <c r="L1538" s="39" t="n">
        <f aca="false">K1538/J1538</f>
        <v>6796.11650485437</v>
      </c>
      <c r="M1538" s="34"/>
      <c r="N1538" s="40"/>
      <c r="O1538" s="30" t="n">
        <f aca="false">K1538+N1538</f>
        <v>350000</v>
      </c>
      <c r="P1538" s="39" t="n">
        <f aca="false">O1538/J1538</f>
        <v>6796.11650485437</v>
      </c>
      <c r="Q1538" s="19" t="s">
        <v>1486</v>
      </c>
      <c r="R1538" s="22" t="s">
        <v>36</v>
      </c>
      <c r="S1538" s="19" t="s">
        <v>29</v>
      </c>
      <c r="T1538" s="19" t="s">
        <v>30</v>
      </c>
      <c r="U1538" s="19" t="s">
        <v>31</v>
      </c>
      <c r="V1538" s="41" t="n">
        <v>43693</v>
      </c>
      <c r="W1538" s="34" t="s">
        <v>2192</v>
      </c>
      <c r="X1538" s="18"/>
    </row>
    <row r="1539" customFormat="false" ht="13.8" hidden="false" customHeight="false" outlineLevel="0" collapsed="false">
      <c r="A1539" s="18"/>
      <c r="B1539" s="19" t="s">
        <v>2193</v>
      </c>
      <c r="C1539" s="20" t="n">
        <v>43468</v>
      </c>
      <c r="D1539" s="38" t="s">
        <v>22</v>
      </c>
      <c r="E1539" s="22" t="s">
        <v>452</v>
      </c>
      <c r="F1539" s="23" t="s">
        <v>199</v>
      </c>
      <c r="G1539" s="22" t="s">
        <v>274</v>
      </c>
      <c r="H1539" s="24" t="s">
        <v>217</v>
      </c>
      <c r="I1539" s="24" t="n">
        <v>7</v>
      </c>
      <c r="J1539" s="25" t="n">
        <v>51.5</v>
      </c>
      <c r="K1539" s="26" t="n">
        <v>350000</v>
      </c>
      <c r="L1539" s="39" t="n">
        <f aca="false">K1539/J1539</f>
        <v>6796.11650485437</v>
      </c>
      <c r="M1539" s="34" t="s">
        <v>189</v>
      </c>
      <c r="N1539" s="34"/>
      <c r="O1539" s="30" t="n">
        <f aca="false">K1539+N1539</f>
        <v>350000</v>
      </c>
      <c r="P1539" s="39" t="n">
        <f aca="false">O1539/J1539</f>
        <v>6796.11650485437</v>
      </c>
      <c r="Q1539" s="59"/>
      <c r="R1539" s="57" t="n">
        <v>3</v>
      </c>
      <c r="S1539" s="19" t="s">
        <v>29</v>
      </c>
      <c r="T1539" s="19" t="s">
        <v>30</v>
      </c>
      <c r="U1539" s="19" t="s">
        <v>31</v>
      </c>
      <c r="V1539" s="22" t="s">
        <v>2184</v>
      </c>
      <c r="W1539" s="22"/>
      <c r="X1539" s="22"/>
    </row>
    <row r="1540" customFormat="false" ht="13.8" hidden="false" customHeight="false" outlineLevel="0" collapsed="false">
      <c r="A1540" s="34"/>
      <c r="B1540" s="19" t="n">
        <v>56</v>
      </c>
      <c r="C1540" s="20" t="n">
        <v>43468</v>
      </c>
      <c r="D1540" s="38" t="s">
        <v>22</v>
      </c>
      <c r="E1540" s="22" t="s">
        <v>203</v>
      </c>
      <c r="F1540" s="34" t="s">
        <v>138</v>
      </c>
      <c r="G1540" s="19" t="n">
        <v>12</v>
      </c>
      <c r="H1540" s="19" t="n">
        <v>1412</v>
      </c>
      <c r="I1540" s="19" t="n">
        <v>15</v>
      </c>
      <c r="J1540" s="19" t="n">
        <v>77.55</v>
      </c>
      <c r="K1540" s="39" t="n">
        <v>685000</v>
      </c>
      <c r="L1540" s="39" t="n">
        <f aca="false">K1540/J1540</f>
        <v>8833.01096067054</v>
      </c>
      <c r="M1540" s="34" t="s">
        <v>2194</v>
      </c>
      <c r="N1540" s="40" t="n">
        <v>15000</v>
      </c>
      <c r="O1540" s="30" t="n">
        <f aca="false">K1540+N1540</f>
        <v>700000</v>
      </c>
      <c r="P1540" s="39" t="n">
        <f aca="false">O1540/J1540</f>
        <v>9026.43455834945</v>
      </c>
      <c r="Q1540" s="19" t="s">
        <v>2195</v>
      </c>
      <c r="R1540" s="22" t="s">
        <v>26</v>
      </c>
      <c r="S1540" s="19" t="s">
        <v>29</v>
      </c>
      <c r="T1540" s="19" t="s">
        <v>30</v>
      </c>
      <c r="U1540" s="19" t="s">
        <v>31</v>
      </c>
      <c r="V1540" s="41" t="n">
        <v>43691</v>
      </c>
      <c r="W1540" s="34" t="s">
        <v>2196</v>
      </c>
      <c r="X1540" s="18"/>
    </row>
    <row r="1541" s="32" customFormat="true" ht="13.8" hidden="false" customHeight="false" outlineLevel="0" collapsed="false">
      <c r="A1541" s="34"/>
      <c r="B1541" s="19" t="s">
        <v>887</v>
      </c>
      <c r="C1541" s="20" t="n">
        <v>43468</v>
      </c>
      <c r="D1541" s="38" t="s">
        <v>22</v>
      </c>
      <c r="E1541" s="22" t="s">
        <v>934</v>
      </c>
      <c r="F1541" s="45" t="s">
        <v>46</v>
      </c>
      <c r="G1541" s="19" t="n">
        <v>111</v>
      </c>
      <c r="H1541" s="19"/>
      <c r="I1541" s="19" t="n">
        <v>8</v>
      </c>
      <c r="J1541" s="25" t="n">
        <v>36.3</v>
      </c>
      <c r="K1541" s="39" t="n">
        <v>345000</v>
      </c>
      <c r="L1541" s="39" t="n">
        <f aca="false">K1541/J1541</f>
        <v>9504.13223140496</v>
      </c>
      <c r="M1541" s="34"/>
      <c r="N1541" s="40"/>
      <c r="O1541" s="30" t="n">
        <f aca="false">K1541+N1541</f>
        <v>345000</v>
      </c>
      <c r="P1541" s="39" t="n">
        <f aca="false">O1541/J1541</f>
        <v>9504.13223140496</v>
      </c>
      <c r="Q1541" s="19" t="s">
        <v>889</v>
      </c>
      <c r="R1541" s="19" t="n">
        <v>3</v>
      </c>
      <c r="S1541" s="19" t="s">
        <v>1141</v>
      </c>
      <c r="T1541" s="19"/>
      <c r="U1541" s="19" t="s">
        <v>31</v>
      </c>
      <c r="V1541" s="41" t="n">
        <v>43727</v>
      </c>
      <c r="W1541" s="18"/>
      <c r="X1541" s="18"/>
    </row>
    <row r="1542" customFormat="false" ht="13.8" hidden="false" customHeight="false" outlineLevel="0" collapsed="false">
      <c r="A1542" s="34"/>
      <c r="B1542" s="19" t="n">
        <v>18</v>
      </c>
      <c r="C1542" s="20" t="n">
        <v>43468</v>
      </c>
      <c r="D1542" s="38" t="s">
        <v>22</v>
      </c>
      <c r="E1542" s="22" t="s">
        <v>265</v>
      </c>
      <c r="F1542" s="34" t="s">
        <v>565</v>
      </c>
      <c r="G1542" s="19" t="n">
        <v>52</v>
      </c>
      <c r="H1542" s="19" t="n">
        <v>35</v>
      </c>
      <c r="I1542" s="19" t="n">
        <v>1</v>
      </c>
      <c r="J1542" s="19" t="n">
        <v>31.8</v>
      </c>
      <c r="K1542" s="39" t="n">
        <v>365000</v>
      </c>
      <c r="L1542" s="39" t="n">
        <f aca="false">K1542/J1542</f>
        <v>11477.9874213836</v>
      </c>
      <c r="M1542" s="34"/>
      <c r="N1542" s="40"/>
      <c r="O1542" s="30" t="n">
        <f aca="false">K1542+N1542</f>
        <v>365000</v>
      </c>
      <c r="P1542" s="39" t="n">
        <f aca="false">O1542/J1542</f>
        <v>11477.9874213836</v>
      </c>
      <c r="Q1542" s="19" t="s">
        <v>1320</v>
      </c>
      <c r="R1542" s="22" t="s">
        <v>27</v>
      </c>
      <c r="S1542" s="19" t="s">
        <v>29</v>
      </c>
      <c r="T1542" s="19" t="s">
        <v>30</v>
      </c>
      <c r="U1542" s="19" t="s">
        <v>31</v>
      </c>
      <c r="V1542" s="41" t="n">
        <v>43693</v>
      </c>
      <c r="W1542" s="34" t="s">
        <v>2197</v>
      </c>
      <c r="X1542" s="18"/>
    </row>
    <row r="1543" customFormat="false" ht="13.8" hidden="false" customHeight="false" outlineLevel="0" collapsed="false">
      <c r="A1543" s="18"/>
      <c r="B1543" s="19" t="s">
        <v>2198</v>
      </c>
      <c r="C1543" s="20" t="n">
        <v>43469</v>
      </c>
      <c r="D1543" s="38" t="s">
        <v>22</v>
      </c>
      <c r="E1543" s="22" t="s">
        <v>343</v>
      </c>
      <c r="F1543" s="23" t="s">
        <v>392</v>
      </c>
      <c r="G1543" s="22" t="s">
        <v>116</v>
      </c>
      <c r="H1543" s="24" t="s">
        <v>473</v>
      </c>
      <c r="I1543" s="24" t="n">
        <v>2</v>
      </c>
      <c r="J1543" s="25" t="n">
        <v>114.96</v>
      </c>
      <c r="K1543" s="26" t="n">
        <v>1117000</v>
      </c>
      <c r="L1543" s="39" t="n">
        <f aca="false">K1543/J1543</f>
        <v>9716.42310368824</v>
      </c>
      <c r="M1543" s="34" t="s">
        <v>2199</v>
      </c>
      <c r="N1543" s="34"/>
      <c r="O1543" s="30" t="n">
        <f aca="false">K1543+N1543</f>
        <v>1117000</v>
      </c>
      <c r="P1543" s="39" t="n">
        <f aca="false">O1543/J1543</f>
        <v>9716.42310368824</v>
      </c>
      <c r="Q1543" s="28"/>
      <c r="R1543" s="55" t="n">
        <v>2</v>
      </c>
      <c r="S1543" s="19" t="s">
        <v>29</v>
      </c>
      <c r="T1543" s="19" t="s">
        <v>30</v>
      </c>
      <c r="U1543" s="19" t="s">
        <v>31</v>
      </c>
      <c r="V1543" s="22" t="s">
        <v>2184</v>
      </c>
      <c r="W1543" s="53"/>
      <c r="X1543" s="25"/>
    </row>
    <row r="1544" customFormat="false" ht="13.8" hidden="false" customHeight="false" outlineLevel="0" collapsed="false">
      <c r="A1544" s="34"/>
      <c r="B1544" s="19" t="n">
        <v>46</v>
      </c>
      <c r="C1544" s="20" t="n">
        <v>43469</v>
      </c>
      <c r="D1544" s="38" t="s">
        <v>22</v>
      </c>
      <c r="E1544" s="22" t="s">
        <v>343</v>
      </c>
      <c r="F1544" s="34" t="s">
        <v>392</v>
      </c>
      <c r="G1544" s="19" t="n">
        <v>68</v>
      </c>
      <c r="H1544" s="19" t="n">
        <v>48</v>
      </c>
      <c r="I1544" s="19" t="n">
        <v>2</v>
      </c>
      <c r="J1544" s="19" t="n">
        <v>111.96</v>
      </c>
      <c r="K1544" s="39" t="n">
        <v>1117000</v>
      </c>
      <c r="L1544" s="39" t="n">
        <f aca="false">K1544/J1544</f>
        <v>9976.77742050732</v>
      </c>
      <c r="M1544" s="34" t="s">
        <v>2200</v>
      </c>
      <c r="N1544" s="40" t="n">
        <v>78000</v>
      </c>
      <c r="O1544" s="30" t="n">
        <f aca="false">K1544+N1544</f>
        <v>1195000</v>
      </c>
      <c r="P1544" s="39" t="n">
        <f aca="false">O1544/J1544</f>
        <v>10673.4548052876</v>
      </c>
      <c r="Q1544" s="19" t="s">
        <v>2201</v>
      </c>
      <c r="R1544" s="22" t="s">
        <v>49</v>
      </c>
      <c r="S1544" s="19" t="s">
        <v>29</v>
      </c>
      <c r="T1544" s="19" t="s">
        <v>30</v>
      </c>
      <c r="U1544" s="19" t="s">
        <v>31</v>
      </c>
      <c r="V1544" s="41" t="n">
        <v>43697</v>
      </c>
      <c r="W1544" s="34" t="s">
        <v>2202</v>
      </c>
      <c r="X1544" s="18"/>
    </row>
    <row r="1545" customFormat="false" ht="13.8" hidden="false" customHeight="false" outlineLevel="0" collapsed="false">
      <c r="A1545" s="34"/>
      <c r="B1545" s="19" t="n">
        <v>31</v>
      </c>
      <c r="C1545" s="20" t="n">
        <v>43472</v>
      </c>
      <c r="D1545" s="38" t="s">
        <v>22</v>
      </c>
      <c r="E1545" s="22" t="s">
        <v>80</v>
      </c>
      <c r="F1545" s="34" t="s">
        <v>81</v>
      </c>
      <c r="G1545" s="19" t="n">
        <v>4</v>
      </c>
      <c r="H1545" s="19" t="n">
        <v>72</v>
      </c>
      <c r="I1545" s="19" t="n">
        <v>3</v>
      </c>
      <c r="J1545" s="19" t="n">
        <v>41.96</v>
      </c>
      <c r="K1545" s="39" t="n">
        <v>470000</v>
      </c>
      <c r="L1545" s="39" t="n">
        <f aca="false">K1545/J1545</f>
        <v>11201.1439466158</v>
      </c>
      <c r="M1545" s="34" t="s">
        <v>2203</v>
      </c>
      <c r="N1545" s="40" t="n">
        <v>50000</v>
      </c>
      <c r="O1545" s="30" t="n">
        <f aca="false">K1545+N1545</f>
        <v>520000</v>
      </c>
      <c r="P1545" s="39" t="n">
        <f aca="false">O1545/J1545</f>
        <v>12392.7550047664</v>
      </c>
      <c r="Q1545" s="19" t="s">
        <v>1320</v>
      </c>
      <c r="R1545" s="22" t="s">
        <v>27</v>
      </c>
      <c r="S1545" s="19" t="s">
        <v>29</v>
      </c>
      <c r="T1545" s="19" t="s">
        <v>30</v>
      </c>
      <c r="U1545" s="19" t="s">
        <v>31</v>
      </c>
      <c r="V1545" s="41" t="n">
        <v>43697</v>
      </c>
      <c r="W1545" s="34" t="s">
        <v>2204</v>
      </c>
      <c r="X1545" s="34"/>
    </row>
    <row r="1546" customFormat="false" ht="13.8" hidden="false" customHeight="false" outlineLevel="0" collapsed="false">
      <c r="A1546" s="18"/>
      <c r="B1546" s="19" t="s">
        <v>2205</v>
      </c>
      <c r="C1546" s="20" t="n">
        <v>43472</v>
      </c>
      <c r="D1546" s="38" t="s">
        <v>22</v>
      </c>
      <c r="E1546" s="22" t="s">
        <v>80</v>
      </c>
      <c r="F1546" s="23" t="s">
        <v>2206</v>
      </c>
      <c r="G1546" s="22" t="s">
        <v>49</v>
      </c>
      <c r="H1546" s="24" t="s">
        <v>241</v>
      </c>
      <c r="I1546" s="24" t="n">
        <v>3</v>
      </c>
      <c r="J1546" s="25" t="n">
        <v>41.96</v>
      </c>
      <c r="K1546" s="26" t="n">
        <v>470000</v>
      </c>
      <c r="L1546" s="39" t="n">
        <f aca="false">K1546/J1546</f>
        <v>11201.1439466158</v>
      </c>
      <c r="M1546" s="18"/>
      <c r="N1546" s="54"/>
      <c r="O1546" s="30" t="n">
        <f aca="false">K1546+N1546</f>
        <v>470000</v>
      </c>
      <c r="P1546" s="39" t="n">
        <f aca="false">O1546/J1546</f>
        <v>11201.1439466158</v>
      </c>
      <c r="Q1546" s="28"/>
      <c r="R1546" s="55" t="n">
        <v>4</v>
      </c>
      <c r="S1546" s="19" t="s">
        <v>29</v>
      </c>
      <c r="T1546" s="19" t="s">
        <v>30</v>
      </c>
      <c r="U1546" s="19" t="s">
        <v>31</v>
      </c>
      <c r="V1546" s="22" t="s">
        <v>2184</v>
      </c>
      <c r="W1546" s="53"/>
      <c r="X1546" s="25"/>
    </row>
    <row r="1547" customFormat="false" ht="13.8" hidden="false" customHeight="false" outlineLevel="0" collapsed="false">
      <c r="A1547" s="18"/>
      <c r="B1547" s="22" t="s">
        <v>2193</v>
      </c>
      <c r="C1547" s="20" t="n">
        <v>43472</v>
      </c>
      <c r="D1547" s="38" t="s">
        <v>22</v>
      </c>
      <c r="E1547" s="22" t="s">
        <v>369</v>
      </c>
      <c r="F1547" s="23" t="s">
        <v>370</v>
      </c>
      <c r="G1547" s="22" t="s">
        <v>82</v>
      </c>
      <c r="H1547" s="22" t="s">
        <v>26</v>
      </c>
      <c r="I1547" s="22" t="n">
        <v>2</v>
      </c>
      <c r="J1547" s="25" t="n">
        <v>35.7</v>
      </c>
      <c r="K1547" s="26" t="n">
        <v>420000</v>
      </c>
      <c r="L1547" s="39" t="n">
        <f aca="false">K1547/J1547</f>
        <v>11764.7058823529</v>
      </c>
      <c r="M1547" s="34" t="s">
        <v>189</v>
      </c>
      <c r="N1547" s="54"/>
      <c r="O1547" s="30" t="n">
        <f aca="false">K1547+N1547</f>
        <v>420000</v>
      </c>
      <c r="P1547" s="39" t="n">
        <f aca="false">O1547/J1547</f>
        <v>11764.7058823529</v>
      </c>
      <c r="Q1547" s="58"/>
      <c r="R1547" s="57" t="n">
        <v>3</v>
      </c>
      <c r="S1547" s="19" t="s">
        <v>29</v>
      </c>
      <c r="T1547" s="19" t="s">
        <v>30</v>
      </c>
      <c r="U1547" s="19" t="s">
        <v>31</v>
      </c>
      <c r="V1547" s="22" t="s">
        <v>2184</v>
      </c>
      <c r="W1547" s="22"/>
      <c r="X1547" s="22"/>
    </row>
    <row r="1548" customFormat="false" ht="13.8" hidden="false" customHeight="false" outlineLevel="0" collapsed="false">
      <c r="A1548" s="18"/>
      <c r="B1548" s="22" t="s">
        <v>2207</v>
      </c>
      <c r="C1548" s="20" t="n">
        <v>43472</v>
      </c>
      <c r="D1548" s="38" t="s">
        <v>22</v>
      </c>
      <c r="E1548" s="22" t="s">
        <v>183</v>
      </c>
      <c r="F1548" s="23" t="s">
        <v>2208</v>
      </c>
      <c r="G1548" s="22" t="s">
        <v>295</v>
      </c>
      <c r="H1548" s="22" t="s">
        <v>25</v>
      </c>
      <c r="I1548" s="22" t="n">
        <v>1</v>
      </c>
      <c r="J1548" s="25" t="n">
        <v>36.3</v>
      </c>
      <c r="K1548" s="26" t="n">
        <v>399000</v>
      </c>
      <c r="L1548" s="39" t="n">
        <f aca="false">K1548/J1548</f>
        <v>10991.7355371901</v>
      </c>
      <c r="M1548" s="34" t="s">
        <v>189</v>
      </c>
      <c r="N1548" s="54"/>
      <c r="O1548" s="30" t="n">
        <f aca="false">K1548+N1548</f>
        <v>399000</v>
      </c>
      <c r="P1548" s="39" t="n">
        <f aca="false">O1548/J1548</f>
        <v>10991.7355371901</v>
      </c>
      <c r="Q1548" s="58"/>
      <c r="R1548" s="57" t="n">
        <v>2</v>
      </c>
      <c r="S1548" s="19" t="s">
        <v>29</v>
      </c>
      <c r="T1548" s="19" t="s">
        <v>30</v>
      </c>
      <c r="U1548" s="19" t="s">
        <v>31</v>
      </c>
      <c r="V1548" s="22" t="s">
        <v>2184</v>
      </c>
      <c r="W1548" s="22"/>
      <c r="X1548" s="22"/>
    </row>
    <row r="1549" customFormat="false" ht="13.8" hidden="false" customHeight="false" outlineLevel="0" collapsed="false">
      <c r="A1549" s="34"/>
      <c r="B1549" s="19" t="n">
        <v>121</v>
      </c>
      <c r="C1549" s="20" t="n">
        <v>43473</v>
      </c>
      <c r="D1549" s="38" t="s">
        <v>22</v>
      </c>
      <c r="E1549" s="22" t="s">
        <v>343</v>
      </c>
      <c r="F1549" s="34" t="s">
        <v>344</v>
      </c>
      <c r="G1549" s="19" t="n">
        <v>71</v>
      </c>
      <c r="H1549" s="19" t="n">
        <v>43</v>
      </c>
      <c r="I1549" s="19" t="n">
        <v>3</v>
      </c>
      <c r="J1549" s="19" t="n">
        <v>50.82</v>
      </c>
      <c r="K1549" s="39" t="n">
        <v>640000</v>
      </c>
      <c r="L1549" s="39" t="n">
        <f aca="false">K1549/J1549</f>
        <v>12593.4671389217</v>
      </c>
      <c r="M1549" s="34" t="s">
        <v>2128</v>
      </c>
      <c r="N1549" s="40"/>
      <c r="O1549" s="30" t="n">
        <f aca="false">K1549+N1549</f>
        <v>640000</v>
      </c>
      <c r="P1549" s="39" t="n">
        <f aca="false">O1549/J1549</f>
        <v>12593.4671389217</v>
      </c>
      <c r="Q1549" s="19" t="s">
        <v>2209</v>
      </c>
      <c r="R1549" s="22" t="s">
        <v>36</v>
      </c>
      <c r="S1549" s="19" t="s">
        <v>29</v>
      </c>
      <c r="T1549" s="19" t="s">
        <v>30</v>
      </c>
      <c r="U1549" s="19" t="s">
        <v>31</v>
      </c>
      <c r="V1549" s="41" t="n">
        <v>43697</v>
      </c>
      <c r="W1549" s="34" t="s">
        <v>2210</v>
      </c>
      <c r="X1549" s="18"/>
    </row>
    <row r="1550" customFormat="false" ht="13.8" hidden="false" customHeight="false" outlineLevel="0" collapsed="false">
      <c r="A1550" s="34"/>
      <c r="B1550" s="19" t="s">
        <v>887</v>
      </c>
      <c r="C1550" s="20" t="n">
        <v>43473</v>
      </c>
      <c r="D1550" s="38" t="s">
        <v>22</v>
      </c>
      <c r="E1550" s="22" t="s">
        <v>281</v>
      </c>
      <c r="F1550" s="45" t="s">
        <v>1041</v>
      </c>
      <c r="G1550" s="19" t="n">
        <v>86</v>
      </c>
      <c r="H1550" s="19"/>
      <c r="I1550" s="19" t="n">
        <v>7</v>
      </c>
      <c r="J1550" s="25" t="n">
        <v>44.4</v>
      </c>
      <c r="K1550" s="39" t="n">
        <v>395000</v>
      </c>
      <c r="L1550" s="39" t="n">
        <f aca="false">K1550/J1550</f>
        <v>8896.3963963964</v>
      </c>
      <c r="M1550" s="18"/>
      <c r="N1550" s="40"/>
      <c r="O1550" s="30" t="n">
        <f aca="false">K1550+N1550</f>
        <v>395000</v>
      </c>
      <c r="P1550" s="39" t="n">
        <f aca="false">O1550/J1550</f>
        <v>8896.3963963964</v>
      </c>
      <c r="Q1550" s="19" t="s">
        <v>889</v>
      </c>
      <c r="R1550" s="19" t="n">
        <v>3</v>
      </c>
      <c r="S1550" s="19" t="s">
        <v>1141</v>
      </c>
      <c r="T1550" s="19"/>
      <c r="U1550" s="19" t="s">
        <v>31</v>
      </c>
      <c r="V1550" s="41" t="n">
        <v>43727</v>
      </c>
      <c r="W1550" s="18"/>
      <c r="X1550" s="18"/>
    </row>
    <row r="1551" customFormat="false" ht="13.8" hidden="false" customHeight="false" outlineLevel="0" collapsed="false">
      <c r="A1551" s="34"/>
      <c r="B1551" s="19" t="n">
        <v>392</v>
      </c>
      <c r="C1551" s="20" t="n">
        <v>43473</v>
      </c>
      <c r="D1551" s="38" t="s">
        <v>22</v>
      </c>
      <c r="E1551" s="22" t="s">
        <v>2211</v>
      </c>
      <c r="F1551" s="34" t="s">
        <v>236</v>
      </c>
      <c r="G1551" s="22" t="s">
        <v>326</v>
      </c>
      <c r="H1551" s="19" t="n">
        <v>33</v>
      </c>
      <c r="I1551" s="19" t="n">
        <v>3</v>
      </c>
      <c r="J1551" s="19" t="n">
        <v>48.59</v>
      </c>
      <c r="K1551" s="39" t="n">
        <v>495000</v>
      </c>
      <c r="L1551" s="39" t="n">
        <f aca="false">K1551/J1551</f>
        <v>10187.2813336077</v>
      </c>
      <c r="M1551" s="18"/>
      <c r="N1551" s="40"/>
      <c r="O1551" s="30" t="n">
        <f aca="false">K1551+N1551</f>
        <v>495000</v>
      </c>
      <c r="P1551" s="39" t="n">
        <f aca="false">O1551/J1551</f>
        <v>10187.2813336077</v>
      </c>
      <c r="Q1551" s="19" t="s">
        <v>1486</v>
      </c>
      <c r="R1551" s="22" t="s">
        <v>36</v>
      </c>
      <c r="S1551" s="19" t="s">
        <v>29</v>
      </c>
      <c r="T1551" s="19" t="s">
        <v>30</v>
      </c>
      <c r="U1551" s="19" t="s">
        <v>31</v>
      </c>
      <c r="V1551" s="41" t="n">
        <v>43693</v>
      </c>
      <c r="W1551" s="34" t="s">
        <v>2212</v>
      </c>
      <c r="X1551" s="18"/>
    </row>
    <row r="1552" s="32" customFormat="true" ht="13.8" hidden="false" customHeight="false" outlineLevel="0" collapsed="false">
      <c r="A1552" s="18"/>
      <c r="B1552" s="22" t="s">
        <v>2213</v>
      </c>
      <c r="C1552" s="20" t="n">
        <v>43473</v>
      </c>
      <c r="D1552" s="38" t="s">
        <v>22</v>
      </c>
      <c r="E1552" s="22" t="s">
        <v>235</v>
      </c>
      <c r="F1552" s="23" t="s">
        <v>236</v>
      </c>
      <c r="G1552" s="22" t="s">
        <v>326</v>
      </c>
      <c r="H1552" s="22" t="s">
        <v>464</v>
      </c>
      <c r="I1552" s="22" t="n">
        <v>3</v>
      </c>
      <c r="J1552" s="25" t="n">
        <v>48.59</v>
      </c>
      <c r="K1552" s="26" t="n">
        <v>495000</v>
      </c>
      <c r="L1552" s="39" t="n">
        <f aca="false">K1552/J1552</f>
        <v>10187.2813336077</v>
      </c>
      <c r="M1552" s="34" t="s">
        <v>189</v>
      </c>
      <c r="N1552" s="54"/>
      <c r="O1552" s="30" t="n">
        <f aca="false">K1552+N1552</f>
        <v>495000</v>
      </c>
      <c r="P1552" s="39" t="n">
        <f aca="false">O1552/J1552</f>
        <v>10187.2813336077</v>
      </c>
      <c r="Q1552" s="58"/>
      <c r="R1552" s="57" t="n">
        <v>4</v>
      </c>
      <c r="S1552" s="19" t="s">
        <v>29</v>
      </c>
      <c r="T1552" s="19" t="s">
        <v>30</v>
      </c>
      <c r="U1552" s="19" t="s">
        <v>31</v>
      </c>
      <c r="V1552" s="22" t="s">
        <v>2184</v>
      </c>
      <c r="W1552" s="22"/>
      <c r="X1552" s="22"/>
    </row>
    <row r="1553" customFormat="false" ht="13.8" hidden="false" customHeight="false" outlineLevel="0" collapsed="false">
      <c r="A1553" s="18"/>
      <c r="B1553" s="19" t="s">
        <v>2214</v>
      </c>
      <c r="C1553" s="20" t="n">
        <v>43473</v>
      </c>
      <c r="D1553" s="38" t="s">
        <v>22</v>
      </c>
      <c r="E1553" s="22" t="s">
        <v>183</v>
      </c>
      <c r="F1553" s="23" t="s">
        <v>2208</v>
      </c>
      <c r="G1553" s="22" t="s">
        <v>295</v>
      </c>
      <c r="H1553" s="24" t="s">
        <v>443</v>
      </c>
      <c r="I1553" s="24" t="n">
        <v>8</v>
      </c>
      <c r="J1553" s="25" t="n">
        <v>36.3</v>
      </c>
      <c r="K1553" s="26" t="n">
        <v>350000</v>
      </c>
      <c r="L1553" s="39" t="n">
        <f aca="false">K1553/J1553</f>
        <v>9641.87327823692</v>
      </c>
      <c r="M1553" s="34" t="s">
        <v>189</v>
      </c>
      <c r="N1553" s="54"/>
      <c r="O1553" s="30" t="n">
        <f aca="false">K1553+N1553</f>
        <v>350000</v>
      </c>
      <c r="P1553" s="39" t="n">
        <f aca="false">O1553/J1553</f>
        <v>9641.87327823692</v>
      </c>
      <c r="Q1553" s="58"/>
      <c r="R1553" s="57" t="n">
        <v>2</v>
      </c>
      <c r="S1553" s="19" t="s">
        <v>29</v>
      </c>
      <c r="T1553" s="19" t="s">
        <v>30</v>
      </c>
      <c r="U1553" s="19" t="s">
        <v>31</v>
      </c>
      <c r="V1553" s="22" t="s">
        <v>2184</v>
      </c>
      <c r="W1553" s="22"/>
      <c r="X1553" s="22"/>
    </row>
    <row r="1554" customFormat="false" ht="13.8" hidden="false" customHeight="false" outlineLevel="0" collapsed="false">
      <c r="A1554" s="34"/>
      <c r="B1554" s="19" t="n">
        <v>53</v>
      </c>
      <c r="C1554" s="20" t="n">
        <v>43473</v>
      </c>
      <c r="D1554" s="38" t="s">
        <v>22</v>
      </c>
      <c r="E1554" s="22" t="s">
        <v>183</v>
      </c>
      <c r="F1554" s="34" t="s">
        <v>486</v>
      </c>
      <c r="G1554" s="19" t="s">
        <v>295</v>
      </c>
      <c r="H1554" s="19" t="n">
        <v>88</v>
      </c>
      <c r="I1554" s="19" t="n">
        <v>8</v>
      </c>
      <c r="J1554" s="19" t="n">
        <v>36.3</v>
      </c>
      <c r="K1554" s="39" t="n">
        <v>350000</v>
      </c>
      <c r="L1554" s="39" t="n">
        <f aca="false">K1554/J1554</f>
        <v>9641.87327823692</v>
      </c>
      <c r="M1554" s="34" t="s">
        <v>2215</v>
      </c>
      <c r="N1554" s="40"/>
      <c r="O1554" s="30" t="n">
        <f aca="false">K1554+N1554</f>
        <v>350000</v>
      </c>
      <c r="P1554" s="39" t="n">
        <f aca="false">O1554/J1554</f>
        <v>9641.87327823692</v>
      </c>
      <c r="Q1554" s="19" t="s">
        <v>1486</v>
      </c>
      <c r="R1554" s="22" t="s">
        <v>36</v>
      </c>
      <c r="S1554" s="19" t="s">
        <v>29</v>
      </c>
      <c r="T1554" s="19" t="s">
        <v>30</v>
      </c>
      <c r="U1554" s="19" t="s">
        <v>31</v>
      </c>
      <c r="V1554" s="41" t="n">
        <v>43697</v>
      </c>
      <c r="W1554" s="34" t="s">
        <v>2216</v>
      </c>
      <c r="X1554" s="34"/>
    </row>
    <row r="1555" customFormat="false" ht="13.8" hidden="false" customHeight="false" outlineLevel="0" collapsed="false">
      <c r="A1555" s="18"/>
      <c r="B1555" s="22" t="s">
        <v>2217</v>
      </c>
      <c r="C1555" s="20" t="n">
        <v>43474</v>
      </c>
      <c r="D1555" s="38" t="s">
        <v>22</v>
      </c>
      <c r="E1555" s="22" t="s">
        <v>140</v>
      </c>
      <c r="F1555" s="23" t="s">
        <v>138</v>
      </c>
      <c r="G1555" s="22" t="s">
        <v>2218</v>
      </c>
      <c r="H1555" s="22" t="s">
        <v>112</v>
      </c>
      <c r="I1555" s="22" t="n">
        <v>5</v>
      </c>
      <c r="J1555" s="25" t="n">
        <v>81.66</v>
      </c>
      <c r="K1555" s="26" t="n">
        <v>670833</v>
      </c>
      <c r="L1555" s="39" t="n">
        <f aca="false">K1555/J1555</f>
        <v>8214.95224099927</v>
      </c>
      <c r="M1555" s="34"/>
      <c r="N1555" s="40"/>
      <c r="O1555" s="30" t="n">
        <f aca="false">K1555+N1555</f>
        <v>670833</v>
      </c>
      <c r="P1555" s="39" t="n">
        <f aca="false">O1555/J1555</f>
        <v>8214.95224099927</v>
      </c>
      <c r="Q1555" s="28"/>
      <c r="R1555" s="55" t="n">
        <v>2</v>
      </c>
      <c r="S1555" s="19" t="s">
        <v>29</v>
      </c>
      <c r="T1555" s="19" t="s">
        <v>30</v>
      </c>
      <c r="U1555" s="19" t="s">
        <v>31</v>
      </c>
      <c r="V1555" s="22" t="s">
        <v>2184</v>
      </c>
      <c r="W1555" s="53"/>
      <c r="X1555" s="25"/>
    </row>
    <row r="1556" customFormat="false" ht="13.8" hidden="false" customHeight="false" outlineLevel="0" collapsed="false">
      <c r="A1556" s="34"/>
      <c r="B1556" s="19" t="n">
        <v>1</v>
      </c>
      <c r="C1556" s="20" t="n">
        <v>43474</v>
      </c>
      <c r="D1556" s="38" t="s">
        <v>22</v>
      </c>
      <c r="E1556" s="22" t="s">
        <v>543</v>
      </c>
      <c r="F1556" s="34" t="s">
        <v>628</v>
      </c>
      <c r="G1556" s="19" t="n">
        <v>5</v>
      </c>
      <c r="H1556" s="19" t="n">
        <v>9</v>
      </c>
      <c r="I1556" s="19" t="n">
        <v>3</v>
      </c>
      <c r="J1556" s="19" t="n">
        <v>50.5</v>
      </c>
      <c r="K1556" s="39" t="n">
        <v>365000</v>
      </c>
      <c r="L1556" s="39" t="n">
        <f aca="false">K1556/J1556</f>
        <v>7227.72277227723</v>
      </c>
      <c r="M1556" s="34"/>
      <c r="N1556" s="40"/>
      <c r="O1556" s="30" t="n">
        <f aca="false">K1556+N1556</f>
        <v>365000</v>
      </c>
      <c r="P1556" s="39" t="n">
        <f aca="false">O1556/J1556</f>
        <v>7227.72277227723</v>
      </c>
      <c r="Q1556" s="19" t="s">
        <v>1486</v>
      </c>
      <c r="R1556" s="22" t="s">
        <v>36</v>
      </c>
      <c r="S1556" s="19" t="s">
        <v>29</v>
      </c>
      <c r="T1556" s="19" t="s">
        <v>30</v>
      </c>
      <c r="U1556" s="19" t="s">
        <v>31</v>
      </c>
      <c r="V1556" s="41" t="n">
        <v>43693</v>
      </c>
      <c r="W1556" s="34" t="s">
        <v>2219</v>
      </c>
      <c r="X1556" s="18"/>
    </row>
    <row r="1557" customFormat="false" ht="13.8" hidden="false" customHeight="false" outlineLevel="0" collapsed="false">
      <c r="A1557" s="18"/>
      <c r="B1557" s="19" t="s">
        <v>2182</v>
      </c>
      <c r="C1557" s="20" t="n">
        <v>43474</v>
      </c>
      <c r="D1557" s="38" t="s">
        <v>22</v>
      </c>
      <c r="E1557" s="22" t="s">
        <v>2220</v>
      </c>
      <c r="F1557" s="23" t="s">
        <v>628</v>
      </c>
      <c r="G1557" s="22" t="s">
        <v>57</v>
      </c>
      <c r="H1557" s="24" t="s">
        <v>101</v>
      </c>
      <c r="I1557" s="24" t="n">
        <v>3</v>
      </c>
      <c r="J1557" s="25" t="n">
        <v>50.5</v>
      </c>
      <c r="K1557" s="26" t="n">
        <v>365000</v>
      </c>
      <c r="L1557" s="39" t="n">
        <f aca="false">K1557/J1557</f>
        <v>7227.72277227723</v>
      </c>
      <c r="M1557" s="34"/>
      <c r="N1557" s="34"/>
      <c r="O1557" s="30" t="n">
        <f aca="false">K1557+N1557</f>
        <v>365000</v>
      </c>
      <c r="P1557" s="39" t="n">
        <f aca="false">O1557/J1557</f>
        <v>7227.72277227723</v>
      </c>
      <c r="Q1557" s="28"/>
      <c r="R1557" s="55" t="n">
        <v>2</v>
      </c>
      <c r="S1557" s="19" t="s">
        <v>29</v>
      </c>
      <c r="T1557" s="19" t="s">
        <v>30</v>
      </c>
      <c r="U1557" s="19" t="s">
        <v>31</v>
      </c>
      <c r="V1557" s="22" t="s">
        <v>2184</v>
      </c>
      <c r="W1557" s="53"/>
      <c r="X1557" s="25"/>
    </row>
    <row r="1558" customFormat="false" ht="13.8" hidden="false" customHeight="false" outlineLevel="0" collapsed="false">
      <c r="A1558" s="34"/>
      <c r="B1558" s="19" t="n">
        <v>527</v>
      </c>
      <c r="C1558" s="20" t="n">
        <v>43474</v>
      </c>
      <c r="D1558" s="38" t="s">
        <v>22</v>
      </c>
      <c r="E1558" s="22" t="s">
        <v>278</v>
      </c>
      <c r="F1558" s="34" t="s">
        <v>338</v>
      </c>
      <c r="G1558" s="19" t="n">
        <v>59</v>
      </c>
      <c r="H1558" s="19" t="n">
        <v>3</v>
      </c>
      <c r="I1558" s="19" t="n">
        <v>1</v>
      </c>
      <c r="J1558" s="19" t="n">
        <v>42.76</v>
      </c>
      <c r="K1558" s="39" t="n">
        <v>460000</v>
      </c>
      <c r="L1558" s="39" t="n">
        <f aca="false">K1558/J1558</f>
        <v>10757.7174929841</v>
      </c>
      <c r="M1558" s="34" t="s">
        <v>2221</v>
      </c>
      <c r="N1558" s="40"/>
      <c r="O1558" s="30" t="n">
        <f aca="false">K1558+N1558</f>
        <v>460000</v>
      </c>
      <c r="P1558" s="39" t="n">
        <f aca="false">O1558/J1558</f>
        <v>10757.7174929841</v>
      </c>
      <c r="Q1558" s="19" t="s">
        <v>1320</v>
      </c>
      <c r="R1558" s="22" t="s">
        <v>27</v>
      </c>
      <c r="S1558" s="19" t="s">
        <v>29</v>
      </c>
      <c r="T1558" s="19" t="s">
        <v>30</v>
      </c>
      <c r="U1558" s="19" t="s">
        <v>31</v>
      </c>
      <c r="V1558" s="41" t="n">
        <v>43697</v>
      </c>
      <c r="W1558" s="34" t="s">
        <v>2222</v>
      </c>
      <c r="X1558" s="18"/>
    </row>
    <row r="1559" customFormat="false" ht="13.8" hidden="false" customHeight="false" outlineLevel="0" collapsed="false">
      <c r="A1559" s="34"/>
      <c r="B1559" s="19" t="s">
        <v>2223</v>
      </c>
      <c r="C1559" s="20" t="n">
        <v>43475</v>
      </c>
      <c r="D1559" s="38" t="s">
        <v>22</v>
      </c>
      <c r="E1559" s="22" t="s">
        <v>144</v>
      </c>
      <c r="F1559" s="23" t="s">
        <v>2224</v>
      </c>
      <c r="G1559" s="22" t="s">
        <v>36</v>
      </c>
      <c r="H1559" s="24" t="s">
        <v>147</v>
      </c>
      <c r="I1559" s="24" t="n">
        <v>4</v>
      </c>
      <c r="J1559" s="25" t="n">
        <v>26.25</v>
      </c>
      <c r="K1559" s="26" t="n">
        <v>318000</v>
      </c>
      <c r="L1559" s="39" t="n">
        <f aca="false">K1559/J1559</f>
        <v>12114.2857142857</v>
      </c>
      <c r="M1559" s="34" t="s">
        <v>189</v>
      </c>
      <c r="N1559" s="34"/>
      <c r="O1559" s="30" t="n">
        <f aca="false">K1559+N1559</f>
        <v>318000</v>
      </c>
      <c r="P1559" s="39" t="n">
        <f aca="false">O1559/J1559</f>
        <v>12114.2857142857</v>
      </c>
      <c r="Q1559" s="28"/>
      <c r="R1559" s="55" t="n">
        <v>2</v>
      </c>
      <c r="S1559" s="19" t="s">
        <v>29</v>
      </c>
      <c r="T1559" s="19" t="s">
        <v>30</v>
      </c>
      <c r="U1559" s="19" t="s">
        <v>31</v>
      </c>
      <c r="V1559" s="22" t="s">
        <v>2184</v>
      </c>
      <c r="W1559" s="53"/>
      <c r="X1559" s="25"/>
    </row>
    <row r="1560" s="32" customFormat="true" ht="13.8" hidden="false" customHeight="false" outlineLevel="0" collapsed="false">
      <c r="A1560" s="34"/>
      <c r="B1560" s="19" t="n">
        <v>109</v>
      </c>
      <c r="C1560" s="20" t="n">
        <v>43475</v>
      </c>
      <c r="D1560" s="38" t="s">
        <v>22</v>
      </c>
      <c r="E1560" s="22" t="s">
        <v>156</v>
      </c>
      <c r="F1560" s="34" t="s">
        <v>2225</v>
      </c>
      <c r="G1560" s="19" t="n">
        <v>33</v>
      </c>
      <c r="H1560" s="19" t="n">
        <v>6</v>
      </c>
      <c r="I1560" s="19" t="n">
        <v>2</v>
      </c>
      <c r="J1560" s="19" t="n">
        <v>37.95</v>
      </c>
      <c r="K1560" s="39" t="n">
        <v>365000</v>
      </c>
      <c r="L1560" s="39" t="n">
        <f aca="false">K1560/J1560</f>
        <v>9617.91831357049</v>
      </c>
      <c r="M1560" s="34" t="s">
        <v>2226</v>
      </c>
      <c r="N1560" s="40"/>
      <c r="O1560" s="30" t="n">
        <f aca="false">K1560+N1560</f>
        <v>365000</v>
      </c>
      <c r="P1560" s="39" t="n">
        <f aca="false">O1560/J1560</f>
        <v>9617.91831357049</v>
      </c>
      <c r="Q1560" s="19" t="s">
        <v>2227</v>
      </c>
      <c r="R1560" s="22" t="s">
        <v>27</v>
      </c>
      <c r="S1560" s="19" t="s">
        <v>29</v>
      </c>
      <c r="T1560" s="19" t="s">
        <v>30</v>
      </c>
      <c r="U1560" s="19" t="s">
        <v>31</v>
      </c>
      <c r="V1560" s="41" t="n">
        <v>43693</v>
      </c>
      <c r="W1560" s="34" t="s">
        <v>2228</v>
      </c>
      <c r="X1560" s="18"/>
    </row>
    <row r="1561" customFormat="false" ht="13.8" hidden="false" customHeight="false" outlineLevel="0" collapsed="false">
      <c r="A1561" s="18"/>
      <c r="B1561" s="22" t="s">
        <v>2229</v>
      </c>
      <c r="C1561" s="20" t="n">
        <v>43475</v>
      </c>
      <c r="D1561" s="38" t="s">
        <v>22</v>
      </c>
      <c r="E1561" s="22" t="s">
        <v>203</v>
      </c>
      <c r="F1561" s="23" t="s">
        <v>2230</v>
      </c>
      <c r="G1561" s="22" t="s">
        <v>36</v>
      </c>
      <c r="H1561" s="22" t="s">
        <v>550</v>
      </c>
      <c r="I1561" s="22" t="n">
        <v>4</v>
      </c>
      <c r="J1561" s="25" t="n">
        <v>134.51</v>
      </c>
      <c r="K1561" s="26" t="n">
        <v>1291296</v>
      </c>
      <c r="L1561" s="39" t="n">
        <f aca="false">K1561/J1561</f>
        <v>9600</v>
      </c>
      <c r="M1561" s="34"/>
      <c r="N1561" s="40"/>
      <c r="O1561" s="30" t="n">
        <f aca="false">K1561+N1561</f>
        <v>1291296</v>
      </c>
      <c r="P1561" s="39" t="n">
        <f aca="false">O1561/J1561</f>
        <v>9600</v>
      </c>
      <c r="Q1561" s="59"/>
      <c r="R1561" s="57" t="n">
        <v>2</v>
      </c>
      <c r="S1561" s="19" t="s">
        <v>29</v>
      </c>
      <c r="T1561" s="19" t="s">
        <v>30</v>
      </c>
      <c r="U1561" s="19" t="s">
        <v>31</v>
      </c>
      <c r="V1561" s="22" t="s">
        <v>2184</v>
      </c>
      <c r="W1561" s="22"/>
      <c r="X1561" s="22"/>
    </row>
    <row r="1562" customFormat="false" ht="13.8" hidden="false" customHeight="false" outlineLevel="0" collapsed="false">
      <c r="A1562" s="18"/>
      <c r="B1562" s="22" t="s">
        <v>2231</v>
      </c>
      <c r="C1562" s="20" t="n">
        <v>43475</v>
      </c>
      <c r="D1562" s="38" t="s">
        <v>22</v>
      </c>
      <c r="E1562" s="22" t="s">
        <v>527</v>
      </c>
      <c r="F1562" s="23" t="s">
        <v>1223</v>
      </c>
      <c r="G1562" s="22" t="s">
        <v>678</v>
      </c>
      <c r="H1562" s="22" t="s">
        <v>57</v>
      </c>
      <c r="I1562" s="22" t="n">
        <v>4</v>
      </c>
      <c r="J1562" s="25" t="n">
        <v>151.24</v>
      </c>
      <c r="K1562" s="26" t="n">
        <v>1050000</v>
      </c>
      <c r="L1562" s="39" t="n">
        <f aca="false">K1562/J1562</f>
        <v>6942.60777572071</v>
      </c>
      <c r="M1562" s="34"/>
      <c r="N1562" s="34"/>
      <c r="O1562" s="30" t="n">
        <f aca="false">K1562+N1562</f>
        <v>1050000</v>
      </c>
      <c r="P1562" s="39" t="n">
        <f aca="false">O1562/J1562</f>
        <v>6942.60777572071</v>
      </c>
      <c r="Q1562" s="59"/>
      <c r="R1562" s="57" t="n">
        <v>3</v>
      </c>
      <c r="S1562" s="19" t="s">
        <v>29</v>
      </c>
      <c r="T1562" s="19" t="s">
        <v>30</v>
      </c>
      <c r="U1562" s="19" t="s">
        <v>31</v>
      </c>
      <c r="V1562" s="22" t="s">
        <v>2184</v>
      </c>
      <c r="W1562" s="22"/>
      <c r="X1562" s="22"/>
    </row>
    <row r="1563" customFormat="false" ht="13.8" hidden="false" customHeight="false" outlineLevel="0" collapsed="false">
      <c r="A1563" s="34"/>
      <c r="B1563" s="19" t="n">
        <v>47</v>
      </c>
      <c r="C1563" s="20" t="n">
        <v>43475</v>
      </c>
      <c r="D1563" s="38" t="s">
        <v>22</v>
      </c>
      <c r="E1563" s="22" t="s">
        <v>480</v>
      </c>
      <c r="F1563" s="34" t="s">
        <v>46</v>
      </c>
      <c r="G1563" s="22" t="s">
        <v>2232</v>
      </c>
      <c r="H1563" s="19" t="n">
        <v>40</v>
      </c>
      <c r="I1563" s="19" t="n">
        <v>3</v>
      </c>
      <c r="J1563" s="19" t="n">
        <v>37.3</v>
      </c>
      <c r="K1563" s="39" t="n">
        <v>345000</v>
      </c>
      <c r="L1563" s="39" t="n">
        <f aca="false">K1563/J1563</f>
        <v>9249.32975871314</v>
      </c>
      <c r="M1563" s="34" t="s">
        <v>2233</v>
      </c>
      <c r="N1563" s="40"/>
      <c r="O1563" s="30" t="n">
        <f aca="false">K1563+N1563</f>
        <v>345000</v>
      </c>
      <c r="P1563" s="39" t="n">
        <f aca="false">O1563/J1563</f>
        <v>9249.32975871314</v>
      </c>
      <c r="Q1563" s="19" t="s">
        <v>1320</v>
      </c>
      <c r="R1563" s="22" t="s">
        <v>27</v>
      </c>
      <c r="S1563" s="19" t="s">
        <v>29</v>
      </c>
      <c r="T1563" s="19" t="s">
        <v>30</v>
      </c>
      <c r="U1563" s="19" t="s">
        <v>31</v>
      </c>
      <c r="V1563" s="41" t="n">
        <v>43697</v>
      </c>
      <c r="W1563" s="34" t="s">
        <v>2234</v>
      </c>
      <c r="X1563" s="18"/>
    </row>
    <row r="1564" customFormat="false" ht="13.8" hidden="false" customHeight="false" outlineLevel="0" collapsed="false">
      <c r="A1564" s="34"/>
      <c r="B1564" s="19" t="n">
        <v>223</v>
      </c>
      <c r="C1564" s="20" t="n">
        <v>43475</v>
      </c>
      <c r="D1564" s="38" t="s">
        <v>22</v>
      </c>
      <c r="E1564" s="22" t="s">
        <v>527</v>
      </c>
      <c r="F1564" s="34" t="s">
        <v>240</v>
      </c>
      <c r="G1564" s="19" t="n">
        <v>110</v>
      </c>
      <c r="H1564" s="19" t="n">
        <v>5</v>
      </c>
      <c r="I1564" s="19" t="n">
        <v>4</v>
      </c>
      <c r="J1564" s="19" t="n">
        <v>151.21</v>
      </c>
      <c r="K1564" s="39" t="n">
        <v>1050000</v>
      </c>
      <c r="L1564" s="39" t="n">
        <f aca="false">K1564/J1564</f>
        <v>6943.98518616494</v>
      </c>
      <c r="M1564" s="34" t="s">
        <v>2235</v>
      </c>
      <c r="N1564" s="40" t="n">
        <v>50000</v>
      </c>
      <c r="O1564" s="30" t="n">
        <f aca="false">K1564+N1564</f>
        <v>1100000</v>
      </c>
      <c r="P1564" s="39" t="n">
        <f aca="false">O1564/J1564</f>
        <v>7274.65114741089</v>
      </c>
      <c r="Q1564" s="19" t="s">
        <v>2236</v>
      </c>
      <c r="R1564" s="22" t="s">
        <v>57</v>
      </c>
      <c r="S1564" s="19" t="s">
        <v>29</v>
      </c>
      <c r="T1564" s="19" t="s">
        <v>30</v>
      </c>
      <c r="U1564" s="19" t="s">
        <v>31</v>
      </c>
      <c r="V1564" s="41" t="n">
        <v>43696</v>
      </c>
      <c r="W1564" s="34" t="s">
        <v>2237</v>
      </c>
      <c r="X1564" s="18"/>
    </row>
    <row r="1565" customFormat="false" ht="13.8" hidden="false" customHeight="false" outlineLevel="0" collapsed="false">
      <c r="A1565" s="34"/>
      <c r="B1565" s="19" t="n">
        <v>190</v>
      </c>
      <c r="C1565" s="20" t="n">
        <v>43475</v>
      </c>
      <c r="D1565" s="38" t="s">
        <v>22</v>
      </c>
      <c r="E1565" s="22" t="s">
        <v>187</v>
      </c>
      <c r="F1565" s="34" t="s">
        <v>127</v>
      </c>
      <c r="G1565" s="19" t="s">
        <v>2238</v>
      </c>
      <c r="H1565" s="19" t="n">
        <v>111</v>
      </c>
      <c r="I1565" s="19" t="n">
        <v>2</v>
      </c>
      <c r="J1565" s="19" t="n">
        <v>45.21</v>
      </c>
      <c r="K1565" s="39" t="n">
        <v>410000</v>
      </c>
      <c r="L1565" s="39" t="n">
        <f aca="false">K1565/J1565</f>
        <v>9068.7900906879</v>
      </c>
      <c r="M1565" s="34"/>
      <c r="N1565" s="40"/>
      <c r="O1565" s="30" t="n">
        <f aca="false">K1565+N1565</f>
        <v>410000</v>
      </c>
      <c r="P1565" s="39" t="n">
        <f aca="false">O1565/J1565</f>
        <v>9068.7900906879</v>
      </c>
      <c r="Q1565" s="19" t="s">
        <v>1486</v>
      </c>
      <c r="R1565" s="22" t="s">
        <v>36</v>
      </c>
      <c r="S1565" s="19" t="s">
        <v>29</v>
      </c>
      <c r="T1565" s="19" t="s">
        <v>30</v>
      </c>
      <c r="U1565" s="19" t="s">
        <v>31</v>
      </c>
      <c r="V1565" s="41" t="n">
        <v>43696</v>
      </c>
      <c r="W1565" s="34" t="s">
        <v>2239</v>
      </c>
      <c r="X1565" s="18"/>
    </row>
    <row r="1566" customFormat="false" ht="13.8" hidden="false" customHeight="false" outlineLevel="0" collapsed="false">
      <c r="A1566" s="34"/>
      <c r="B1566" s="19" t="s">
        <v>887</v>
      </c>
      <c r="C1566" s="20" t="n">
        <v>43475</v>
      </c>
      <c r="D1566" s="38" t="s">
        <v>22</v>
      </c>
      <c r="E1566" s="22" t="s">
        <v>934</v>
      </c>
      <c r="F1566" s="45" t="s">
        <v>486</v>
      </c>
      <c r="G1566" s="19" t="n">
        <v>12</v>
      </c>
      <c r="H1566" s="19"/>
      <c r="I1566" s="19" t="n">
        <v>1</v>
      </c>
      <c r="J1566" s="25" t="n">
        <v>23.5</v>
      </c>
      <c r="K1566" s="39" t="n">
        <v>198000</v>
      </c>
      <c r="L1566" s="39" t="n">
        <f aca="false">K1566/J1566</f>
        <v>8425.53191489362</v>
      </c>
      <c r="M1566" s="34"/>
      <c r="N1566" s="40"/>
      <c r="O1566" s="30" t="n">
        <f aca="false">K1566+N1566</f>
        <v>198000</v>
      </c>
      <c r="P1566" s="39" t="n">
        <f aca="false">O1566/J1566</f>
        <v>8425.53191489362</v>
      </c>
      <c r="Q1566" s="19" t="s">
        <v>889</v>
      </c>
      <c r="R1566" s="19" t="n">
        <v>1</v>
      </c>
      <c r="S1566" s="19" t="s">
        <v>1141</v>
      </c>
      <c r="T1566" s="19"/>
      <c r="U1566" s="19" t="s">
        <v>31</v>
      </c>
      <c r="V1566" s="41" t="n">
        <v>43727</v>
      </c>
      <c r="W1566" s="18"/>
      <c r="X1566" s="18"/>
    </row>
    <row r="1567" customFormat="false" ht="13.8" hidden="false" customHeight="false" outlineLevel="0" collapsed="false">
      <c r="A1567" s="34"/>
      <c r="B1567" s="19" t="n">
        <v>303</v>
      </c>
      <c r="C1567" s="20" t="n">
        <v>43476</v>
      </c>
      <c r="D1567" s="38" t="s">
        <v>22</v>
      </c>
      <c r="E1567" s="22" t="s">
        <v>75</v>
      </c>
      <c r="F1567" s="34" t="s">
        <v>2240</v>
      </c>
      <c r="G1567" s="19" t="n">
        <v>33</v>
      </c>
      <c r="H1567" s="19" t="n">
        <v>20</v>
      </c>
      <c r="I1567" s="19" t="n">
        <v>3</v>
      </c>
      <c r="J1567" s="19" t="n">
        <f aca="false">76.05-3.57</f>
        <v>72.48</v>
      </c>
      <c r="K1567" s="39" t="n">
        <v>591000</v>
      </c>
      <c r="L1567" s="39" t="n">
        <f aca="false">K1567/J1567</f>
        <v>8153.97350993377</v>
      </c>
      <c r="M1567" s="34" t="s">
        <v>2241</v>
      </c>
      <c r="N1567" s="40" t="n">
        <v>44500</v>
      </c>
      <c r="O1567" s="30" t="n">
        <f aca="false">K1567+N1567</f>
        <v>635500</v>
      </c>
      <c r="P1567" s="39" t="n">
        <f aca="false">O1567/J1567</f>
        <v>8767.93598233996</v>
      </c>
      <c r="Q1567" s="19" t="s">
        <v>2242</v>
      </c>
      <c r="R1567" s="22" t="s">
        <v>26</v>
      </c>
      <c r="S1567" s="19" t="s">
        <v>29</v>
      </c>
      <c r="T1567" s="19" t="s">
        <v>30</v>
      </c>
      <c r="U1567" s="19" t="s">
        <v>31</v>
      </c>
      <c r="V1567" s="41" t="n">
        <v>43696</v>
      </c>
      <c r="W1567" s="34" t="s">
        <v>2243</v>
      </c>
      <c r="X1567" s="18"/>
      <c r="Y1567" s="35"/>
      <c r="Z1567" s="36"/>
    </row>
    <row r="1568" customFormat="false" ht="13.8" hidden="false" customHeight="false" outlineLevel="0" collapsed="false">
      <c r="A1568" s="34"/>
      <c r="B1568" s="19" t="n">
        <v>8092</v>
      </c>
      <c r="C1568" s="20" t="n">
        <v>43476</v>
      </c>
      <c r="D1568" s="38" t="s">
        <v>22</v>
      </c>
      <c r="E1568" s="22" t="s">
        <v>322</v>
      </c>
      <c r="F1568" s="34" t="s">
        <v>323</v>
      </c>
      <c r="G1568" s="19" t="s">
        <v>570</v>
      </c>
      <c r="H1568" s="19" t="n">
        <v>88</v>
      </c>
      <c r="I1568" s="19" t="n">
        <v>10</v>
      </c>
      <c r="J1568" s="19" t="n">
        <v>57.49</v>
      </c>
      <c r="K1568" s="39" t="n">
        <f aca="false">530000-35000</f>
        <v>495000</v>
      </c>
      <c r="L1568" s="39" t="n">
        <f aca="false">K1568/J1568</f>
        <v>8610.19307705688</v>
      </c>
      <c r="M1568" s="34" t="s">
        <v>2244</v>
      </c>
      <c r="N1568" s="40" t="n">
        <v>35000</v>
      </c>
      <c r="O1568" s="30" t="n">
        <f aca="false">K1568+N1568</f>
        <v>530000</v>
      </c>
      <c r="P1568" s="39" t="n">
        <f aca="false">O1568/J1568</f>
        <v>9218.99460775787</v>
      </c>
      <c r="Q1568" s="19" t="s">
        <v>2245</v>
      </c>
      <c r="R1568" s="22" t="s">
        <v>36</v>
      </c>
      <c r="S1568" s="19" t="s">
        <v>29</v>
      </c>
      <c r="T1568" s="19" t="s">
        <v>30</v>
      </c>
      <c r="U1568" s="19" t="s">
        <v>31</v>
      </c>
      <c r="V1568" s="41" t="n">
        <v>43693</v>
      </c>
      <c r="W1568" s="34" t="s">
        <v>2246</v>
      </c>
      <c r="X1568" s="18"/>
    </row>
    <row r="1569" customFormat="false" ht="13.8" hidden="false" customHeight="false" outlineLevel="0" collapsed="false">
      <c r="A1569" s="18"/>
      <c r="B1569" s="22" t="s">
        <v>2247</v>
      </c>
      <c r="C1569" s="20" t="n">
        <v>43476</v>
      </c>
      <c r="D1569" s="38" t="s">
        <v>22</v>
      </c>
      <c r="E1569" s="22" t="s">
        <v>322</v>
      </c>
      <c r="F1569" s="23" t="s">
        <v>323</v>
      </c>
      <c r="G1569" s="22" t="s">
        <v>570</v>
      </c>
      <c r="H1569" s="22" t="s">
        <v>443</v>
      </c>
      <c r="I1569" s="22" t="n">
        <v>10</v>
      </c>
      <c r="J1569" s="25" t="n">
        <v>57.49</v>
      </c>
      <c r="K1569" s="26" t="n">
        <v>530000</v>
      </c>
      <c r="L1569" s="39" t="n">
        <f aca="false">K1569/J1569</f>
        <v>9218.99460775787</v>
      </c>
      <c r="M1569" s="34"/>
      <c r="N1569" s="34"/>
      <c r="O1569" s="30" t="n">
        <f aca="false">K1569+N1569</f>
        <v>530000</v>
      </c>
      <c r="P1569" s="39" t="n">
        <f aca="false">O1569/J1569</f>
        <v>9218.99460775787</v>
      </c>
      <c r="Q1569" s="28"/>
      <c r="R1569" s="55" t="n">
        <v>3</v>
      </c>
      <c r="S1569" s="19" t="s">
        <v>29</v>
      </c>
      <c r="T1569" s="19" t="s">
        <v>30</v>
      </c>
      <c r="U1569" s="19" t="s">
        <v>31</v>
      </c>
      <c r="V1569" s="22" t="s">
        <v>2184</v>
      </c>
      <c r="W1569" s="53"/>
      <c r="X1569" s="25"/>
    </row>
    <row r="1570" customFormat="false" ht="13.8" hidden="false" customHeight="false" outlineLevel="0" collapsed="false">
      <c r="A1570" s="34"/>
      <c r="B1570" s="19" t="n">
        <v>100</v>
      </c>
      <c r="C1570" s="20" t="n">
        <v>43476</v>
      </c>
      <c r="D1570" s="38" t="s">
        <v>22</v>
      </c>
      <c r="E1570" s="22" t="s">
        <v>37</v>
      </c>
      <c r="F1570" s="34" t="s">
        <v>38</v>
      </c>
      <c r="G1570" s="19" t="n">
        <v>127</v>
      </c>
      <c r="H1570" s="19" t="n">
        <v>120</v>
      </c>
      <c r="I1570" s="19" t="n">
        <v>5</v>
      </c>
      <c r="J1570" s="19" t="n">
        <v>27.35</v>
      </c>
      <c r="K1570" s="39" t="n">
        <v>240000</v>
      </c>
      <c r="L1570" s="39" t="n">
        <f aca="false">K1570/J1570</f>
        <v>8775.13711151737</v>
      </c>
      <c r="M1570" s="34"/>
      <c r="N1570" s="40"/>
      <c r="O1570" s="30" t="n">
        <f aca="false">K1570+N1570</f>
        <v>240000</v>
      </c>
      <c r="P1570" s="39" t="n">
        <f aca="false">O1570/J1570</f>
        <v>8775.13711151737</v>
      </c>
      <c r="Q1570" s="19" t="s">
        <v>1320</v>
      </c>
      <c r="R1570" s="22" t="s">
        <v>27</v>
      </c>
      <c r="S1570" s="19" t="s">
        <v>29</v>
      </c>
      <c r="T1570" s="19" t="s">
        <v>30</v>
      </c>
      <c r="U1570" s="19" t="s">
        <v>31</v>
      </c>
      <c r="V1570" s="41" t="n">
        <v>43697</v>
      </c>
      <c r="W1570" s="34" t="s">
        <v>2248</v>
      </c>
      <c r="X1570" s="18"/>
    </row>
    <row r="1571" customFormat="false" ht="13.8" hidden="false" customHeight="false" outlineLevel="0" collapsed="false">
      <c r="A1571" s="34"/>
      <c r="B1571" s="19" t="n">
        <v>150</v>
      </c>
      <c r="C1571" s="20" t="n">
        <v>43476</v>
      </c>
      <c r="D1571" s="38" t="s">
        <v>22</v>
      </c>
      <c r="E1571" s="22" t="s">
        <v>265</v>
      </c>
      <c r="F1571" s="34" t="s">
        <v>565</v>
      </c>
      <c r="G1571" s="19" t="n">
        <v>52</v>
      </c>
      <c r="H1571" s="19" t="n">
        <v>110</v>
      </c>
      <c r="I1571" s="19" t="n">
        <v>3</v>
      </c>
      <c r="J1571" s="19" t="n">
        <v>38.93</v>
      </c>
      <c r="K1571" s="39" t="n">
        <v>414000</v>
      </c>
      <c r="L1571" s="39" t="n">
        <f aca="false">K1571/J1571</f>
        <v>10634.4721294631</v>
      </c>
      <c r="M1571" s="18"/>
      <c r="N1571" s="40"/>
      <c r="O1571" s="30" t="n">
        <f aca="false">K1571+N1571</f>
        <v>414000</v>
      </c>
      <c r="P1571" s="39" t="n">
        <f aca="false">O1571/J1571</f>
        <v>10634.4721294631</v>
      </c>
      <c r="Q1571" s="19" t="s">
        <v>1320</v>
      </c>
      <c r="R1571" s="22" t="s">
        <v>27</v>
      </c>
      <c r="S1571" s="19" t="s">
        <v>29</v>
      </c>
      <c r="T1571" s="19" t="s">
        <v>30</v>
      </c>
      <c r="U1571" s="19" t="s">
        <v>31</v>
      </c>
      <c r="V1571" s="41" t="n">
        <v>43693</v>
      </c>
      <c r="W1571" s="34" t="s">
        <v>2249</v>
      </c>
      <c r="X1571" s="18"/>
    </row>
    <row r="1572" customFormat="false" ht="13.8" hidden="false" customHeight="false" outlineLevel="0" collapsed="false">
      <c r="A1572" s="34"/>
      <c r="B1572" s="19" t="n">
        <v>232</v>
      </c>
      <c r="C1572" s="20" t="n">
        <v>43479</v>
      </c>
      <c r="D1572" s="38" t="s">
        <v>22</v>
      </c>
      <c r="E1572" s="22" t="s">
        <v>284</v>
      </c>
      <c r="F1572" s="34" t="s">
        <v>285</v>
      </c>
      <c r="G1572" s="19" t="n">
        <v>35</v>
      </c>
      <c r="H1572" s="19" t="n">
        <v>5</v>
      </c>
      <c r="I1572" s="19" t="n">
        <v>3</v>
      </c>
      <c r="J1572" s="19" t="n">
        <v>48.77</v>
      </c>
      <c r="K1572" s="39" t="n">
        <v>525000</v>
      </c>
      <c r="L1572" s="39" t="n">
        <f aca="false">K1572/J1572</f>
        <v>10764.8144351035</v>
      </c>
      <c r="M1572" s="34"/>
      <c r="N1572" s="40"/>
      <c r="O1572" s="30" t="n">
        <f aca="false">K1572+N1572</f>
        <v>525000</v>
      </c>
      <c r="P1572" s="39" t="n">
        <f aca="false">O1572/J1572</f>
        <v>10764.8144351035</v>
      </c>
      <c r="Q1572" s="19" t="s">
        <v>1486</v>
      </c>
      <c r="R1572" s="22" t="s">
        <v>36</v>
      </c>
      <c r="S1572" s="19" t="s">
        <v>29</v>
      </c>
      <c r="T1572" s="19" t="s">
        <v>30</v>
      </c>
      <c r="U1572" s="19" t="s">
        <v>31</v>
      </c>
      <c r="V1572" s="41" t="n">
        <v>43697</v>
      </c>
      <c r="W1572" s="34" t="s">
        <v>2250</v>
      </c>
      <c r="X1572" s="34"/>
    </row>
    <row r="1573" customFormat="false" ht="13.8" hidden="false" customHeight="false" outlineLevel="0" collapsed="false">
      <c r="A1573" s="18"/>
      <c r="B1573" s="22" t="s">
        <v>2251</v>
      </c>
      <c r="C1573" s="20" t="n">
        <v>43479</v>
      </c>
      <c r="D1573" s="38" t="s">
        <v>22</v>
      </c>
      <c r="E1573" s="22" t="s">
        <v>284</v>
      </c>
      <c r="F1573" s="23" t="s">
        <v>2252</v>
      </c>
      <c r="G1573" s="22" t="s">
        <v>286</v>
      </c>
      <c r="H1573" s="22" t="s">
        <v>57</v>
      </c>
      <c r="I1573" s="22" t="n">
        <v>3</v>
      </c>
      <c r="J1573" s="25" t="n">
        <v>48.77</v>
      </c>
      <c r="K1573" s="26" t="n">
        <v>525000</v>
      </c>
      <c r="L1573" s="39" t="n">
        <f aca="false">K1573/J1573</f>
        <v>10764.8144351035</v>
      </c>
      <c r="M1573" s="18"/>
      <c r="N1573" s="54"/>
      <c r="O1573" s="30" t="n">
        <f aca="false">K1573+N1573</f>
        <v>525000</v>
      </c>
      <c r="P1573" s="39" t="n">
        <f aca="false">O1573/J1573</f>
        <v>10764.8144351035</v>
      </c>
      <c r="Q1573" s="59"/>
      <c r="R1573" s="57" t="n">
        <v>3</v>
      </c>
      <c r="S1573" s="19" t="s">
        <v>29</v>
      </c>
      <c r="T1573" s="19" t="s">
        <v>30</v>
      </c>
      <c r="U1573" s="19" t="s">
        <v>31</v>
      </c>
      <c r="V1573" s="22" t="s">
        <v>2184</v>
      </c>
      <c r="W1573" s="22"/>
      <c r="X1573" s="22"/>
    </row>
    <row r="1574" customFormat="false" ht="13.8" hidden="false" customHeight="false" outlineLevel="0" collapsed="false">
      <c r="A1574" s="34"/>
      <c r="B1574" s="19" t="n">
        <v>220</v>
      </c>
      <c r="C1574" s="20" t="n">
        <v>43479</v>
      </c>
      <c r="D1574" s="38" t="s">
        <v>22</v>
      </c>
      <c r="E1574" s="22" t="s">
        <v>23</v>
      </c>
      <c r="F1574" s="34" t="s">
        <v>361</v>
      </c>
      <c r="G1574" s="19" t="n">
        <v>100</v>
      </c>
      <c r="H1574" s="19" t="n">
        <v>25</v>
      </c>
      <c r="I1574" s="19" t="n">
        <v>2</v>
      </c>
      <c r="J1574" s="19" t="n">
        <v>45.2</v>
      </c>
      <c r="K1574" s="39" t="n">
        <v>300000</v>
      </c>
      <c r="L1574" s="39" t="n">
        <f aca="false">K1574/J1574</f>
        <v>6637.16814159292</v>
      </c>
      <c r="M1574" s="18"/>
      <c r="N1574" s="40"/>
      <c r="O1574" s="30" t="n">
        <f aca="false">K1574+N1574</f>
        <v>300000</v>
      </c>
      <c r="P1574" s="39" t="n">
        <f aca="false">O1574/J1574</f>
        <v>6637.16814159292</v>
      </c>
      <c r="Q1574" s="19" t="s">
        <v>1340</v>
      </c>
      <c r="R1574" s="22" t="s">
        <v>26</v>
      </c>
      <c r="S1574" s="19" t="s">
        <v>29</v>
      </c>
      <c r="T1574" s="19" t="s">
        <v>30</v>
      </c>
      <c r="U1574" s="19" t="s">
        <v>31</v>
      </c>
      <c r="V1574" s="41" t="n">
        <v>43693</v>
      </c>
      <c r="W1574" s="34" t="s">
        <v>2253</v>
      </c>
      <c r="X1574" s="18"/>
    </row>
    <row r="1575" customFormat="false" ht="13.8" hidden="false" customHeight="false" outlineLevel="0" collapsed="false">
      <c r="A1575" s="34"/>
      <c r="B1575" s="19" t="n">
        <v>239</v>
      </c>
      <c r="C1575" s="20" t="n">
        <v>43479</v>
      </c>
      <c r="D1575" s="38" t="s">
        <v>22</v>
      </c>
      <c r="E1575" s="22" t="s">
        <v>1380</v>
      </c>
      <c r="F1575" s="34" t="s">
        <v>1381</v>
      </c>
      <c r="G1575" s="19" t="n">
        <v>4</v>
      </c>
      <c r="H1575" s="19" t="n">
        <v>1</v>
      </c>
      <c r="I1575" s="19" t="n">
        <v>1</v>
      </c>
      <c r="J1575" s="19" t="n">
        <v>58.65</v>
      </c>
      <c r="K1575" s="39" t="n">
        <v>720000</v>
      </c>
      <c r="L1575" s="39" t="n">
        <f aca="false">K1575/J1575</f>
        <v>12276.2148337596</v>
      </c>
      <c r="M1575" s="34"/>
      <c r="N1575" s="40"/>
      <c r="O1575" s="30" t="n">
        <f aca="false">K1575+N1575</f>
        <v>720000</v>
      </c>
      <c r="P1575" s="39" t="n">
        <f aca="false">O1575/J1575</f>
        <v>12276.2148337596</v>
      </c>
      <c r="Q1575" s="19" t="s">
        <v>2254</v>
      </c>
      <c r="R1575" s="22" t="s">
        <v>36</v>
      </c>
      <c r="S1575" s="19" t="s">
        <v>29</v>
      </c>
      <c r="T1575" s="19" t="s">
        <v>30</v>
      </c>
      <c r="U1575" s="19" t="s">
        <v>31</v>
      </c>
      <c r="V1575" s="41" t="n">
        <v>43697</v>
      </c>
      <c r="W1575" s="34" t="s">
        <v>2255</v>
      </c>
      <c r="X1575" s="34"/>
    </row>
    <row r="1576" customFormat="false" ht="13.8" hidden="false" customHeight="false" outlineLevel="0" collapsed="false">
      <c r="A1576" s="34"/>
      <c r="B1576" s="19" t="n">
        <v>249</v>
      </c>
      <c r="C1576" s="20" t="n">
        <v>43479</v>
      </c>
      <c r="D1576" s="38" t="s">
        <v>22</v>
      </c>
      <c r="E1576" s="22" t="s">
        <v>284</v>
      </c>
      <c r="F1576" s="34" t="s">
        <v>46</v>
      </c>
      <c r="G1576" s="19" t="n">
        <v>48</v>
      </c>
      <c r="H1576" s="19" t="n">
        <v>16</v>
      </c>
      <c r="I1576" s="19" t="n">
        <v>6</v>
      </c>
      <c r="J1576" s="19" t="n">
        <v>88.48</v>
      </c>
      <c r="K1576" s="39" t="n">
        <v>920000</v>
      </c>
      <c r="L1576" s="39" t="n">
        <f aca="false">K1576/J1576</f>
        <v>10397.8300180832</v>
      </c>
      <c r="M1576" s="34"/>
      <c r="N1576" s="40"/>
      <c r="O1576" s="30" t="n">
        <f aca="false">K1576+N1576</f>
        <v>920000</v>
      </c>
      <c r="P1576" s="39" t="n">
        <f aca="false">O1576/J1576</f>
        <v>10397.8300180832</v>
      </c>
      <c r="Q1576" s="19" t="s">
        <v>2256</v>
      </c>
      <c r="R1576" s="22" t="s">
        <v>26</v>
      </c>
      <c r="S1576" s="19" t="s">
        <v>29</v>
      </c>
      <c r="T1576" s="19" t="s">
        <v>30</v>
      </c>
      <c r="U1576" s="19" t="s">
        <v>31</v>
      </c>
      <c r="V1576" s="41" t="n">
        <v>43696</v>
      </c>
      <c r="W1576" s="34" t="s">
        <v>2257</v>
      </c>
      <c r="X1576" s="18"/>
    </row>
    <row r="1577" customFormat="false" ht="13.8" hidden="false" customHeight="false" outlineLevel="0" collapsed="false">
      <c r="A1577" s="34"/>
      <c r="B1577" s="19" t="n">
        <v>429</v>
      </c>
      <c r="C1577" s="20" t="n">
        <v>43479</v>
      </c>
      <c r="D1577" s="38" t="s">
        <v>22</v>
      </c>
      <c r="E1577" s="22" t="s">
        <v>2258</v>
      </c>
      <c r="F1577" s="34" t="s">
        <v>2259</v>
      </c>
      <c r="G1577" s="19" t="n">
        <v>1</v>
      </c>
      <c r="H1577" s="19" t="n">
        <v>5</v>
      </c>
      <c r="I1577" s="19" t="n">
        <v>2</v>
      </c>
      <c r="J1577" s="19" t="n">
        <v>81.93</v>
      </c>
      <c r="K1577" s="39" t="n">
        <v>934000</v>
      </c>
      <c r="L1577" s="39" t="n">
        <f aca="false">K1577/J1577</f>
        <v>11399.9755889174</v>
      </c>
      <c r="M1577" s="34" t="s">
        <v>2260</v>
      </c>
      <c r="N1577" s="40"/>
      <c r="O1577" s="30" t="n">
        <f aca="false">K1577+N1577</f>
        <v>934000</v>
      </c>
      <c r="P1577" s="39" t="n">
        <f aca="false">O1577/J1577</f>
        <v>11399.9755889174</v>
      </c>
      <c r="Q1577" s="19" t="s">
        <v>2261</v>
      </c>
      <c r="R1577" s="22" t="s">
        <v>26</v>
      </c>
      <c r="S1577" s="19" t="s">
        <v>29</v>
      </c>
      <c r="T1577" s="19" t="s">
        <v>30</v>
      </c>
      <c r="U1577" s="19" t="s">
        <v>31</v>
      </c>
      <c r="V1577" s="41" t="n">
        <v>43696</v>
      </c>
      <c r="W1577" s="34" t="s">
        <v>2262</v>
      </c>
      <c r="X1577" s="18"/>
    </row>
    <row r="1578" customFormat="false" ht="13.8" hidden="false" customHeight="false" outlineLevel="0" collapsed="false">
      <c r="A1578" s="18"/>
      <c r="B1578" s="22" t="s">
        <v>2263</v>
      </c>
      <c r="C1578" s="20" t="n">
        <v>43479</v>
      </c>
      <c r="D1578" s="38" t="s">
        <v>22</v>
      </c>
      <c r="E1578" s="22" t="s">
        <v>75</v>
      </c>
      <c r="F1578" s="42" t="s">
        <v>1209</v>
      </c>
      <c r="G1578" s="22" t="s">
        <v>257</v>
      </c>
      <c r="H1578" s="22" t="s">
        <v>286</v>
      </c>
      <c r="I1578" s="22" t="n">
        <v>3</v>
      </c>
      <c r="J1578" s="25" t="n">
        <v>114</v>
      </c>
      <c r="K1578" s="26" t="n">
        <v>980000</v>
      </c>
      <c r="L1578" s="39" t="n">
        <f aca="false">K1578/J1578</f>
        <v>8596.49122807018</v>
      </c>
      <c r="M1578" s="34" t="s">
        <v>2264</v>
      </c>
      <c r="N1578" s="34"/>
      <c r="O1578" s="30" t="n">
        <f aca="false">K1578+N1578</f>
        <v>980000</v>
      </c>
      <c r="P1578" s="39" t="n">
        <f aca="false">O1578/J1578</f>
        <v>8596.49122807018</v>
      </c>
      <c r="Q1578" s="60"/>
      <c r="R1578" s="55" t="n">
        <v>3</v>
      </c>
      <c r="S1578" s="19" t="s">
        <v>29</v>
      </c>
      <c r="T1578" s="19" t="s">
        <v>30</v>
      </c>
      <c r="U1578" s="19" t="s">
        <v>31</v>
      </c>
      <c r="V1578" s="22" t="s">
        <v>2184</v>
      </c>
      <c r="W1578" s="22"/>
      <c r="X1578" s="22"/>
    </row>
    <row r="1579" s="32" customFormat="true" ht="13.8" hidden="false" customHeight="false" outlineLevel="0" collapsed="false">
      <c r="A1579" s="18"/>
      <c r="B1579" s="22" t="s">
        <v>2265</v>
      </c>
      <c r="C1579" s="20" t="n">
        <v>43479</v>
      </c>
      <c r="D1579" s="38" t="s">
        <v>22</v>
      </c>
      <c r="E1579" s="22" t="s">
        <v>23</v>
      </c>
      <c r="F1579" s="23" t="s">
        <v>2266</v>
      </c>
      <c r="G1579" s="22" t="s">
        <v>348</v>
      </c>
      <c r="H1579" s="22" t="s">
        <v>300</v>
      </c>
      <c r="I1579" s="22" t="n">
        <v>2</v>
      </c>
      <c r="J1579" s="25" t="n">
        <v>45.2</v>
      </c>
      <c r="K1579" s="26" t="n">
        <v>300000</v>
      </c>
      <c r="L1579" s="39" t="n">
        <f aca="false">K1579/J1579</f>
        <v>6637.16814159292</v>
      </c>
      <c r="M1579" s="18"/>
      <c r="N1579" s="54"/>
      <c r="O1579" s="30" t="n">
        <f aca="false">K1579+N1579</f>
        <v>300000</v>
      </c>
      <c r="P1579" s="39" t="n">
        <f aca="false">O1579/J1579</f>
        <v>6637.16814159292</v>
      </c>
      <c r="Q1579" s="58"/>
      <c r="R1579" s="57" t="n">
        <v>3</v>
      </c>
      <c r="S1579" s="19" t="s">
        <v>29</v>
      </c>
      <c r="T1579" s="19" t="s">
        <v>30</v>
      </c>
      <c r="U1579" s="19" t="s">
        <v>31</v>
      </c>
      <c r="V1579" s="22" t="s">
        <v>2184</v>
      </c>
      <c r="W1579" s="22"/>
      <c r="X1579" s="22"/>
    </row>
    <row r="1580" customFormat="false" ht="13.8" hidden="false" customHeight="false" outlineLevel="0" collapsed="false">
      <c r="A1580" s="34"/>
      <c r="B1580" s="19" t="s">
        <v>887</v>
      </c>
      <c r="C1580" s="20" t="n">
        <v>43480</v>
      </c>
      <c r="D1580" s="38" t="s">
        <v>22</v>
      </c>
      <c r="E1580" s="22" t="s">
        <v>281</v>
      </c>
      <c r="F1580" s="45" t="s">
        <v>282</v>
      </c>
      <c r="G1580" s="19" t="s">
        <v>2267</v>
      </c>
      <c r="H1580" s="19"/>
      <c r="I1580" s="19" t="n">
        <v>1</v>
      </c>
      <c r="J1580" s="25" t="n">
        <v>58</v>
      </c>
      <c r="K1580" s="39" t="n">
        <v>590000</v>
      </c>
      <c r="L1580" s="39" t="n">
        <f aca="false">K1580/J1580</f>
        <v>10172.4137931034</v>
      </c>
      <c r="M1580" s="18"/>
      <c r="N1580" s="40"/>
      <c r="O1580" s="30" t="n">
        <f aca="false">K1580+N1580</f>
        <v>590000</v>
      </c>
      <c r="P1580" s="39" t="n">
        <f aca="false">O1580/J1580</f>
        <v>10172.4137931034</v>
      </c>
      <c r="Q1580" s="19" t="s">
        <v>889</v>
      </c>
      <c r="R1580" s="19" t="n">
        <v>3</v>
      </c>
      <c r="S1580" s="19" t="s">
        <v>1141</v>
      </c>
      <c r="T1580" s="19"/>
      <c r="U1580" s="19" t="s">
        <v>31</v>
      </c>
      <c r="V1580" s="41" t="n">
        <v>43727</v>
      </c>
      <c r="W1580" s="18"/>
      <c r="X1580" s="18"/>
    </row>
    <row r="1581" s="32" customFormat="true" ht="13.8" hidden="false" customHeight="false" outlineLevel="0" collapsed="false">
      <c r="A1581" s="34"/>
      <c r="B1581" s="19" t="n">
        <v>245</v>
      </c>
      <c r="C1581" s="20" t="n">
        <v>43480</v>
      </c>
      <c r="D1581" s="38" t="s">
        <v>22</v>
      </c>
      <c r="E1581" s="22" t="s">
        <v>212</v>
      </c>
      <c r="F1581" s="34" t="s">
        <v>957</v>
      </c>
      <c r="G1581" s="22" t="s">
        <v>213</v>
      </c>
      <c r="H1581" s="19" t="n">
        <v>347</v>
      </c>
      <c r="I1581" s="19" t="n">
        <v>4</v>
      </c>
      <c r="J1581" s="19" t="n">
        <v>31.06</v>
      </c>
      <c r="K1581" s="39" t="n">
        <v>250000</v>
      </c>
      <c r="L1581" s="39" t="n">
        <f aca="false">K1581/J1581</f>
        <v>8048.93754024469</v>
      </c>
      <c r="M1581" s="18"/>
      <c r="N1581" s="40"/>
      <c r="O1581" s="30" t="n">
        <f aca="false">K1581+N1581</f>
        <v>250000</v>
      </c>
      <c r="P1581" s="39" t="n">
        <f aca="false">O1581/J1581</f>
        <v>8048.93754024469</v>
      </c>
      <c r="Q1581" s="19" t="s">
        <v>1320</v>
      </c>
      <c r="R1581" s="22" t="s">
        <v>27</v>
      </c>
      <c r="S1581" s="19" t="s">
        <v>29</v>
      </c>
      <c r="T1581" s="19" t="s">
        <v>30</v>
      </c>
      <c r="U1581" s="19" t="s">
        <v>31</v>
      </c>
      <c r="V1581" s="41" t="n">
        <v>43697</v>
      </c>
      <c r="W1581" s="34" t="s">
        <v>2268</v>
      </c>
      <c r="X1581" s="18"/>
    </row>
    <row r="1582" s="32" customFormat="true" ht="13.8" hidden="false" customHeight="false" outlineLevel="0" collapsed="false">
      <c r="A1582" s="34"/>
      <c r="B1582" s="19" t="n">
        <v>939</v>
      </c>
      <c r="C1582" s="20" t="n">
        <v>43480</v>
      </c>
      <c r="D1582" s="38" t="s">
        <v>22</v>
      </c>
      <c r="E1582" s="22" t="s">
        <v>118</v>
      </c>
      <c r="F1582" s="34" t="s">
        <v>462</v>
      </c>
      <c r="G1582" s="19" t="n">
        <v>4</v>
      </c>
      <c r="H1582" s="19" t="n">
        <v>54</v>
      </c>
      <c r="I1582" s="19" t="n">
        <v>5</v>
      </c>
      <c r="J1582" s="19" t="n">
        <v>36.6</v>
      </c>
      <c r="K1582" s="39" t="n">
        <v>330000</v>
      </c>
      <c r="L1582" s="39" t="n">
        <f aca="false">K1582/J1582</f>
        <v>9016.39344262295</v>
      </c>
      <c r="M1582" s="34"/>
      <c r="N1582" s="40"/>
      <c r="O1582" s="30" t="n">
        <f aca="false">K1582+N1582</f>
        <v>330000</v>
      </c>
      <c r="P1582" s="39" t="n">
        <f aca="false">O1582/J1582</f>
        <v>9016.39344262295</v>
      </c>
      <c r="Q1582" s="19" t="s">
        <v>1486</v>
      </c>
      <c r="R1582" s="22" t="s">
        <v>36</v>
      </c>
      <c r="S1582" s="19" t="s">
        <v>29</v>
      </c>
      <c r="T1582" s="19" t="s">
        <v>30</v>
      </c>
      <c r="U1582" s="19" t="s">
        <v>31</v>
      </c>
      <c r="V1582" s="41" t="n">
        <v>43697</v>
      </c>
      <c r="W1582" s="34" t="s">
        <v>2269</v>
      </c>
      <c r="X1582" s="34"/>
    </row>
    <row r="1583" customFormat="false" ht="13.8" hidden="false" customHeight="false" outlineLevel="0" collapsed="false">
      <c r="A1583" s="18"/>
      <c r="B1583" s="22" t="s">
        <v>2270</v>
      </c>
      <c r="C1583" s="20" t="n">
        <v>43480</v>
      </c>
      <c r="D1583" s="38" t="s">
        <v>22</v>
      </c>
      <c r="E1583" s="22" t="s">
        <v>118</v>
      </c>
      <c r="F1583" s="23" t="s">
        <v>462</v>
      </c>
      <c r="G1583" s="22" t="s">
        <v>49</v>
      </c>
      <c r="H1583" s="22" t="s">
        <v>280</v>
      </c>
      <c r="I1583" s="22" t="n">
        <v>5</v>
      </c>
      <c r="J1583" s="25" t="n">
        <v>36.6</v>
      </c>
      <c r="K1583" s="26" t="n">
        <v>330000</v>
      </c>
      <c r="L1583" s="39" t="n">
        <f aca="false">K1583/J1583</f>
        <v>9016.39344262295</v>
      </c>
      <c r="M1583" s="34"/>
      <c r="N1583" s="34"/>
      <c r="O1583" s="30" t="n">
        <f aca="false">K1583+N1583</f>
        <v>330000</v>
      </c>
      <c r="P1583" s="39" t="n">
        <f aca="false">O1583/J1583</f>
        <v>9016.39344262295</v>
      </c>
      <c r="Q1583" s="58"/>
      <c r="R1583" s="57" t="n">
        <v>4</v>
      </c>
      <c r="S1583" s="19" t="s">
        <v>29</v>
      </c>
      <c r="T1583" s="19" t="s">
        <v>30</v>
      </c>
      <c r="U1583" s="19" t="s">
        <v>31</v>
      </c>
      <c r="V1583" s="22" t="s">
        <v>2184</v>
      </c>
      <c r="W1583" s="22"/>
      <c r="X1583" s="22"/>
    </row>
    <row r="1584" customFormat="false" ht="13.8" hidden="false" customHeight="false" outlineLevel="0" collapsed="false">
      <c r="A1584" s="18"/>
      <c r="B1584" s="19" t="s">
        <v>2271</v>
      </c>
      <c r="C1584" s="20" t="n">
        <v>43480</v>
      </c>
      <c r="D1584" s="38" t="s">
        <v>22</v>
      </c>
      <c r="E1584" s="22" t="s">
        <v>61</v>
      </c>
      <c r="F1584" s="23" t="s">
        <v>2266</v>
      </c>
      <c r="G1584" s="22" t="s">
        <v>213</v>
      </c>
      <c r="H1584" s="24" t="s">
        <v>2272</v>
      </c>
      <c r="I1584" s="24" t="n">
        <v>4</v>
      </c>
      <c r="J1584" s="25" t="n">
        <v>31.06</v>
      </c>
      <c r="K1584" s="26" t="n">
        <v>250000</v>
      </c>
      <c r="L1584" s="39" t="n">
        <f aca="false">K1584/J1584</f>
        <v>8048.93754024469</v>
      </c>
      <c r="M1584" s="34"/>
      <c r="N1584" s="34"/>
      <c r="O1584" s="30" t="n">
        <f aca="false">K1584+N1584</f>
        <v>250000</v>
      </c>
      <c r="P1584" s="39" t="n">
        <f aca="false">O1584/J1584</f>
        <v>8048.93754024469</v>
      </c>
      <c r="Q1584" s="28"/>
      <c r="R1584" s="55" t="n">
        <v>3</v>
      </c>
      <c r="S1584" s="19" t="s">
        <v>29</v>
      </c>
      <c r="T1584" s="19" t="s">
        <v>30</v>
      </c>
      <c r="U1584" s="19" t="s">
        <v>31</v>
      </c>
      <c r="V1584" s="22" t="s">
        <v>2184</v>
      </c>
      <c r="W1584" s="53"/>
      <c r="X1584" s="25"/>
    </row>
    <row r="1585" s="32" customFormat="true" ht="13.8" hidden="false" customHeight="false" outlineLevel="0" collapsed="false">
      <c r="A1585" s="34"/>
      <c r="B1585" s="19" t="n">
        <v>190</v>
      </c>
      <c r="C1585" s="20" t="n">
        <v>43481</v>
      </c>
      <c r="D1585" s="38" t="s">
        <v>22</v>
      </c>
      <c r="E1585" s="22" t="s">
        <v>517</v>
      </c>
      <c r="F1585" s="34" t="s">
        <v>518</v>
      </c>
      <c r="G1585" s="19" t="s">
        <v>146</v>
      </c>
      <c r="H1585" s="19" t="n">
        <v>60</v>
      </c>
      <c r="I1585" s="19" t="n">
        <v>5</v>
      </c>
      <c r="J1585" s="19" t="n">
        <v>36.6</v>
      </c>
      <c r="K1585" s="39" t="n">
        <v>455000</v>
      </c>
      <c r="L1585" s="39" t="n">
        <f aca="false">K1585/J1585</f>
        <v>12431.693989071</v>
      </c>
      <c r="M1585" s="34"/>
      <c r="N1585" s="40"/>
      <c r="O1585" s="30" t="n">
        <f aca="false">K1585+N1585</f>
        <v>455000</v>
      </c>
      <c r="P1585" s="39" t="n">
        <f aca="false">O1585/J1585</f>
        <v>12431.693989071</v>
      </c>
      <c r="Q1585" s="19" t="s">
        <v>2273</v>
      </c>
      <c r="R1585" s="22" t="s">
        <v>27</v>
      </c>
      <c r="S1585" s="19" t="s">
        <v>29</v>
      </c>
      <c r="T1585" s="19" t="s">
        <v>30</v>
      </c>
      <c r="U1585" s="19" t="s">
        <v>31</v>
      </c>
      <c r="V1585" s="41" t="n">
        <v>43697</v>
      </c>
      <c r="W1585" s="34" t="s">
        <v>2274</v>
      </c>
      <c r="X1585" s="18"/>
    </row>
    <row r="1586" customFormat="false" ht="13.8" hidden="false" customHeight="false" outlineLevel="0" collapsed="false">
      <c r="A1586" s="34"/>
      <c r="B1586" s="19" t="s">
        <v>887</v>
      </c>
      <c r="C1586" s="20" t="n">
        <v>43481</v>
      </c>
      <c r="D1586" s="38" t="s">
        <v>22</v>
      </c>
      <c r="E1586" s="22" t="s">
        <v>934</v>
      </c>
      <c r="F1586" s="45" t="s">
        <v>2275</v>
      </c>
      <c r="G1586" s="19" t="n">
        <v>111</v>
      </c>
      <c r="H1586" s="19"/>
      <c r="I1586" s="19" t="n">
        <v>13</v>
      </c>
      <c r="J1586" s="25" t="n">
        <v>36.3</v>
      </c>
      <c r="K1586" s="39" t="n">
        <v>375000</v>
      </c>
      <c r="L1586" s="39" t="n">
        <f aca="false">K1586/J1586</f>
        <v>10330.5785123967</v>
      </c>
      <c r="M1586" s="34"/>
      <c r="N1586" s="40"/>
      <c r="O1586" s="30" t="n">
        <f aca="false">K1586+N1586</f>
        <v>375000</v>
      </c>
      <c r="P1586" s="39" t="n">
        <f aca="false">O1586/J1586</f>
        <v>10330.5785123967</v>
      </c>
      <c r="Q1586" s="19" t="s">
        <v>889</v>
      </c>
      <c r="R1586" s="19" t="n">
        <v>3</v>
      </c>
      <c r="S1586" s="19" t="s">
        <v>1141</v>
      </c>
      <c r="T1586" s="19"/>
      <c r="U1586" s="19" t="s">
        <v>31</v>
      </c>
      <c r="V1586" s="41" t="n">
        <v>43727</v>
      </c>
      <c r="W1586" s="34"/>
      <c r="X1586" s="34"/>
    </row>
    <row r="1587" customFormat="false" ht="13.8" hidden="false" customHeight="false" outlineLevel="0" collapsed="false">
      <c r="A1587" s="34"/>
      <c r="B1587" s="19" t="n">
        <v>791</v>
      </c>
      <c r="C1587" s="20" t="n">
        <v>43482</v>
      </c>
      <c r="D1587" s="38" t="s">
        <v>22</v>
      </c>
      <c r="E1587" s="22" t="s">
        <v>319</v>
      </c>
      <c r="F1587" s="34" t="s">
        <v>320</v>
      </c>
      <c r="G1587" s="19" t="n">
        <v>3</v>
      </c>
      <c r="H1587" s="19" t="n">
        <v>208</v>
      </c>
      <c r="I1587" s="19" t="n">
        <v>2</v>
      </c>
      <c r="J1587" s="19" t="n">
        <v>73.37</v>
      </c>
      <c r="K1587" s="39" t="n">
        <v>683000</v>
      </c>
      <c r="L1587" s="39" t="n">
        <f aca="false">K1587/J1587</f>
        <v>9308.98187270001</v>
      </c>
      <c r="M1587" s="18"/>
      <c r="N1587" s="40"/>
      <c r="O1587" s="30" t="n">
        <f aca="false">K1587+N1587</f>
        <v>683000</v>
      </c>
      <c r="P1587" s="39" t="n">
        <f aca="false">O1587/J1587</f>
        <v>9308.98187270001</v>
      </c>
      <c r="Q1587" s="19" t="s">
        <v>1352</v>
      </c>
      <c r="R1587" s="22" t="s">
        <v>26</v>
      </c>
      <c r="S1587" s="19" t="s">
        <v>29</v>
      </c>
      <c r="T1587" s="19" t="s">
        <v>30</v>
      </c>
      <c r="U1587" s="19" t="s">
        <v>31</v>
      </c>
      <c r="V1587" s="41" t="n">
        <v>43697</v>
      </c>
      <c r="W1587" s="34" t="s">
        <v>2276</v>
      </c>
      <c r="X1587" s="18"/>
    </row>
    <row r="1588" customFormat="false" ht="13.8" hidden="false" customHeight="false" outlineLevel="0" collapsed="false">
      <c r="A1588" s="34"/>
      <c r="B1588" s="19" t="n">
        <v>54</v>
      </c>
      <c r="C1588" s="20" t="n">
        <v>43482</v>
      </c>
      <c r="D1588" s="38" t="s">
        <v>22</v>
      </c>
      <c r="E1588" s="22" t="s">
        <v>171</v>
      </c>
      <c r="F1588" s="34" t="s">
        <v>172</v>
      </c>
      <c r="G1588" s="22" t="s">
        <v>173</v>
      </c>
      <c r="H1588" s="19" t="n">
        <v>41</v>
      </c>
      <c r="I1588" s="19" t="n">
        <v>3</v>
      </c>
      <c r="J1588" s="19" t="n">
        <v>41.8</v>
      </c>
      <c r="K1588" s="39" t="n">
        <v>365000</v>
      </c>
      <c r="L1588" s="39" t="n">
        <f aca="false">K1588/J1588</f>
        <v>8732.05741626794</v>
      </c>
      <c r="M1588" s="18"/>
      <c r="N1588" s="40"/>
      <c r="O1588" s="30" t="n">
        <f aca="false">K1588+N1588</f>
        <v>365000</v>
      </c>
      <c r="P1588" s="39" t="n">
        <f aca="false">O1588/J1588</f>
        <v>8732.05741626794</v>
      </c>
      <c r="Q1588" s="19" t="s">
        <v>1486</v>
      </c>
      <c r="R1588" s="22" t="s">
        <v>36</v>
      </c>
      <c r="S1588" s="19" t="s">
        <v>29</v>
      </c>
      <c r="T1588" s="19" t="s">
        <v>30</v>
      </c>
      <c r="U1588" s="19" t="s">
        <v>31</v>
      </c>
      <c r="V1588" s="41" t="n">
        <v>43697</v>
      </c>
      <c r="W1588" s="34" t="s">
        <v>2277</v>
      </c>
      <c r="X1588" s="18"/>
    </row>
    <row r="1589" s="32" customFormat="true" ht="13.8" hidden="false" customHeight="false" outlineLevel="0" collapsed="false">
      <c r="A1589" s="18"/>
      <c r="B1589" s="22" t="s">
        <v>2223</v>
      </c>
      <c r="C1589" s="20" t="n">
        <v>43482</v>
      </c>
      <c r="D1589" s="38" t="s">
        <v>22</v>
      </c>
      <c r="E1589" s="22" t="s">
        <v>103</v>
      </c>
      <c r="F1589" s="23" t="s">
        <v>1223</v>
      </c>
      <c r="G1589" s="22" t="s">
        <v>27</v>
      </c>
      <c r="H1589" s="22" t="s">
        <v>26</v>
      </c>
      <c r="I1589" s="22" t="n">
        <v>1</v>
      </c>
      <c r="J1589" s="25" t="n">
        <v>124.62</v>
      </c>
      <c r="K1589" s="26" t="n">
        <v>750000</v>
      </c>
      <c r="L1589" s="39" t="n">
        <f aca="false">K1589/J1589</f>
        <v>6018.29561868079</v>
      </c>
      <c r="M1589" s="34" t="s">
        <v>2278</v>
      </c>
      <c r="N1589" s="54"/>
      <c r="O1589" s="30" t="n">
        <f aca="false">K1589+N1589</f>
        <v>750000</v>
      </c>
      <c r="P1589" s="39" t="n">
        <f aca="false">O1589/J1589</f>
        <v>6018.29561868079</v>
      </c>
      <c r="Q1589" s="59"/>
      <c r="R1589" s="57" t="n">
        <v>2</v>
      </c>
      <c r="S1589" s="19" t="s">
        <v>29</v>
      </c>
      <c r="T1589" s="19" t="s">
        <v>30</v>
      </c>
      <c r="U1589" s="19" t="s">
        <v>31</v>
      </c>
      <c r="V1589" s="22" t="s">
        <v>2184</v>
      </c>
      <c r="W1589" s="22"/>
      <c r="X1589" s="22"/>
    </row>
    <row r="1590" customFormat="false" ht="13.8" hidden="false" customHeight="false" outlineLevel="0" collapsed="false">
      <c r="A1590" s="34"/>
      <c r="B1590" s="19" t="n">
        <v>116</v>
      </c>
      <c r="C1590" s="20" t="n">
        <v>43482</v>
      </c>
      <c r="D1590" s="38" t="s">
        <v>22</v>
      </c>
      <c r="E1590" s="22" t="s">
        <v>109</v>
      </c>
      <c r="F1590" s="34" t="s">
        <v>176</v>
      </c>
      <c r="G1590" s="19" t="n">
        <v>43</v>
      </c>
      <c r="H1590" s="19" t="n">
        <v>55</v>
      </c>
      <c r="I1590" s="19" t="n">
        <v>4</v>
      </c>
      <c r="J1590" s="19" t="n">
        <v>86.33</v>
      </c>
      <c r="K1590" s="39" t="n">
        <v>1190000</v>
      </c>
      <c r="L1590" s="39" t="n">
        <f aca="false">K1590/J1590</f>
        <v>13784.3159967566</v>
      </c>
      <c r="M1590" s="34" t="s">
        <v>1461</v>
      </c>
      <c r="N1590" s="40"/>
      <c r="O1590" s="30" t="n">
        <f aca="false">K1590+N1590</f>
        <v>1190000</v>
      </c>
      <c r="P1590" s="39" t="n">
        <f aca="false">O1590/J1590</f>
        <v>13784.3159967566</v>
      </c>
      <c r="Q1590" s="19" t="s">
        <v>2279</v>
      </c>
      <c r="R1590" s="22" t="s">
        <v>36</v>
      </c>
      <c r="S1590" s="19" t="s">
        <v>29</v>
      </c>
      <c r="T1590" s="19" t="s">
        <v>30</v>
      </c>
      <c r="U1590" s="19" t="s">
        <v>31</v>
      </c>
      <c r="V1590" s="41" t="n">
        <v>43693</v>
      </c>
      <c r="W1590" s="34" t="s">
        <v>2280</v>
      </c>
      <c r="X1590" s="18"/>
    </row>
    <row r="1591" customFormat="false" ht="13.8" hidden="false" customHeight="false" outlineLevel="0" collapsed="false">
      <c r="A1591" s="34"/>
      <c r="B1591" s="19" t="n">
        <v>866</v>
      </c>
      <c r="C1591" s="20" t="n">
        <v>43482</v>
      </c>
      <c r="D1591" s="38" t="s">
        <v>22</v>
      </c>
      <c r="E1591" s="22" t="s">
        <v>86</v>
      </c>
      <c r="F1591" s="34" t="s">
        <v>695</v>
      </c>
      <c r="G1591" s="19" t="n">
        <v>9</v>
      </c>
      <c r="H1591" s="19" t="n">
        <v>10</v>
      </c>
      <c r="I1591" s="19" t="n">
        <v>5</v>
      </c>
      <c r="J1591" s="19" t="n">
        <v>49.4</v>
      </c>
      <c r="K1591" s="39" t="n">
        <v>397000</v>
      </c>
      <c r="L1591" s="39" t="n">
        <f aca="false">K1591/J1591</f>
        <v>8036.43724696356</v>
      </c>
      <c r="M1591" s="34" t="s">
        <v>2281</v>
      </c>
      <c r="N1591" s="40"/>
      <c r="O1591" s="30" t="n">
        <f aca="false">K1591+N1591</f>
        <v>397000</v>
      </c>
      <c r="P1591" s="39" t="n">
        <f aca="false">O1591/J1591</f>
        <v>8036.43724696356</v>
      </c>
      <c r="Q1591" s="19" t="s">
        <v>1340</v>
      </c>
      <c r="R1591" s="22" t="s">
        <v>26</v>
      </c>
      <c r="S1591" s="19" t="s">
        <v>29</v>
      </c>
      <c r="T1591" s="19" t="s">
        <v>30</v>
      </c>
      <c r="U1591" s="19" t="s">
        <v>31</v>
      </c>
      <c r="V1591" s="41" t="n">
        <v>43697</v>
      </c>
      <c r="W1591" s="34" t="s">
        <v>2282</v>
      </c>
      <c r="X1591" s="18"/>
    </row>
    <row r="1592" s="32" customFormat="true" ht="13.8" hidden="false" customHeight="false" outlineLevel="0" collapsed="false">
      <c r="A1592" s="18"/>
      <c r="B1592" s="22" t="s">
        <v>2283</v>
      </c>
      <c r="C1592" s="20" t="n">
        <v>43482</v>
      </c>
      <c r="D1592" s="38" t="s">
        <v>22</v>
      </c>
      <c r="E1592" s="22" t="s">
        <v>86</v>
      </c>
      <c r="F1592" s="23" t="s">
        <v>695</v>
      </c>
      <c r="G1592" s="22" t="s">
        <v>101</v>
      </c>
      <c r="H1592" s="22" t="s">
        <v>111</v>
      </c>
      <c r="I1592" s="22" t="n">
        <v>5</v>
      </c>
      <c r="J1592" s="25" t="n">
        <v>49.4</v>
      </c>
      <c r="K1592" s="26" t="n">
        <v>397000</v>
      </c>
      <c r="L1592" s="39" t="n">
        <f aca="false">K1592/J1592</f>
        <v>8036.43724696356</v>
      </c>
      <c r="M1592" s="34" t="s">
        <v>189</v>
      </c>
      <c r="N1592" s="34"/>
      <c r="O1592" s="30" t="n">
        <f aca="false">K1592+N1592</f>
        <v>397000</v>
      </c>
      <c r="P1592" s="39" t="n">
        <f aca="false">O1592/J1592</f>
        <v>8036.43724696356</v>
      </c>
      <c r="Q1592" s="58"/>
      <c r="R1592" s="57" t="n">
        <v>5</v>
      </c>
      <c r="S1592" s="19" t="s">
        <v>29</v>
      </c>
      <c r="T1592" s="19" t="s">
        <v>30</v>
      </c>
      <c r="U1592" s="19" t="s">
        <v>31</v>
      </c>
      <c r="V1592" s="22" t="s">
        <v>2184</v>
      </c>
      <c r="W1592" s="22"/>
      <c r="X1592" s="22"/>
    </row>
    <row r="1593" customFormat="false" ht="13.8" hidden="false" customHeight="false" outlineLevel="0" collapsed="false">
      <c r="A1593" s="34"/>
      <c r="B1593" s="19" t="n">
        <v>331</v>
      </c>
      <c r="C1593" s="20" t="n">
        <v>43482</v>
      </c>
      <c r="D1593" s="38" t="s">
        <v>22</v>
      </c>
      <c r="E1593" s="22" t="s">
        <v>572</v>
      </c>
      <c r="F1593" s="34" t="s">
        <v>809</v>
      </c>
      <c r="G1593" s="19" t="n">
        <v>3</v>
      </c>
      <c r="H1593" s="19" t="n">
        <v>804</v>
      </c>
      <c r="I1593" s="19" t="n">
        <v>8</v>
      </c>
      <c r="J1593" s="19" t="n">
        <v>59.6</v>
      </c>
      <c r="K1593" s="39" t="n">
        <f aca="false">249250+249250</f>
        <v>498500</v>
      </c>
      <c r="L1593" s="39" t="n">
        <f aca="false">K1593/J1593</f>
        <v>8364.09395973154</v>
      </c>
      <c r="M1593" s="34"/>
      <c r="N1593" s="40"/>
      <c r="O1593" s="30" t="n">
        <f aca="false">K1593+N1593</f>
        <v>498500</v>
      </c>
      <c r="P1593" s="39" t="n">
        <f aca="false">O1593/J1593</f>
        <v>8364.09395973154</v>
      </c>
      <c r="Q1593" s="19" t="s">
        <v>1340</v>
      </c>
      <c r="R1593" s="22" t="s">
        <v>26</v>
      </c>
      <c r="S1593" s="19" t="s">
        <v>29</v>
      </c>
      <c r="T1593" s="19" t="s">
        <v>30</v>
      </c>
      <c r="U1593" s="19" t="s">
        <v>31</v>
      </c>
      <c r="V1593" s="41" t="n">
        <v>43693</v>
      </c>
      <c r="W1593" s="34" t="s">
        <v>2284</v>
      </c>
      <c r="X1593" s="18"/>
    </row>
    <row r="1594" customFormat="false" ht="13.8" hidden="false" customHeight="false" outlineLevel="0" collapsed="false">
      <c r="A1594" s="18"/>
      <c r="B1594" s="19" t="s">
        <v>2285</v>
      </c>
      <c r="C1594" s="20" t="n">
        <v>43482</v>
      </c>
      <c r="D1594" s="38" t="s">
        <v>22</v>
      </c>
      <c r="E1594" s="22" t="s">
        <v>178</v>
      </c>
      <c r="F1594" s="23" t="s">
        <v>2286</v>
      </c>
      <c r="G1594" s="22" t="s">
        <v>49</v>
      </c>
      <c r="H1594" s="24" t="s">
        <v>300</v>
      </c>
      <c r="I1594" s="24" t="n">
        <v>1</v>
      </c>
      <c r="J1594" s="25" t="n">
        <v>50.3</v>
      </c>
      <c r="K1594" s="26" t="n">
        <v>550000</v>
      </c>
      <c r="L1594" s="39" t="n">
        <f aca="false">K1594/J1594</f>
        <v>10934.393638171</v>
      </c>
      <c r="M1594" s="34" t="s">
        <v>189</v>
      </c>
      <c r="N1594" s="34"/>
      <c r="O1594" s="30" t="n">
        <f aca="false">K1594+N1594</f>
        <v>550000</v>
      </c>
      <c r="P1594" s="39" t="n">
        <f aca="false">O1594/J1594</f>
        <v>10934.393638171</v>
      </c>
      <c r="Q1594" s="28"/>
      <c r="R1594" s="55" t="n">
        <v>2</v>
      </c>
      <c r="S1594" s="19" t="s">
        <v>29</v>
      </c>
      <c r="T1594" s="19" t="s">
        <v>30</v>
      </c>
      <c r="U1594" s="19" t="s">
        <v>31</v>
      </c>
      <c r="V1594" s="22" t="s">
        <v>2184</v>
      </c>
      <c r="W1594" s="53"/>
      <c r="X1594" s="25"/>
    </row>
    <row r="1595" customFormat="false" ht="13.8" hidden="false" customHeight="false" outlineLevel="0" collapsed="false">
      <c r="A1595" s="34"/>
      <c r="B1595" s="19" t="n">
        <v>140</v>
      </c>
      <c r="C1595" s="20" t="n">
        <v>43482</v>
      </c>
      <c r="D1595" s="38" t="s">
        <v>22</v>
      </c>
      <c r="E1595" s="22" t="s">
        <v>103</v>
      </c>
      <c r="F1595" s="34" t="s">
        <v>240</v>
      </c>
      <c r="G1595" s="19" t="n">
        <v>1</v>
      </c>
      <c r="H1595" s="19" t="n">
        <v>3</v>
      </c>
      <c r="I1595" s="19" t="n">
        <v>1</v>
      </c>
      <c r="J1595" s="19" t="n">
        <v>124.62</v>
      </c>
      <c r="K1595" s="39" t="n">
        <v>750000</v>
      </c>
      <c r="L1595" s="39" t="n">
        <f aca="false">K1595/J1595</f>
        <v>6018.29561868079</v>
      </c>
      <c r="M1595" s="34"/>
      <c r="N1595" s="40"/>
      <c r="O1595" s="30" t="n">
        <f aca="false">K1595+N1595</f>
        <v>750000</v>
      </c>
      <c r="P1595" s="39" t="n">
        <f aca="false">O1595/J1595</f>
        <v>6018.29561868079</v>
      </c>
      <c r="Q1595" s="19" t="s">
        <v>2287</v>
      </c>
      <c r="R1595" s="22" t="s">
        <v>26</v>
      </c>
      <c r="S1595" s="19" t="s">
        <v>29</v>
      </c>
      <c r="T1595" s="19" t="s">
        <v>30</v>
      </c>
      <c r="U1595" s="19" t="s">
        <v>31</v>
      </c>
      <c r="V1595" s="41" t="n">
        <v>43693</v>
      </c>
      <c r="W1595" s="34" t="s">
        <v>2288</v>
      </c>
      <c r="X1595" s="18"/>
      <c r="Y1595" s="35"/>
      <c r="Z1595" s="36"/>
    </row>
    <row r="1596" s="32" customFormat="true" ht="13.8" hidden="false" customHeight="false" outlineLevel="0" collapsed="false">
      <c r="A1596" s="34"/>
      <c r="B1596" s="19" t="n">
        <v>291</v>
      </c>
      <c r="C1596" s="20" t="n">
        <v>43482</v>
      </c>
      <c r="D1596" s="38" t="s">
        <v>22</v>
      </c>
      <c r="E1596" s="22" t="s">
        <v>178</v>
      </c>
      <c r="F1596" s="34" t="s">
        <v>926</v>
      </c>
      <c r="G1596" s="19" t="n">
        <v>4</v>
      </c>
      <c r="H1596" s="19" t="n">
        <v>25</v>
      </c>
      <c r="I1596" s="19" t="n">
        <v>1</v>
      </c>
      <c r="J1596" s="19" t="n">
        <v>50.3</v>
      </c>
      <c r="K1596" s="39" t="n">
        <v>550000</v>
      </c>
      <c r="L1596" s="39" t="n">
        <f aca="false">K1596/J1596</f>
        <v>10934.393638171</v>
      </c>
      <c r="M1596" s="34" t="s">
        <v>2131</v>
      </c>
      <c r="N1596" s="40"/>
      <c r="O1596" s="30" t="n">
        <f aca="false">K1596+N1596</f>
        <v>550000</v>
      </c>
      <c r="P1596" s="39" t="n">
        <f aca="false">O1596/J1596</f>
        <v>10934.393638171</v>
      </c>
      <c r="Q1596" s="19" t="s">
        <v>1486</v>
      </c>
      <c r="R1596" s="22" t="s">
        <v>36</v>
      </c>
      <c r="S1596" s="19" t="s">
        <v>29</v>
      </c>
      <c r="T1596" s="19" t="s">
        <v>30</v>
      </c>
      <c r="U1596" s="19" t="s">
        <v>31</v>
      </c>
      <c r="V1596" s="41" t="n">
        <v>43697</v>
      </c>
      <c r="W1596" s="34" t="s">
        <v>2289</v>
      </c>
      <c r="X1596" s="18"/>
    </row>
    <row r="1597" customFormat="false" ht="13.8" hidden="false" customHeight="false" outlineLevel="0" collapsed="false">
      <c r="A1597" s="34"/>
      <c r="B1597" s="19" t="n">
        <v>203</v>
      </c>
      <c r="C1597" s="20" t="n">
        <v>43482</v>
      </c>
      <c r="D1597" s="38" t="s">
        <v>22</v>
      </c>
      <c r="E1597" s="22" t="s">
        <v>2290</v>
      </c>
      <c r="F1597" s="34" t="s">
        <v>272</v>
      </c>
      <c r="G1597" s="19" t="n">
        <v>31</v>
      </c>
      <c r="H1597" s="19" t="n">
        <v>320</v>
      </c>
      <c r="I1597" s="19" t="n">
        <v>8</v>
      </c>
      <c r="J1597" s="19" t="n">
        <v>104.54</v>
      </c>
      <c r="K1597" s="39" t="n">
        <v>1070000</v>
      </c>
      <c r="L1597" s="39" t="n">
        <f aca="false">K1597/J1597</f>
        <v>10235.3166252152</v>
      </c>
      <c r="M1597" s="34" t="s">
        <v>2291</v>
      </c>
      <c r="N1597" s="40" t="n">
        <v>30000</v>
      </c>
      <c r="O1597" s="30" t="n">
        <f aca="false">K1597+N1597</f>
        <v>1100000</v>
      </c>
      <c r="P1597" s="39" t="n">
        <f aca="false">O1597/J1597</f>
        <v>10522.2881193801</v>
      </c>
      <c r="Q1597" s="19" t="s">
        <v>2292</v>
      </c>
      <c r="R1597" s="22" t="s">
        <v>26</v>
      </c>
      <c r="S1597" s="19" t="s">
        <v>29</v>
      </c>
      <c r="T1597" s="19" t="s">
        <v>30</v>
      </c>
      <c r="U1597" s="19" t="s">
        <v>31</v>
      </c>
      <c r="V1597" s="41" t="n">
        <v>43696</v>
      </c>
      <c r="W1597" s="34" t="s">
        <v>2293</v>
      </c>
      <c r="X1597" s="18"/>
    </row>
    <row r="1598" s="69" customFormat="true" ht="13.8" hidden="false" customHeight="false" outlineLevel="0" collapsed="false">
      <c r="A1598" s="61"/>
      <c r="B1598" s="62" t="n">
        <v>26503</v>
      </c>
      <c r="C1598" s="63" t="n">
        <v>43482</v>
      </c>
      <c r="D1598" s="64" t="s">
        <v>22</v>
      </c>
      <c r="E1598" s="65" t="s">
        <v>53</v>
      </c>
      <c r="F1598" s="18" t="s">
        <v>46</v>
      </c>
      <c r="G1598" s="62" t="n">
        <v>257</v>
      </c>
      <c r="H1598" s="62" t="n">
        <v>85</v>
      </c>
      <c r="I1598" s="62" t="n">
        <v>4</v>
      </c>
      <c r="J1598" s="62" t="n">
        <v>61.45</v>
      </c>
      <c r="K1598" s="66" t="n">
        <v>689000</v>
      </c>
      <c r="L1598" s="66" t="n">
        <v>11212.3677786819</v>
      </c>
      <c r="M1598" s="18"/>
      <c r="N1598" s="66"/>
      <c r="O1598" s="66" t="n">
        <v>689000</v>
      </c>
      <c r="P1598" s="66" t="n">
        <v>11212.3677786819</v>
      </c>
      <c r="Q1598" s="67" t="s">
        <v>2294</v>
      </c>
      <c r="R1598" s="65" t="s">
        <v>27</v>
      </c>
      <c r="S1598" s="67" t="s">
        <v>29</v>
      </c>
      <c r="T1598" s="62" t="s">
        <v>30</v>
      </c>
      <c r="U1598" s="68" t="s">
        <v>31</v>
      </c>
      <c r="V1598" s="63" t="n">
        <v>43886</v>
      </c>
      <c r="W1598" s="18" t="s">
        <v>2295</v>
      </c>
      <c r="X1598" s="18"/>
    </row>
    <row r="1599" customFormat="false" ht="13.8" hidden="false" customHeight="false" outlineLevel="0" collapsed="false">
      <c r="A1599" s="34"/>
      <c r="B1599" s="19" t="n">
        <v>76</v>
      </c>
      <c r="C1599" s="20" t="n">
        <v>43483</v>
      </c>
      <c r="D1599" s="38" t="s">
        <v>22</v>
      </c>
      <c r="E1599" s="22" t="s">
        <v>343</v>
      </c>
      <c r="F1599" s="34" t="s">
        <v>2296</v>
      </c>
      <c r="G1599" s="19" t="n">
        <v>2</v>
      </c>
      <c r="H1599" s="19" t="n">
        <v>131</v>
      </c>
      <c r="I1599" s="19" t="n">
        <v>5</v>
      </c>
      <c r="J1599" s="19" t="n">
        <v>65.08</v>
      </c>
      <c r="K1599" s="39" t="n">
        <v>565000</v>
      </c>
      <c r="L1599" s="39" t="n">
        <f aca="false">K1599/J1599</f>
        <v>8681.62261831592</v>
      </c>
      <c r="M1599" s="34" t="s">
        <v>2297</v>
      </c>
      <c r="N1599" s="40" t="n">
        <v>35000</v>
      </c>
      <c r="O1599" s="30" t="n">
        <f aca="false">K1599+N1599</f>
        <v>600000</v>
      </c>
      <c r="P1599" s="39" t="n">
        <f aca="false">O1599/J1599</f>
        <v>9219.42224953903</v>
      </c>
      <c r="Q1599" s="19" t="s">
        <v>2298</v>
      </c>
      <c r="R1599" s="22" t="s">
        <v>26</v>
      </c>
      <c r="S1599" s="19" t="s">
        <v>29</v>
      </c>
      <c r="T1599" s="19" t="s">
        <v>30</v>
      </c>
      <c r="U1599" s="19" t="s">
        <v>31</v>
      </c>
      <c r="V1599" s="41" t="n">
        <v>43697</v>
      </c>
      <c r="W1599" s="34" t="s">
        <v>2299</v>
      </c>
      <c r="X1599" s="18"/>
    </row>
    <row r="1600" customFormat="false" ht="13.8" hidden="false" customHeight="false" outlineLevel="0" collapsed="false">
      <c r="A1600" s="34"/>
      <c r="B1600" s="19" t="n">
        <v>427</v>
      </c>
      <c r="C1600" s="20" t="n">
        <v>43483</v>
      </c>
      <c r="D1600" s="38" t="s">
        <v>22</v>
      </c>
      <c r="E1600" s="22" t="s">
        <v>343</v>
      </c>
      <c r="F1600" s="34" t="s">
        <v>344</v>
      </c>
      <c r="G1600" s="19" t="n">
        <v>71</v>
      </c>
      <c r="H1600" s="19" t="n">
        <v>75</v>
      </c>
      <c r="I1600" s="19" t="n">
        <v>4</v>
      </c>
      <c r="J1600" s="19" t="n">
        <v>48.79</v>
      </c>
      <c r="K1600" s="39" t="n">
        <v>400000</v>
      </c>
      <c r="L1600" s="39" t="n">
        <f aca="false">K1600/J1600</f>
        <v>8198.40131174421</v>
      </c>
      <c r="M1600" s="34" t="s">
        <v>2300</v>
      </c>
      <c r="N1600" s="40"/>
      <c r="O1600" s="30" t="n">
        <f aca="false">K1600+N1600</f>
        <v>400000</v>
      </c>
      <c r="P1600" s="39" t="n">
        <f aca="false">O1600/J1600</f>
        <v>8198.40131174421</v>
      </c>
      <c r="Q1600" s="19" t="s">
        <v>2301</v>
      </c>
      <c r="R1600" s="22" t="s">
        <v>36</v>
      </c>
      <c r="S1600" s="19" t="s">
        <v>29</v>
      </c>
      <c r="T1600" s="19" t="s">
        <v>30</v>
      </c>
      <c r="U1600" s="19" t="s">
        <v>31</v>
      </c>
      <c r="V1600" s="41" t="n">
        <v>43697</v>
      </c>
      <c r="W1600" s="34" t="s">
        <v>2302</v>
      </c>
      <c r="X1600" s="18"/>
    </row>
    <row r="1601" customFormat="false" ht="13.8" hidden="false" customHeight="false" outlineLevel="0" collapsed="false">
      <c r="A1601" s="34"/>
      <c r="B1601" s="19" t="n">
        <v>109</v>
      </c>
      <c r="C1601" s="20" t="n">
        <v>43483</v>
      </c>
      <c r="D1601" s="38" t="s">
        <v>22</v>
      </c>
      <c r="E1601" s="22" t="s">
        <v>42</v>
      </c>
      <c r="F1601" s="34" t="s">
        <v>301</v>
      </c>
      <c r="G1601" s="19" t="n">
        <v>15</v>
      </c>
      <c r="H1601" s="19" t="n">
        <v>57</v>
      </c>
      <c r="I1601" s="19" t="n">
        <v>8</v>
      </c>
      <c r="J1601" s="19" t="n">
        <v>35.9</v>
      </c>
      <c r="K1601" s="39" t="n">
        <v>295000</v>
      </c>
      <c r="L1601" s="39" t="n">
        <f aca="false">K1601/J1601</f>
        <v>8217.27019498607</v>
      </c>
      <c r="M1601" s="34"/>
      <c r="N1601" s="40"/>
      <c r="O1601" s="30" t="n">
        <f aca="false">K1601+N1601</f>
        <v>295000</v>
      </c>
      <c r="P1601" s="39" t="n">
        <f aca="false">O1601/J1601</f>
        <v>8217.27019498607</v>
      </c>
      <c r="Q1601" s="19" t="s">
        <v>2303</v>
      </c>
      <c r="R1601" s="22" t="s">
        <v>36</v>
      </c>
      <c r="S1601" s="19" t="s">
        <v>29</v>
      </c>
      <c r="T1601" s="19" t="s">
        <v>30</v>
      </c>
      <c r="U1601" s="19" t="s">
        <v>31</v>
      </c>
      <c r="V1601" s="41" t="n">
        <v>43697</v>
      </c>
      <c r="W1601" s="34" t="s">
        <v>2304</v>
      </c>
      <c r="X1601" s="18"/>
    </row>
    <row r="1602" customFormat="false" ht="13.8" hidden="false" customHeight="false" outlineLevel="0" collapsed="false">
      <c r="A1602" s="34"/>
      <c r="B1602" s="19" t="n">
        <v>62</v>
      </c>
      <c r="C1602" s="20" t="n">
        <v>43483</v>
      </c>
      <c r="D1602" s="38" t="s">
        <v>22</v>
      </c>
      <c r="E1602" s="22" t="s">
        <v>322</v>
      </c>
      <c r="F1602" s="34" t="s">
        <v>323</v>
      </c>
      <c r="G1602" s="19" t="s">
        <v>674</v>
      </c>
      <c r="H1602" s="19" t="n">
        <v>137</v>
      </c>
      <c r="I1602" s="19" t="n">
        <v>6</v>
      </c>
      <c r="J1602" s="19" t="n">
        <v>38.39</v>
      </c>
      <c r="K1602" s="39" t="n">
        <v>460000</v>
      </c>
      <c r="L1602" s="39" t="n">
        <f aca="false">K1602/J1602</f>
        <v>11982.2870539203</v>
      </c>
      <c r="M1602" s="34"/>
      <c r="N1602" s="40"/>
      <c r="O1602" s="30" t="n">
        <f aca="false">K1602+N1602</f>
        <v>460000</v>
      </c>
      <c r="P1602" s="39" t="n">
        <f aca="false">O1602/J1602</f>
        <v>11982.2870539203</v>
      </c>
      <c r="Q1602" s="19" t="s">
        <v>2305</v>
      </c>
      <c r="R1602" s="22" t="s">
        <v>36</v>
      </c>
      <c r="S1602" s="19" t="s">
        <v>29</v>
      </c>
      <c r="T1602" s="19" t="s">
        <v>30</v>
      </c>
      <c r="U1602" s="19" t="s">
        <v>31</v>
      </c>
      <c r="V1602" s="41" t="n">
        <v>43697</v>
      </c>
      <c r="W1602" s="34" t="s">
        <v>2306</v>
      </c>
      <c r="X1602" s="18"/>
    </row>
    <row r="1603" customFormat="false" ht="13.8" hidden="false" customHeight="false" outlineLevel="0" collapsed="false">
      <c r="A1603" s="18"/>
      <c r="B1603" s="19" t="s">
        <v>2307</v>
      </c>
      <c r="C1603" s="20" t="n">
        <v>43483</v>
      </c>
      <c r="D1603" s="38" t="s">
        <v>22</v>
      </c>
      <c r="E1603" s="22" t="s">
        <v>322</v>
      </c>
      <c r="F1603" s="23" t="s">
        <v>323</v>
      </c>
      <c r="G1603" s="22" t="s">
        <v>674</v>
      </c>
      <c r="H1603" s="24" t="s">
        <v>2308</v>
      </c>
      <c r="I1603" s="24" t="n">
        <v>6</v>
      </c>
      <c r="J1603" s="25" t="n">
        <v>38.39</v>
      </c>
      <c r="K1603" s="26" t="n">
        <v>460000</v>
      </c>
      <c r="L1603" s="39" t="n">
        <f aca="false">K1603/J1603</f>
        <v>11982.2870539203</v>
      </c>
      <c r="M1603" s="34"/>
      <c r="N1603" s="34"/>
      <c r="O1603" s="30" t="n">
        <f aca="false">K1603+N1603</f>
        <v>460000</v>
      </c>
      <c r="P1603" s="39" t="n">
        <f aca="false">O1603/J1603</f>
        <v>11982.2870539203</v>
      </c>
      <c r="Q1603" s="58"/>
      <c r="R1603" s="57" t="n">
        <v>3</v>
      </c>
      <c r="S1603" s="19" t="s">
        <v>29</v>
      </c>
      <c r="T1603" s="19" t="s">
        <v>30</v>
      </c>
      <c r="U1603" s="19" t="s">
        <v>31</v>
      </c>
      <c r="V1603" s="22" t="s">
        <v>2184</v>
      </c>
      <c r="W1603" s="22"/>
      <c r="X1603" s="22"/>
    </row>
    <row r="1604" customFormat="false" ht="13.8" hidden="false" customHeight="false" outlineLevel="0" collapsed="false">
      <c r="A1604" s="34"/>
      <c r="B1604" s="19" t="n">
        <v>76</v>
      </c>
      <c r="C1604" s="20" t="n">
        <v>43483</v>
      </c>
      <c r="D1604" s="38" t="s">
        <v>22</v>
      </c>
      <c r="E1604" s="22" t="s">
        <v>343</v>
      </c>
      <c r="F1604" s="34" t="s">
        <v>2309</v>
      </c>
      <c r="G1604" s="19" t="n">
        <v>2</v>
      </c>
      <c r="H1604" s="19" t="n">
        <v>131</v>
      </c>
      <c r="I1604" s="19" t="n">
        <v>5</v>
      </c>
      <c r="J1604" s="19" t="n">
        <f aca="false">68.23-3.15</f>
        <v>65.08</v>
      </c>
      <c r="K1604" s="39" t="n">
        <v>565000</v>
      </c>
      <c r="L1604" s="39" t="n">
        <f aca="false">K1604/J1604</f>
        <v>8681.62261831592</v>
      </c>
      <c r="M1604" s="34" t="s">
        <v>2310</v>
      </c>
      <c r="N1604" s="40" t="n">
        <v>35000</v>
      </c>
      <c r="O1604" s="30" t="n">
        <f aca="false">K1604+N1604</f>
        <v>600000</v>
      </c>
      <c r="P1604" s="39" t="n">
        <f aca="false">O1604/J1604</f>
        <v>9219.42224953903</v>
      </c>
      <c r="Q1604" s="19" t="s">
        <v>2311</v>
      </c>
      <c r="R1604" s="22" t="s">
        <v>26</v>
      </c>
      <c r="S1604" s="19" t="s">
        <v>29</v>
      </c>
      <c r="T1604" s="19" t="s">
        <v>30</v>
      </c>
      <c r="U1604" s="19" t="s">
        <v>31</v>
      </c>
      <c r="V1604" s="41" t="n">
        <v>43693</v>
      </c>
      <c r="W1604" s="34" t="s">
        <v>2299</v>
      </c>
      <c r="X1604" s="18"/>
      <c r="AMJ1604" s="32"/>
    </row>
    <row r="1605" s="32" customFormat="true" ht="13.8" hidden="false" customHeight="false" outlineLevel="0" collapsed="false">
      <c r="A1605" s="34"/>
      <c r="B1605" s="22" t="s">
        <v>2207</v>
      </c>
      <c r="C1605" s="20" t="n">
        <v>43483</v>
      </c>
      <c r="D1605" s="38" t="s">
        <v>22</v>
      </c>
      <c r="E1605" s="22" t="s">
        <v>343</v>
      </c>
      <c r="F1605" s="23" t="s">
        <v>2312</v>
      </c>
      <c r="G1605" s="22" t="s">
        <v>36</v>
      </c>
      <c r="H1605" s="22" t="s">
        <v>902</v>
      </c>
      <c r="I1605" s="22" t="n">
        <v>5</v>
      </c>
      <c r="J1605" s="25" t="n">
        <v>65.08</v>
      </c>
      <c r="K1605" s="26" t="n">
        <v>565000</v>
      </c>
      <c r="L1605" s="39" t="n">
        <f aca="false">K1605/J1605</f>
        <v>8681.62261831592</v>
      </c>
      <c r="M1605" s="34" t="s">
        <v>1739</v>
      </c>
      <c r="N1605" s="34"/>
      <c r="O1605" s="30" t="n">
        <f aca="false">K1605+N1605</f>
        <v>565000</v>
      </c>
      <c r="P1605" s="39" t="n">
        <f aca="false">O1605/J1605</f>
        <v>8681.62261831592</v>
      </c>
      <c r="Q1605" s="28"/>
      <c r="R1605" s="55" t="n">
        <v>1</v>
      </c>
      <c r="S1605" s="19" t="s">
        <v>29</v>
      </c>
      <c r="T1605" s="19" t="s">
        <v>30</v>
      </c>
      <c r="U1605" s="19" t="s">
        <v>31</v>
      </c>
      <c r="V1605" s="22" t="s">
        <v>2184</v>
      </c>
      <c r="W1605" s="53"/>
      <c r="X1605" s="25"/>
    </row>
    <row r="1606" customFormat="false" ht="13.8" hidden="false" customHeight="false" outlineLevel="0" collapsed="false">
      <c r="A1606" s="18"/>
      <c r="B1606" s="22" t="s">
        <v>2313</v>
      </c>
      <c r="C1606" s="20" t="n">
        <v>43483</v>
      </c>
      <c r="D1606" s="38" t="s">
        <v>22</v>
      </c>
      <c r="E1606" s="22" t="s">
        <v>42</v>
      </c>
      <c r="F1606" s="42" t="s">
        <v>2314</v>
      </c>
      <c r="G1606" s="22" t="s">
        <v>55</v>
      </c>
      <c r="H1606" s="22" t="s">
        <v>249</v>
      </c>
      <c r="I1606" s="22" t="n">
        <v>8</v>
      </c>
      <c r="J1606" s="25" t="n">
        <v>35.9</v>
      </c>
      <c r="K1606" s="26" t="n">
        <v>295000</v>
      </c>
      <c r="L1606" s="39" t="n">
        <f aca="false">K1606/J1606</f>
        <v>8217.27019498607</v>
      </c>
      <c r="M1606" s="34" t="s">
        <v>189</v>
      </c>
      <c r="N1606" s="34"/>
      <c r="O1606" s="30" t="n">
        <f aca="false">K1606+N1606</f>
        <v>295000</v>
      </c>
      <c r="P1606" s="39" t="n">
        <f aca="false">O1606/J1606</f>
        <v>8217.27019498607</v>
      </c>
      <c r="Q1606" s="70"/>
      <c r="R1606" s="57" t="n">
        <v>3</v>
      </c>
      <c r="S1606" s="19" t="s">
        <v>29</v>
      </c>
      <c r="T1606" s="19" t="s">
        <v>30</v>
      </c>
      <c r="U1606" s="19" t="s">
        <v>31</v>
      </c>
      <c r="V1606" s="22" t="s">
        <v>2184</v>
      </c>
      <c r="W1606" s="22"/>
      <c r="X1606" s="22"/>
    </row>
    <row r="1607" customFormat="false" ht="13.8" hidden="false" customHeight="false" outlineLevel="0" collapsed="false">
      <c r="A1607" s="34"/>
      <c r="B1607" s="19" t="s">
        <v>887</v>
      </c>
      <c r="C1607" s="20" t="n">
        <v>43483</v>
      </c>
      <c r="D1607" s="38" t="s">
        <v>22</v>
      </c>
      <c r="E1607" s="22" t="s">
        <v>187</v>
      </c>
      <c r="F1607" s="45" t="s">
        <v>2315</v>
      </c>
      <c r="G1607" s="19" t="n">
        <v>1</v>
      </c>
      <c r="H1607" s="19"/>
      <c r="I1607" s="19" t="n">
        <v>3</v>
      </c>
      <c r="J1607" s="25" t="n">
        <v>40.5</v>
      </c>
      <c r="K1607" s="39" t="n">
        <v>460000</v>
      </c>
      <c r="L1607" s="39" t="n">
        <f aca="false">K1607/J1607</f>
        <v>11358.024691358</v>
      </c>
      <c r="M1607" s="34" t="s">
        <v>1173</v>
      </c>
      <c r="N1607" s="40"/>
      <c r="O1607" s="30" t="n">
        <f aca="false">K1607+N1607</f>
        <v>460000</v>
      </c>
      <c r="P1607" s="39" t="n">
        <f aca="false">O1607/J1607</f>
        <v>11358.024691358</v>
      </c>
      <c r="Q1607" s="19" t="s">
        <v>889</v>
      </c>
      <c r="R1607" s="19" t="n">
        <v>3</v>
      </c>
      <c r="S1607" s="19" t="s">
        <v>1141</v>
      </c>
      <c r="T1607" s="19"/>
      <c r="U1607" s="19" t="s">
        <v>31</v>
      </c>
      <c r="V1607" s="41" t="n">
        <v>43727</v>
      </c>
      <c r="W1607" s="18"/>
      <c r="X1607" s="18"/>
    </row>
    <row r="1608" customFormat="false" ht="13.8" hidden="false" customHeight="false" outlineLevel="0" collapsed="false">
      <c r="A1608" s="34"/>
      <c r="B1608" s="19" t="s">
        <v>887</v>
      </c>
      <c r="C1608" s="20" t="n">
        <v>43483</v>
      </c>
      <c r="D1608" s="38" t="s">
        <v>22</v>
      </c>
      <c r="E1608" s="22" t="s">
        <v>187</v>
      </c>
      <c r="F1608" s="45" t="s">
        <v>2315</v>
      </c>
      <c r="G1608" s="19" t="n">
        <v>1</v>
      </c>
      <c r="H1608" s="19"/>
      <c r="I1608" s="19" t="n">
        <v>3</v>
      </c>
      <c r="J1608" s="25" t="n">
        <v>40.5</v>
      </c>
      <c r="K1608" s="39" t="n">
        <v>460000</v>
      </c>
      <c r="L1608" s="39" t="n">
        <f aca="false">K1608/J1608</f>
        <v>11358.024691358</v>
      </c>
      <c r="M1608" s="34"/>
      <c r="N1608" s="40"/>
      <c r="O1608" s="30" t="n">
        <f aca="false">K1608+N1608</f>
        <v>460000</v>
      </c>
      <c r="P1608" s="39" t="n">
        <f aca="false">O1608/J1608</f>
        <v>11358.024691358</v>
      </c>
      <c r="Q1608" s="19" t="s">
        <v>889</v>
      </c>
      <c r="R1608" s="19" t="n">
        <v>2</v>
      </c>
      <c r="S1608" s="19" t="s">
        <v>1141</v>
      </c>
      <c r="T1608" s="19"/>
      <c r="U1608" s="19" t="s">
        <v>31</v>
      </c>
      <c r="V1608" s="41" t="n">
        <v>43727</v>
      </c>
      <c r="W1608" s="18"/>
      <c r="X1608" s="18"/>
    </row>
    <row r="1609" customFormat="false" ht="13.8" hidden="false" customHeight="false" outlineLevel="0" collapsed="false">
      <c r="A1609" s="34"/>
      <c r="B1609" s="19" t="n">
        <v>424</v>
      </c>
      <c r="C1609" s="20" t="n">
        <v>43483</v>
      </c>
      <c r="D1609" s="38" t="s">
        <v>22</v>
      </c>
      <c r="E1609" s="22" t="s">
        <v>399</v>
      </c>
      <c r="F1609" s="34" t="s">
        <v>2316</v>
      </c>
      <c r="G1609" s="19" t="n">
        <v>1</v>
      </c>
      <c r="H1609" s="19" t="n">
        <v>9</v>
      </c>
      <c r="I1609" s="19" t="n">
        <v>3</v>
      </c>
      <c r="J1609" s="19" t="n">
        <v>59.06</v>
      </c>
      <c r="K1609" s="39" t="n">
        <v>730000</v>
      </c>
      <c r="L1609" s="39" t="n">
        <f aca="false">K1609/J1609</f>
        <v>12360.3115475787</v>
      </c>
      <c r="M1609" s="34" t="s">
        <v>2317</v>
      </c>
      <c r="N1609" s="40"/>
      <c r="O1609" s="30" t="n">
        <f aca="false">K1609+N1609</f>
        <v>730000</v>
      </c>
      <c r="P1609" s="39" t="n">
        <f aca="false">O1609/J1609</f>
        <v>12360.3115475787</v>
      </c>
      <c r="Q1609" s="19" t="s">
        <v>1486</v>
      </c>
      <c r="R1609" s="22" t="s">
        <v>36</v>
      </c>
      <c r="S1609" s="19" t="s">
        <v>29</v>
      </c>
      <c r="T1609" s="19" t="s">
        <v>30</v>
      </c>
      <c r="U1609" s="19" t="s">
        <v>31</v>
      </c>
      <c r="V1609" s="41" t="n">
        <v>43697</v>
      </c>
      <c r="W1609" s="34" t="s">
        <v>2318</v>
      </c>
      <c r="X1609" s="34"/>
    </row>
    <row r="1610" customFormat="false" ht="13.8" hidden="false" customHeight="false" outlineLevel="0" collapsed="false">
      <c r="A1610" s="34"/>
      <c r="B1610" s="22" t="s">
        <v>2319</v>
      </c>
      <c r="C1610" s="20" t="n">
        <v>43486</v>
      </c>
      <c r="D1610" s="38" t="s">
        <v>22</v>
      </c>
      <c r="E1610" s="22" t="s">
        <v>1380</v>
      </c>
      <c r="F1610" s="23" t="s">
        <v>2320</v>
      </c>
      <c r="G1610" s="22" t="s">
        <v>26</v>
      </c>
      <c r="H1610" s="22" t="s">
        <v>26</v>
      </c>
      <c r="I1610" s="22" t="n">
        <v>3</v>
      </c>
      <c r="J1610" s="25" t="n">
        <v>59.9</v>
      </c>
      <c r="K1610" s="26" t="n">
        <v>800000</v>
      </c>
      <c r="L1610" s="39" t="n">
        <f aca="false">K1610/J1610</f>
        <v>13355.592654424</v>
      </c>
      <c r="M1610" s="34" t="s">
        <v>940</v>
      </c>
      <c r="N1610" s="54"/>
      <c r="O1610" s="30" t="n">
        <f aca="false">K1610+N1610</f>
        <v>800000</v>
      </c>
      <c r="P1610" s="39" t="n">
        <f aca="false">O1610/J1610</f>
        <v>13355.592654424</v>
      </c>
      <c r="Q1610" s="60"/>
      <c r="R1610" s="55" t="n">
        <v>3</v>
      </c>
      <c r="S1610" s="19" t="s">
        <v>29</v>
      </c>
      <c r="T1610" s="19" t="s">
        <v>30</v>
      </c>
      <c r="U1610" s="19" t="s">
        <v>31</v>
      </c>
      <c r="V1610" s="22" t="s">
        <v>2184</v>
      </c>
      <c r="W1610" s="22"/>
      <c r="X1610" s="22"/>
    </row>
    <row r="1611" customFormat="false" ht="13.8" hidden="false" customHeight="false" outlineLevel="0" collapsed="false">
      <c r="A1611" s="18"/>
      <c r="B1611" s="22" t="s">
        <v>2321</v>
      </c>
      <c r="C1611" s="20" t="n">
        <v>43486</v>
      </c>
      <c r="D1611" s="38" t="s">
        <v>22</v>
      </c>
      <c r="E1611" s="22" t="s">
        <v>287</v>
      </c>
      <c r="F1611" s="23" t="s">
        <v>2322</v>
      </c>
      <c r="G1611" s="22" t="s">
        <v>2323</v>
      </c>
      <c r="H1611" s="22" t="s">
        <v>101</v>
      </c>
      <c r="I1611" s="22" t="n">
        <v>2</v>
      </c>
      <c r="J1611" s="25" t="n">
        <v>64.19</v>
      </c>
      <c r="K1611" s="26" t="n">
        <v>507000</v>
      </c>
      <c r="L1611" s="39" t="n">
        <f aca="false">K1611/J1611</f>
        <v>7898.426546191</v>
      </c>
      <c r="M1611" s="18"/>
      <c r="N1611" s="54"/>
      <c r="O1611" s="30" t="n">
        <f aca="false">K1611+N1611</f>
        <v>507000</v>
      </c>
      <c r="P1611" s="39" t="n">
        <f aca="false">O1611/J1611</f>
        <v>7898.426546191</v>
      </c>
      <c r="Q1611" s="59"/>
      <c r="R1611" s="57" t="n">
        <v>2</v>
      </c>
      <c r="S1611" s="19" t="s">
        <v>29</v>
      </c>
      <c r="T1611" s="19" t="s">
        <v>30</v>
      </c>
      <c r="U1611" s="19" t="s">
        <v>31</v>
      </c>
      <c r="V1611" s="22" t="s">
        <v>2184</v>
      </c>
      <c r="W1611" s="22"/>
      <c r="X1611" s="22"/>
    </row>
    <row r="1612" customFormat="false" ht="13.8" hidden="false" customHeight="false" outlineLevel="0" collapsed="false">
      <c r="A1612" s="34"/>
      <c r="B1612" s="19" t="n">
        <v>1000</v>
      </c>
      <c r="C1612" s="20" t="n">
        <v>43486</v>
      </c>
      <c r="D1612" s="38" t="s">
        <v>22</v>
      </c>
      <c r="E1612" s="22" t="s">
        <v>372</v>
      </c>
      <c r="F1612" s="34" t="s">
        <v>272</v>
      </c>
      <c r="G1612" s="19" t="n">
        <v>31</v>
      </c>
      <c r="H1612" s="19" t="n">
        <v>323</v>
      </c>
      <c r="I1612" s="19" t="n">
        <v>8.9</v>
      </c>
      <c r="J1612" s="19" t="n">
        <v>69.43</v>
      </c>
      <c r="K1612" s="39" t="n">
        <v>710000</v>
      </c>
      <c r="L1612" s="39" t="n">
        <f aca="false">K1612/J1612</f>
        <v>10226.1270344232</v>
      </c>
      <c r="M1612" s="34" t="s">
        <v>2324</v>
      </c>
      <c r="N1612" s="40" t="n">
        <v>30000</v>
      </c>
      <c r="O1612" s="30" t="n">
        <f aca="false">K1612+N1612</f>
        <v>740000</v>
      </c>
      <c r="P1612" s="39" t="n">
        <f aca="false">O1612/J1612</f>
        <v>10658.2169091171</v>
      </c>
      <c r="Q1612" s="19" t="s">
        <v>2325</v>
      </c>
      <c r="R1612" s="22" t="s">
        <v>36</v>
      </c>
      <c r="S1612" s="19" t="s">
        <v>29</v>
      </c>
      <c r="T1612" s="19" t="s">
        <v>30</v>
      </c>
      <c r="U1612" s="19" t="s">
        <v>31</v>
      </c>
      <c r="V1612" s="41" t="n">
        <v>43697</v>
      </c>
      <c r="W1612" s="34" t="s">
        <v>2326</v>
      </c>
      <c r="X1612" s="18"/>
    </row>
    <row r="1613" customFormat="false" ht="13.8" hidden="false" customHeight="false" outlineLevel="0" collapsed="false">
      <c r="A1613" s="34"/>
      <c r="B1613" s="22" t="s">
        <v>2327</v>
      </c>
      <c r="C1613" s="20" t="n">
        <v>43487</v>
      </c>
      <c r="D1613" s="38" t="s">
        <v>22</v>
      </c>
      <c r="E1613" s="22" t="s">
        <v>72</v>
      </c>
      <c r="F1613" s="23" t="s">
        <v>2328</v>
      </c>
      <c r="G1613" s="22" t="s">
        <v>275</v>
      </c>
      <c r="H1613" s="22" t="s">
        <v>154</v>
      </c>
      <c r="I1613" s="22" t="n">
        <v>4</v>
      </c>
      <c r="J1613" s="25" t="n">
        <v>59.74</v>
      </c>
      <c r="K1613" s="26" t="n">
        <v>528000</v>
      </c>
      <c r="L1613" s="39" t="n">
        <f aca="false">K1613/J1613</f>
        <v>8838.29929695346</v>
      </c>
      <c r="M1613" s="34" t="s">
        <v>189</v>
      </c>
      <c r="N1613" s="34"/>
      <c r="O1613" s="30" t="n">
        <f aca="false">K1613+N1613</f>
        <v>528000</v>
      </c>
      <c r="P1613" s="39" t="n">
        <f aca="false">O1613/J1613</f>
        <v>8838.29929695346</v>
      </c>
      <c r="Q1613" s="58"/>
      <c r="R1613" s="57" t="n">
        <v>2</v>
      </c>
      <c r="S1613" s="19" t="s">
        <v>29</v>
      </c>
      <c r="T1613" s="19" t="s">
        <v>30</v>
      </c>
      <c r="U1613" s="19" t="s">
        <v>31</v>
      </c>
      <c r="V1613" s="22" t="s">
        <v>2184</v>
      </c>
      <c r="W1613" s="22"/>
      <c r="X1613" s="22"/>
    </row>
    <row r="1614" customFormat="false" ht="13.8" hidden="false" customHeight="false" outlineLevel="0" collapsed="false">
      <c r="A1614" s="34"/>
      <c r="B1614" s="19" t="n">
        <v>325</v>
      </c>
      <c r="C1614" s="20" t="n">
        <v>43487</v>
      </c>
      <c r="D1614" s="38" t="s">
        <v>22</v>
      </c>
      <c r="E1614" s="22" t="s">
        <v>287</v>
      </c>
      <c r="F1614" s="34" t="s">
        <v>290</v>
      </c>
      <c r="G1614" s="19" t="n">
        <v>12</v>
      </c>
      <c r="H1614" s="19" t="n">
        <v>3</v>
      </c>
      <c r="I1614" s="19" t="n">
        <v>3</v>
      </c>
      <c r="J1614" s="19" t="n">
        <v>159.42</v>
      </c>
      <c r="K1614" s="39" t="n">
        <v>2330000</v>
      </c>
      <c r="L1614" s="39" t="n">
        <f aca="false">K1614/J1614</f>
        <v>14615.4811190566</v>
      </c>
      <c r="M1614" s="34" t="s">
        <v>2329</v>
      </c>
      <c r="N1614" s="40"/>
      <c r="O1614" s="30" t="n">
        <f aca="false">K1614+N1614</f>
        <v>2330000</v>
      </c>
      <c r="P1614" s="39" t="n">
        <f aca="false">O1614/J1614</f>
        <v>14615.4811190566</v>
      </c>
      <c r="Q1614" s="19" t="s">
        <v>2330</v>
      </c>
      <c r="R1614" s="22" t="s">
        <v>49</v>
      </c>
      <c r="S1614" s="19" t="s">
        <v>29</v>
      </c>
      <c r="T1614" s="19" t="s">
        <v>30</v>
      </c>
      <c r="U1614" s="19" t="s">
        <v>31</v>
      </c>
      <c r="V1614" s="41" t="n">
        <v>43697</v>
      </c>
      <c r="W1614" s="34" t="s">
        <v>2331</v>
      </c>
      <c r="X1614" s="18"/>
    </row>
    <row r="1615" customFormat="false" ht="13.8" hidden="false" customHeight="false" outlineLevel="0" collapsed="false">
      <c r="A1615" s="34"/>
      <c r="B1615" s="19" t="n">
        <v>311</v>
      </c>
      <c r="C1615" s="20" t="n">
        <v>43487</v>
      </c>
      <c r="D1615" s="38" t="s">
        <v>22</v>
      </c>
      <c r="E1615" s="22" t="s">
        <v>72</v>
      </c>
      <c r="F1615" s="34" t="s">
        <v>387</v>
      </c>
      <c r="G1615" s="19" t="n">
        <v>55</v>
      </c>
      <c r="H1615" s="19" t="n">
        <v>23</v>
      </c>
      <c r="I1615" s="19" t="n">
        <v>4</v>
      </c>
      <c r="J1615" s="19" t="n">
        <v>59.74</v>
      </c>
      <c r="K1615" s="39" t="n">
        <v>528000</v>
      </c>
      <c r="L1615" s="39" t="n">
        <f aca="false">K1615/J1615</f>
        <v>8838.29929695346</v>
      </c>
      <c r="M1615" s="34" t="s">
        <v>2332</v>
      </c>
      <c r="N1615" s="40"/>
      <c r="O1615" s="30" t="n">
        <f aca="false">K1615+N1615</f>
        <v>528000</v>
      </c>
      <c r="P1615" s="39" t="n">
        <f aca="false">O1615/J1615</f>
        <v>8838.29929695346</v>
      </c>
      <c r="Q1615" s="19" t="s">
        <v>2333</v>
      </c>
      <c r="R1615" s="22" t="s">
        <v>36</v>
      </c>
      <c r="S1615" s="19" t="s">
        <v>29</v>
      </c>
      <c r="T1615" s="19" t="s">
        <v>30</v>
      </c>
      <c r="U1615" s="19" t="s">
        <v>31</v>
      </c>
      <c r="V1615" s="41" t="n">
        <v>43693</v>
      </c>
      <c r="W1615" s="34" t="s">
        <v>2334</v>
      </c>
      <c r="X1615" s="18"/>
    </row>
    <row r="1616" customFormat="false" ht="13.8" hidden="false" customHeight="false" outlineLevel="0" collapsed="false">
      <c r="A1616" s="34"/>
      <c r="B1616" s="19" t="n">
        <v>91</v>
      </c>
      <c r="C1616" s="20" t="n">
        <v>43487</v>
      </c>
      <c r="D1616" s="38" t="s">
        <v>22</v>
      </c>
      <c r="E1616" s="22" t="s">
        <v>140</v>
      </c>
      <c r="F1616" s="34" t="s">
        <v>1278</v>
      </c>
      <c r="G1616" s="19" t="n">
        <v>2</v>
      </c>
      <c r="H1616" s="19" t="n">
        <v>516</v>
      </c>
      <c r="I1616" s="19" t="n">
        <v>5</v>
      </c>
      <c r="J1616" s="19" t="n">
        <v>30.3</v>
      </c>
      <c r="K1616" s="39" t="n">
        <v>396000</v>
      </c>
      <c r="L1616" s="39" t="n">
        <f aca="false">K1616/J1616</f>
        <v>13069.3069306931</v>
      </c>
      <c r="M1616" s="34" t="s">
        <v>2335</v>
      </c>
      <c r="N1616" s="40" t="n">
        <v>30000</v>
      </c>
      <c r="O1616" s="30" t="n">
        <f aca="false">K1616+N1616</f>
        <v>426000</v>
      </c>
      <c r="P1616" s="39" t="n">
        <f aca="false">O1616/J1616</f>
        <v>14059.4059405941</v>
      </c>
      <c r="Q1616" s="19" t="s">
        <v>2336</v>
      </c>
      <c r="R1616" s="22" t="s">
        <v>27</v>
      </c>
      <c r="S1616" s="19" t="s">
        <v>29</v>
      </c>
      <c r="T1616" s="19" t="s">
        <v>30</v>
      </c>
      <c r="U1616" s="19" t="s">
        <v>31</v>
      </c>
      <c r="V1616" s="41" t="n">
        <v>43698</v>
      </c>
      <c r="W1616" s="34" t="s">
        <v>2337</v>
      </c>
      <c r="X1616" s="18"/>
    </row>
    <row r="1617" customFormat="false" ht="13.8" hidden="false" customHeight="false" outlineLevel="0" collapsed="false">
      <c r="A1617" s="34"/>
      <c r="B1617" s="19" t="n">
        <v>316</v>
      </c>
      <c r="C1617" s="20" t="n">
        <v>43487</v>
      </c>
      <c r="D1617" s="38" t="s">
        <v>22</v>
      </c>
      <c r="E1617" s="22" t="s">
        <v>144</v>
      </c>
      <c r="F1617" s="34" t="s">
        <v>2338</v>
      </c>
      <c r="G1617" s="19" t="n">
        <v>2</v>
      </c>
      <c r="H1617" s="19" t="n">
        <v>5</v>
      </c>
      <c r="I1617" s="19" t="s">
        <v>1214</v>
      </c>
      <c r="J1617" s="19" t="n">
        <v>55.8</v>
      </c>
      <c r="K1617" s="39" t="n">
        <v>780000</v>
      </c>
      <c r="L1617" s="39" t="n">
        <f aca="false">K1617/J1617</f>
        <v>13978.4946236559</v>
      </c>
      <c r="M1617" s="34"/>
      <c r="N1617" s="40"/>
      <c r="O1617" s="30" t="n">
        <f aca="false">K1617+N1617</f>
        <v>780000</v>
      </c>
      <c r="P1617" s="39" t="n">
        <f aca="false">O1617/J1617</f>
        <v>13978.4946236559</v>
      </c>
      <c r="Q1617" s="19" t="s">
        <v>2339</v>
      </c>
      <c r="R1617" s="22" t="s">
        <v>36</v>
      </c>
      <c r="S1617" s="19" t="s">
        <v>29</v>
      </c>
      <c r="T1617" s="19" t="s">
        <v>30</v>
      </c>
      <c r="U1617" s="19" t="s">
        <v>31</v>
      </c>
      <c r="V1617" s="41" t="n">
        <v>43697</v>
      </c>
      <c r="W1617" s="34" t="s">
        <v>2340</v>
      </c>
      <c r="X1617" s="18"/>
    </row>
    <row r="1618" customFormat="false" ht="13.8" hidden="false" customHeight="false" outlineLevel="0" collapsed="false">
      <c r="A1618" s="34"/>
      <c r="B1618" s="19" t="n">
        <v>335</v>
      </c>
      <c r="C1618" s="20" t="n">
        <v>43487</v>
      </c>
      <c r="D1618" s="38" t="s">
        <v>22</v>
      </c>
      <c r="E1618" s="22" t="s">
        <v>53</v>
      </c>
      <c r="F1618" s="34" t="s">
        <v>46</v>
      </c>
      <c r="G1618" s="19" t="n">
        <v>255</v>
      </c>
      <c r="H1618" s="19" t="n">
        <v>114</v>
      </c>
      <c r="I1618" s="19" t="n">
        <v>8</v>
      </c>
      <c r="J1618" s="19" t="n">
        <v>89.6</v>
      </c>
      <c r="K1618" s="39" t="n">
        <v>940000</v>
      </c>
      <c r="L1618" s="39" t="n">
        <f aca="false">K1618/J1618</f>
        <v>10491.0714285714</v>
      </c>
      <c r="M1618" s="34" t="s">
        <v>2341</v>
      </c>
      <c r="N1618" s="40"/>
      <c r="O1618" s="30" t="n">
        <f aca="false">K1618+N1618</f>
        <v>940000</v>
      </c>
      <c r="P1618" s="39" t="n">
        <f aca="false">O1618/J1618</f>
        <v>10491.0714285714</v>
      </c>
      <c r="Q1618" s="19" t="s">
        <v>2342</v>
      </c>
      <c r="R1618" s="22" t="s">
        <v>49</v>
      </c>
      <c r="S1618" s="19" t="s">
        <v>29</v>
      </c>
      <c r="T1618" s="19" t="s">
        <v>30</v>
      </c>
      <c r="U1618" s="19" t="s">
        <v>31</v>
      </c>
      <c r="V1618" s="41" t="n">
        <v>43696</v>
      </c>
      <c r="W1618" s="34" t="s">
        <v>2343</v>
      </c>
      <c r="X1618" s="18"/>
    </row>
    <row r="1619" customFormat="false" ht="13.8" hidden="false" customHeight="false" outlineLevel="0" collapsed="false">
      <c r="A1619" s="34"/>
      <c r="B1619" s="19" t="s">
        <v>887</v>
      </c>
      <c r="C1619" s="20" t="n">
        <v>43487</v>
      </c>
      <c r="D1619" s="38" t="s">
        <v>22</v>
      </c>
      <c r="E1619" s="22" t="s">
        <v>934</v>
      </c>
      <c r="F1619" s="45" t="s">
        <v>486</v>
      </c>
      <c r="G1619" s="19" t="n">
        <v>12</v>
      </c>
      <c r="H1619" s="19"/>
      <c r="I1619" s="19" t="n">
        <v>11</v>
      </c>
      <c r="J1619" s="25" t="n">
        <v>36.3</v>
      </c>
      <c r="K1619" s="39" t="n">
        <v>390000</v>
      </c>
      <c r="L1619" s="39" t="n">
        <f aca="false">K1619/J1619</f>
        <v>10743.8016528926</v>
      </c>
      <c r="M1619" s="18"/>
      <c r="N1619" s="40"/>
      <c r="O1619" s="30" t="n">
        <f aca="false">K1619+N1619</f>
        <v>390000</v>
      </c>
      <c r="P1619" s="39" t="n">
        <f aca="false">O1619/J1619</f>
        <v>10743.8016528926</v>
      </c>
      <c r="Q1619" s="19" t="s">
        <v>889</v>
      </c>
      <c r="R1619" s="19" t="n">
        <v>3</v>
      </c>
      <c r="S1619" s="19" t="s">
        <v>1141</v>
      </c>
      <c r="T1619" s="19"/>
      <c r="U1619" s="19" t="s">
        <v>31</v>
      </c>
      <c r="V1619" s="41" t="n">
        <v>43727</v>
      </c>
      <c r="W1619" s="18"/>
      <c r="X1619" s="18"/>
    </row>
    <row r="1620" customFormat="false" ht="13.8" hidden="false" customHeight="false" outlineLevel="0" collapsed="false">
      <c r="A1620" s="34"/>
      <c r="B1620" s="19" t="s">
        <v>2344</v>
      </c>
      <c r="C1620" s="20" t="n">
        <v>43488</v>
      </c>
      <c r="D1620" s="38" t="s">
        <v>22</v>
      </c>
      <c r="E1620" s="22" t="s">
        <v>175</v>
      </c>
      <c r="F1620" s="23" t="s">
        <v>2345</v>
      </c>
      <c r="G1620" s="22" t="s">
        <v>473</v>
      </c>
      <c r="H1620" s="24" t="s">
        <v>48</v>
      </c>
      <c r="I1620" s="24" t="n">
        <v>2</v>
      </c>
      <c r="J1620" s="25" t="n">
        <v>28.72</v>
      </c>
      <c r="K1620" s="26" t="n">
        <v>310000</v>
      </c>
      <c r="L1620" s="39" t="n">
        <f aca="false">K1620/J1620</f>
        <v>10793.8718662953</v>
      </c>
      <c r="M1620" s="34" t="s">
        <v>189</v>
      </c>
      <c r="N1620" s="54"/>
      <c r="O1620" s="30" t="n">
        <f aca="false">K1620+N1620</f>
        <v>310000</v>
      </c>
      <c r="P1620" s="39" t="n">
        <f aca="false">O1620/J1620</f>
        <v>10793.8718662953</v>
      </c>
      <c r="Q1620" s="28"/>
      <c r="R1620" s="55" t="n">
        <v>4</v>
      </c>
      <c r="S1620" s="19" t="s">
        <v>29</v>
      </c>
      <c r="T1620" s="19" t="s">
        <v>30</v>
      </c>
      <c r="U1620" s="19" t="s">
        <v>31</v>
      </c>
      <c r="V1620" s="22" t="s">
        <v>2184</v>
      </c>
      <c r="W1620" s="53"/>
      <c r="X1620" s="25"/>
    </row>
    <row r="1621" customFormat="false" ht="13.8" hidden="false" customHeight="false" outlineLevel="0" collapsed="false">
      <c r="A1621" s="34"/>
      <c r="B1621" s="22" t="s">
        <v>2346</v>
      </c>
      <c r="C1621" s="20" t="n">
        <v>43488</v>
      </c>
      <c r="D1621" s="38" t="s">
        <v>22</v>
      </c>
      <c r="E1621" s="22" t="s">
        <v>284</v>
      </c>
      <c r="F1621" s="23" t="s">
        <v>2347</v>
      </c>
      <c r="G1621" s="22" t="s">
        <v>2348</v>
      </c>
      <c r="H1621" s="22" t="s">
        <v>533</v>
      </c>
      <c r="I1621" s="22" t="n">
        <v>4</v>
      </c>
      <c r="J1621" s="25" t="n">
        <v>28.6</v>
      </c>
      <c r="K1621" s="26" t="n">
        <v>330000</v>
      </c>
      <c r="L1621" s="39" t="n">
        <f aca="false">K1621/J1621</f>
        <v>11538.4615384615</v>
      </c>
      <c r="M1621" s="18"/>
      <c r="N1621" s="54"/>
      <c r="O1621" s="30" t="n">
        <f aca="false">K1621+N1621</f>
        <v>330000</v>
      </c>
      <c r="P1621" s="39" t="n">
        <f aca="false">O1621/J1621</f>
        <v>11538.4615384615</v>
      </c>
      <c r="Q1621" s="58"/>
      <c r="R1621" s="57" t="n">
        <v>2</v>
      </c>
      <c r="S1621" s="19" t="s">
        <v>29</v>
      </c>
      <c r="T1621" s="19" t="s">
        <v>30</v>
      </c>
      <c r="U1621" s="19" t="s">
        <v>31</v>
      </c>
      <c r="V1621" s="22" t="s">
        <v>2184</v>
      </c>
      <c r="W1621" s="22"/>
      <c r="X1621" s="22"/>
      <c r="AMJ1621" s="32"/>
    </row>
    <row r="1622" s="32" customFormat="true" ht="13.8" hidden="false" customHeight="false" outlineLevel="0" collapsed="false">
      <c r="A1622" s="18"/>
      <c r="B1622" s="22" t="s">
        <v>2349</v>
      </c>
      <c r="C1622" s="20" t="n">
        <v>43488</v>
      </c>
      <c r="D1622" s="38" t="s">
        <v>22</v>
      </c>
      <c r="E1622" s="22" t="s">
        <v>129</v>
      </c>
      <c r="F1622" s="23" t="s">
        <v>209</v>
      </c>
      <c r="G1622" s="22" t="s">
        <v>26</v>
      </c>
      <c r="H1622" s="22" t="s">
        <v>222</v>
      </c>
      <c r="I1622" s="22" t="n">
        <v>9</v>
      </c>
      <c r="J1622" s="25" t="n">
        <v>50.5</v>
      </c>
      <c r="K1622" s="26" t="n">
        <v>500000</v>
      </c>
      <c r="L1622" s="39" t="n">
        <f aca="false">K1622/J1622</f>
        <v>9900.9900990099</v>
      </c>
      <c r="M1622" s="34" t="s">
        <v>1739</v>
      </c>
      <c r="N1622" s="54"/>
      <c r="O1622" s="30" t="n">
        <f aca="false">K1622+N1622</f>
        <v>500000</v>
      </c>
      <c r="P1622" s="39" t="n">
        <f aca="false">O1622/J1622</f>
        <v>9900.9900990099</v>
      </c>
      <c r="Q1622" s="58"/>
      <c r="R1622" s="57" t="n">
        <v>2</v>
      </c>
      <c r="S1622" s="19" t="s">
        <v>29</v>
      </c>
      <c r="T1622" s="19" t="s">
        <v>30</v>
      </c>
      <c r="U1622" s="19" t="s">
        <v>31</v>
      </c>
      <c r="V1622" s="22" t="s">
        <v>2184</v>
      </c>
      <c r="W1622" s="22"/>
      <c r="X1622" s="22"/>
    </row>
    <row r="1623" customFormat="false" ht="13.8" hidden="false" customHeight="false" outlineLevel="0" collapsed="false">
      <c r="A1623" s="34"/>
      <c r="B1623" s="19" t="n">
        <v>18935</v>
      </c>
      <c r="C1623" s="20" t="n">
        <v>43488</v>
      </c>
      <c r="D1623" s="38" t="s">
        <v>22</v>
      </c>
      <c r="E1623" s="22" t="s">
        <v>129</v>
      </c>
      <c r="F1623" s="34" t="s">
        <v>209</v>
      </c>
      <c r="G1623" s="19" t="n">
        <v>3</v>
      </c>
      <c r="H1623" s="19" t="n">
        <v>36</v>
      </c>
      <c r="I1623" s="19" t="n">
        <v>11</v>
      </c>
      <c r="J1623" s="19" t="n">
        <f aca="false">50.5-2</f>
        <v>48.5</v>
      </c>
      <c r="K1623" s="39" t="n">
        <v>500000</v>
      </c>
      <c r="L1623" s="39" t="n">
        <f aca="false">K1623/J1623</f>
        <v>10309.2783505155</v>
      </c>
      <c r="M1623" s="34" t="s">
        <v>2350</v>
      </c>
      <c r="N1623" s="40" t="n">
        <v>30000</v>
      </c>
      <c r="O1623" s="30" t="n">
        <f aca="false">K1623+N1623</f>
        <v>530000</v>
      </c>
      <c r="P1623" s="39" t="n">
        <f aca="false">O1623/J1623</f>
        <v>10927.8350515464</v>
      </c>
      <c r="Q1623" s="19" t="s">
        <v>2351</v>
      </c>
      <c r="R1623" s="22" t="s">
        <v>36</v>
      </c>
      <c r="S1623" s="19" t="s">
        <v>29</v>
      </c>
      <c r="T1623" s="19" t="s">
        <v>30</v>
      </c>
      <c r="U1623" s="19" t="s">
        <v>31</v>
      </c>
      <c r="V1623" s="41" t="n">
        <v>43697</v>
      </c>
      <c r="W1623" s="34" t="s">
        <v>2352</v>
      </c>
      <c r="X1623" s="18"/>
    </row>
    <row r="1624" customFormat="false" ht="13.8" hidden="false" customHeight="false" outlineLevel="0" collapsed="false">
      <c r="A1624" s="18"/>
      <c r="B1624" s="22" t="s">
        <v>2353</v>
      </c>
      <c r="C1624" s="20" t="n">
        <v>43488</v>
      </c>
      <c r="D1624" s="38" t="s">
        <v>22</v>
      </c>
      <c r="E1624" s="22" t="s">
        <v>399</v>
      </c>
      <c r="F1624" s="23" t="s">
        <v>2354</v>
      </c>
      <c r="G1624" s="22" t="s">
        <v>2186</v>
      </c>
      <c r="H1624" s="22" t="s">
        <v>443</v>
      </c>
      <c r="I1624" s="22" t="n">
        <v>9</v>
      </c>
      <c r="J1624" s="25" t="n">
        <v>61.4</v>
      </c>
      <c r="K1624" s="26" t="n">
        <v>538000</v>
      </c>
      <c r="L1624" s="39" t="n">
        <f aca="false">K1624/J1624</f>
        <v>8762.21498371335</v>
      </c>
      <c r="M1624" s="34"/>
      <c r="N1624" s="34"/>
      <c r="O1624" s="30" t="n">
        <f aca="false">K1624+N1624</f>
        <v>538000</v>
      </c>
      <c r="P1624" s="39" t="n">
        <f aca="false">O1624/J1624</f>
        <v>8762.21498371335</v>
      </c>
      <c r="Q1624" s="59"/>
      <c r="R1624" s="57" t="n">
        <v>4</v>
      </c>
      <c r="S1624" s="19" t="s">
        <v>29</v>
      </c>
      <c r="T1624" s="19" t="s">
        <v>30</v>
      </c>
      <c r="U1624" s="19" t="s">
        <v>31</v>
      </c>
      <c r="V1624" s="22" t="s">
        <v>2184</v>
      </c>
      <c r="W1624" s="22"/>
      <c r="X1624" s="22"/>
    </row>
    <row r="1625" customFormat="false" ht="13.8" hidden="false" customHeight="false" outlineLevel="0" collapsed="false">
      <c r="A1625" s="34"/>
      <c r="B1625" s="19" t="n">
        <v>420</v>
      </c>
      <c r="C1625" s="20" t="n">
        <v>43488</v>
      </c>
      <c r="D1625" s="38" t="s">
        <v>22</v>
      </c>
      <c r="E1625" s="22" t="s">
        <v>175</v>
      </c>
      <c r="F1625" s="34" t="s">
        <v>404</v>
      </c>
      <c r="G1625" s="19" t="n">
        <v>48</v>
      </c>
      <c r="H1625" s="19" t="n">
        <v>28</v>
      </c>
      <c r="I1625" s="19" t="n">
        <v>2</v>
      </c>
      <c r="J1625" s="19" t="n">
        <v>28.72</v>
      </c>
      <c r="K1625" s="39" t="n">
        <v>310000</v>
      </c>
      <c r="L1625" s="39" t="n">
        <f aca="false">K1625/J1625</f>
        <v>10793.8718662953</v>
      </c>
      <c r="M1625" s="34"/>
      <c r="N1625" s="40"/>
      <c r="O1625" s="30" t="n">
        <f aca="false">K1625+N1625</f>
        <v>310000</v>
      </c>
      <c r="P1625" s="39" t="n">
        <f aca="false">O1625/J1625</f>
        <v>10793.8718662953</v>
      </c>
      <c r="Q1625" s="19" t="s">
        <v>2355</v>
      </c>
      <c r="R1625" s="22" t="s">
        <v>27</v>
      </c>
      <c r="S1625" s="19" t="s">
        <v>29</v>
      </c>
      <c r="T1625" s="19" t="s">
        <v>30</v>
      </c>
      <c r="U1625" s="19" t="s">
        <v>31</v>
      </c>
      <c r="V1625" s="41" t="n">
        <v>43697</v>
      </c>
      <c r="W1625" s="34" t="s">
        <v>2356</v>
      </c>
      <c r="X1625" s="18"/>
    </row>
    <row r="1626" customFormat="false" ht="13.8" hidden="false" customHeight="false" outlineLevel="0" collapsed="false">
      <c r="A1626" s="34"/>
      <c r="B1626" s="19" t="n">
        <v>483</v>
      </c>
      <c r="C1626" s="20" t="n">
        <v>43488</v>
      </c>
      <c r="D1626" s="38" t="s">
        <v>22</v>
      </c>
      <c r="E1626" s="22" t="s">
        <v>284</v>
      </c>
      <c r="F1626" s="34" t="s">
        <v>404</v>
      </c>
      <c r="G1626" s="22" t="s">
        <v>2348</v>
      </c>
      <c r="H1626" s="19" t="n">
        <v>63</v>
      </c>
      <c r="I1626" s="19" t="n">
        <v>4</v>
      </c>
      <c r="J1626" s="19" t="n">
        <v>28.6</v>
      </c>
      <c r="K1626" s="39" t="n">
        <v>330000</v>
      </c>
      <c r="L1626" s="39" t="n">
        <f aca="false">K1626/J1626</f>
        <v>11538.4615384615</v>
      </c>
      <c r="M1626" s="34"/>
      <c r="N1626" s="40"/>
      <c r="O1626" s="30" t="n">
        <f aca="false">K1626+N1626</f>
        <v>330000</v>
      </c>
      <c r="P1626" s="39" t="n">
        <f aca="false">O1626/J1626</f>
        <v>11538.4615384615</v>
      </c>
      <c r="Q1626" s="19" t="s">
        <v>1320</v>
      </c>
      <c r="R1626" s="22" t="s">
        <v>27</v>
      </c>
      <c r="S1626" s="19" t="s">
        <v>29</v>
      </c>
      <c r="T1626" s="19" t="s">
        <v>30</v>
      </c>
      <c r="U1626" s="19" t="s">
        <v>31</v>
      </c>
      <c r="V1626" s="41" t="n">
        <v>43693</v>
      </c>
      <c r="W1626" s="34" t="s">
        <v>2357</v>
      </c>
      <c r="X1626" s="18"/>
      <c r="AMJ1626" s="32"/>
    </row>
    <row r="1627" s="32" customFormat="true" ht="13.8" hidden="false" customHeight="false" outlineLevel="0" collapsed="false">
      <c r="A1627" s="34"/>
      <c r="B1627" s="19" t="n">
        <v>188</v>
      </c>
      <c r="C1627" s="20" t="n">
        <v>43488</v>
      </c>
      <c r="D1627" s="38" t="s">
        <v>22</v>
      </c>
      <c r="E1627" s="22" t="s">
        <v>399</v>
      </c>
      <c r="F1627" s="34" t="s">
        <v>272</v>
      </c>
      <c r="G1627" s="19" t="n">
        <v>78</v>
      </c>
      <c r="H1627" s="19" t="n">
        <v>88</v>
      </c>
      <c r="I1627" s="19" t="n">
        <v>9</v>
      </c>
      <c r="J1627" s="19" t="n">
        <v>61.4</v>
      </c>
      <c r="K1627" s="39" t="n">
        <v>580000</v>
      </c>
      <c r="L1627" s="39" t="n">
        <f aca="false">K1627/J1627</f>
        <v>9446.25407166124</v>
      </c>
      <c r="M1627" s="34" t="s">
        <v>2128</v>
      </c>
      <c r="N1627" s="40"/>
      <c r="O1627" s="30" t="n">
        <f aca="false">K1627+N1627</f>
        <v>580000</v>
      </c>
      <c r="P1627" s="39" t="n">
        <f aca="false">O1627/J1627</f>
        <v>9446.25407166124</v>
      </c>
      <c r="Q1627" s="19" t="s">
        <v>2358</v>
      </c>
      <c r="R1627" s="22" t="s">
        <v>36</v>
      </c>
      <c r="S1627" s="19" t="s">
        <v>29</v>
      </c>
      <c r="T1627" s="19" t="s">
        <v>30</v>
      </c>
      <c r="U1627" s="19" t="s">
        <v>31</v>
      </c>
      <c r="V1627" s="41" t="n">
        <v>43697</v>
      </c>
      <c r="W1627" s="34" t="s">
        <v>2359</v>
      </c>
      <c r="X1627" s="34"/>
    </row>
    <row r="1628" customFormat="false" ht="13.8" hidden="false" customHeight="false" outlineLevel="0" collapsed="false">
      <c r="A1628" s="34"/>
      <c r="B1628" s="19" t="s">
        <v>887</v>
      </c>
      <c r="C1628" s="20" t="n">
        <v>43489</v>
      </c>
      <c r="D1628" s="38" t="s">
        <v>22</v>
      </c>
      <c r="E1628" s="22" t="s">
        <v>251</v>
      </c>
      <c r="F1628" s="45" t="s">
        <v>252</v>
      </c>
      <c r="G1628" s="19" t="n">
        <v>3</v>
      </c>
      <c r="H1628" s="19"/>
      <c r="I1628" s="19" t="n">
        <v>5</v>
      </c>
      <c r="J1628" s="25" t="n">
        <v>42.23</v>
      </c>
      <c r="K1628" s="39" t="n">
        <v>365500</v>
      </c>
      <c r="L1628" s="39" t="n">
        <f aca="false">K1628/J1628</f>
        <v>8654.98460809851</v>
      </c>
      <c r="M1628" s="18"/>
      <c r="N1628" s="40"/>
      <c r="O1628" s="30" t="n">
        <f aca="false">K1628+N1628</f>
        <v>365500</v>
      </c>
      <c r="P1628" s="39" t="n">
        <f aca="false">O1628/J1628</f>
        <v>8654.98460809851</v>
      </c>
      <c r="Q1628" s="19" t="s">
        <v>889</v>
      </c>
      <c r="R1628" s="19" t="n">
        <v>3</v>
      </c>
      <c r="S1628" s="19" t="s">
        <v>1141</v>
      </c>
      <c r="T1628" s="19"/>
      <c r="U1628" s="19" t="s">
        <v>31</v>
      </c>
      <c r="V1628" s="41" t="n">
        <v>43727</v>
      </c>
      <c r="W1628" s="18"/>
      <c r="X1628" s="18"/>
    </row>
    <row r="1629" customFormat="false" ht="13.8" hidden="false" customHeight="false" outlineLevel="0" collapsed="false">
      <c r="A1629" s="18"/>
      <c r="B1629" s="19" t="s">
        <v>2360</v>
      </c>
      <c r="C1629" s="20" t="n">
        <v>43489</v>
      </c>
      <c r="D1629" s="38" t="s">
        <v>22</v>
      </c>
      <c r="E1629" s="22" t="s">
        <v>284</v>
      </c>
      <c r="F1629" s="23" t="s">
        <v>401</v>
      </c>
      <c r="G1629" s="22" t="s">
        <v>48</v>
      </c>
      <c r="H1629" s="24" t="s">
        <v>36</v>
      </c>
      <c r="I1629" s="24" t="n">
        <v>1</v>
      </c>
      <c r="J1629" s="25" t="n">
        <v>16.95</v>
      </c>
      <c r="K1629" s="26" t="n">
        <v>270000</v>
      </c>
      <c r="L1629" s="39" t="n">
        <f aca="false">K1629/J1629</f>
        <v>15929.203539823</v>
      </c>
      <c r="M1629" s="18"/>
      <c r="N1629" s="54"/>
      <c r="O1629" s="30" t="n">
        <f aca="false">K1629+N1629</f>
        <v>270000</v>
      </c>
      <c r="P1629" s="39" t="n">
        <f aca="false">O1629/J1629</f>
        <v>15929.203539823</v>
      </c>
      <c r="Q1629" s="58"/>
      <c r="R1629" s="57" t="n">
        <v>1</v>
      </c>
      <c r="S1629" s="19" t="s">
        <v>29</v>
      </c>
      <c r="T1629" s="19" t="s">
        <v>30</v>
      </c>
      <c r="U1629" s="19" t="s">
        <v>31</v>
      </c>
      <c r="V1629" s="22" t="s">
        <v>2184</v>
      </c>
      <c r="W1629" s="22"/>
      <c r="X1629" s="22"/>
    </row>
    <row r="1630" customFormat="false" ht="13.8" hidden="false" customHeight="false" outlineLevel="0" collapsed="false">
      <c r="A1630" s="18"/>
      <c r="B1630" s="22" t="s">
        <v>2361</v>
      </c>
      <c r="C1630" s="20" t="n">
        <v>43489</v>
      </c>
      <c r="D1630" s="38" t="s">
        <v>22</v>
      </c>
      <c r="E1630" s="22" t="s">
        <v>517</v>
      </c>
      <c r="F1630" s="23" t="s">
        <v>1223</v>
      </c>
      <c r="G1630" s="22" t="s">
        <v>2362</v>
      </c>
      <c r="H1630" s="22" t="s">
        <v>210</v>
      </c>
      <c r="I1630" s="22" t="n">
        <v>5</v>
      </c>
      <c r="J1630" s="25" t="n">
        <v>46.6</v>
      </c>
      <c r="K1630" s="26" t="n">
        <v>412500</v>
      </c>
      <c r="L1630" s="39" t="n">
        <f aca="false">K1630/J1630</f>
        <v>8851.9313304721</v>
      </c>
      <c r="M1630" s="18"/>
      <c r="N1630" s="54"/>
      <c r="O1630" s="30" t="n">
        <f aca="false">K1630+N1630</f>
        <v>412500</v>
      </c>
      <c r="P1630" s="39" t="n">
        <f aca="false">O1630/J1630</f>
        <v>8851.9313304721</v>
      </c>
      <c r="Q1630" s="60"/>
      <c r="R1630" s="55" t="n">
        <v>2</v>
      </c>
      <c r="S1630" s="19" t="s">
        <v>29</v>
      </c>
      <c r="T1630" s="19" t="s">
        <v>30</v>
      </c>
      <c r="U1630" s="19" t="s">
        <v>31</v>
      </c>
      <c r="V1630" s="22" t="s">
        <v>2184</v>
      </c>
      <c r="W1630" s="22"/>
      <c r="X1630" s="22"/>
    </row>
    <row r="1631" customFormat="false" ht="13.8" hidden="false" customHeight="false" outlineLevel="0" collapsed="false">
      <c r="A1631" s="18"/>
      <c r="B1631" s="22" t="s">
        <v>2363</v>
      </c>
      <c r="C1631" s="20" t="n">
        <v>43489</v>
      </c>
      <c r="D1631" s="38" t="s">
        <v>22</v>
      </c>
      <c r="E1631" s="22" t="s">
        <v>212</v>
      </c>
      <c r="F1631" s="23" t="s">
        <v>1881</v>
      </c>
      <c r="G1631" s="22" t="s">
        <v>295</v>
      </c>
      <c r="H1631" s="22" t="s">
        <v>169</v>
      </c>
      <c r="I1631" s="22" t="n">
        <v>3</v>
      </c>
      <c r="J1631" s="25" t="n">
        <v>53</v>
      </c>
      <c r="K1631" s="26" t="n">
        <v>450000</v>
      </c>
      <c r="L1631" s="39" t="n">
        <f aca="false">K1631/J1631</f>
        <v>8490.56603773585</v>
      </c>
      <c r="M1631" s="34" t="s">
        <v>189</v>
      </c>
      <c r="N1631" s="34"/>
      <c r="O1631" s="30" t="n">
        <f aca="false">K1631+N1631</f>
        <v>450000</v>
      </c>
      <c r="P1631" s="39" t="n">
        <f aca="false">O1631/J1631</f>
        <v>8490.56603773585</v>
      </c>
      <c r="Q1631" s="28"/>
      <c r="R1631" s="55" t="n">
        <v>3</v>
      </c>
      <c r="S1631" s="19" t="s">
        <v>29</v>
      </c>
      <c r="T1631" s="19" t="s">
        <v>30</v>
      </c>
      <c r="U1631" s="19" t="s">
        <v>31</v>
      </c>
      <c r="V1631" s="22" t="s">
        <v>2184</v>
      </c>
      <c r="W1631" s="53"/>
      <c r="X1631" s="25"/>
    </row>
    <row r="1632" customFormat="false" ht="13.8" hidden="false" customHeight="false" outlineLevel="0" collapsed="false">
      <c r="A1632" s="34"/>
      <c r="B1632" s="19" t="n">
        <v>216</v>
      </c>
      <c r="C1632" s="20" t="n">
        <v>43489</v>
      </c>
      <c r="D1632" s="38" t="s">
        <v>22</v>
      </c>
      <c r="E1632" s="22" t="s">
        <v>517</v>
      </c>
      <c r="F1632" s="34" t="s">
        <v>240</v>
      </c>
      <c r="G1632" s="19" t="n">
        <v>66</v>
      </c>
      <c r="H1632" s="19" t="n">
        <v>30</v>
      </c>
      <c r="I1632" s="19" t="n">
        <v>5</v>
      </c>
      <c r="J1632" s="19" t="n">
        <v>46.6</v>
      </c>
      <c r="K1632" s="39" t="n">
        <v>412500</v>
      </c>
      <c r="L1632" s="39" t="n">
        <f aca="false">K1632/J1632</f>
        <v>8851.9313304721</v>
      </c>
      <c r="M1632" s="34"/>
      <c r="N1632" s="40"/>
      <c r="O1632" s="30" t="n">
        <f aca="false">K1632+N1632</f>
        <v>412500</v>
      </c>
      <c r="P1632" s="39" t="n">
        <f aca="false">O1632/J1632</f>
        <v>8851.9313304721</v>
      </c>
      <c r="Q1632" s="19" t="s">
        <v>1340</v>
      </c>
      <c r="R1632" s="22" t="s">
        <v>26</v>
      </c>
      <c r="S1632" s="19" t="s">
        <v>29</v>
      </c>
      <c r="T1632" s="19" t="s">
        <v>30</v>
      </c>
      <c r="U1632" s="19" t="s">
        <v>31</v>
      </c>
      <c r="V1632" s="41" t="n">
        <v>43697</v>
      </c>
      <c r="W1632" s="34" t="s">
        <v>2364</v>
      </c>
      <c r="X1632" s="18"/>
    </row>
    <row r="1633" customFormat="false" ht="13.8" hidden="false" customHeight="false" outlineLevel="0" collapsed="false">
      <c r="A1633" s="34"/>
      <c r="B1633" s="19" t="n">
        <v>702</v>
      </c>
      <c r="C1633" s="20" t="n">
        <v>43489</v>
      </c>
      <c r="D1633" s="38" t="s">
        <v>22</v>
      </c>
      <c r="E1633" s="22" t="s">
        <v>171</v>
      </c>
      <c r="F1633" s="34" t="s">
        <v>1072</v>
      </c>
      <c r="G1633" s="19" t="n">
        <v>17</v>
      </c>
      <c r="H1633" s="19" t="n">
        <v>27</v>
      </c>
      <c r="I1633" s="19" t="n">
        <v>2</v>
      </c>
      <c r="J1633" s="19" t="n">
        <v>74.78</v>
      </c>
      <c r="K1633" s="39" t="n">
        <v>840000</v>
      </c>
      <c r="L1633" s="39" t="n">
        <f aca="false">K1633/J1633</f>
        <v>11232.9499866274</v>
      </c>
      <c r="M1633" s="34"/>
      <c r="N1633" s="40"/>
      <c r="O1633" s="30" t="n">
        <f aca="false">K1633+N1633</f>
        <v>840000</v>
      </c>
      <c r="P1633" s="39" t="n">
        <f aca="false">O1633/J1633</f>
        <v>11232.9499866274</v>
      </c>
      <c r="Q1633" s="19" t="s">
        <v>2365</v>
      </c>
      <c r="R1633" s="22" t="s">
        <v>26</v>
      </c>
      <c r="S1633" s="19" t="s">
        <v>29</v>
      </c>
      <c r="T1633" s="19" t="s">
        <v>30</v>
      </c>
      <c r="U1633" s="19" t="s">
        <v>31</v>
      </c>
      <c r="V1633" s="41" t="n">
        <v>43697</v>
      </c>
      <c r="W1633" s="34" t="s">
        <v>2366</v>
      </c>
      <c r="X1633" s="18"/>
      <c r="AMJ1633" s="32"/>
    </row>
    <row r="1634" s="32" customFormat="true" ht="13.8" hidden="false" customHeight="false" outlineLevel="0" collapsed="false">
      <c r="A1634" s="18"/>
      <c r="B1634" s="22" t="s">
        <v>2367</v>
      </c>
      <c r="C1634" s="20" t="n">
        <v>43490</v>
      </c>
      <c r="D1634" s="38" t="s">
        <v>22</v>
      </c>
      <c r="E1634" s="22" t="s">
        <v>125</v>
      </c>
      <c r="F1634" s="23" t="s">
        <v>2368</v>
      </c>
      <c r="G1634" s="22" t="s">
        <v>2369</v>
      </c>
      <c r="H1634" s="22" t="s">
        <v>294</v>
      </c>
      <c r="I1634" s="22" t="n">
        <v>1</v>
      </c>
      <c r="J1634" s="25" t="n">
        <v>46.23</v>
      </c>
      <c r="K1634" s="26" t="n">
        <v>449000</v>
      </c>
      <c r="L1634" s="39" t="n">
        <f aca="false">K1634/J1634</f>
        <v>9712.30802509193</v>
      </c>
      <c r="M1634" s="34" t="s">
        <v>189</v>
      </c>
      <c r="N1634" s="34"/>
      <c r="O1634" s="30" t="n">
        <f aca="false">K1634+N1634</f>
        <v>449000</v>
      </c>
      <c r="P1634" s="39" t="n">
        <f aca="false">O1634/J1634</f>
        <v>9712.30802509193</v>
      </c>
      <c r="Q1634" s="58"/>
      <c r="R1634" s="57" t="n">
        <v>1</v>
      </c>
      <c r="S1634" s="19" t="s">
        <v>29</v>
      </c>
      <c r="T1634" s="19" t="s">
        <v>30</v>
      </c>
      <c r="U1634" s="19" t="s">
        <v>31</v>
      </c>
      <c r="V1634" s="22" t="s">
        <v>2184</v>
      </c>
      <c r="W1634" s="22"/>
      <c r="X1634" s="22"/>
    </row>
    <row r="1635" customFormat="false" ht="13.8" hidden="false" customHeight="false" outlineLevel="0" collapsed="false">
      <c r="A1635" s="34"/>
      <c r="B1635" s="19" t="n">
        <v>432</v>
      </c>
      <c r="C1635" s="20" t="n">
        <v>43490</v>
      </c>
      <c r="D1635" s="38" t="s">
        <v>22</v>
      </c>
      <c r="E1635" s="22" t="s">
        <v>140</v>
      </c>
      <c r="F1635" s="34" t="s">
        <v>273</v>
      </c>
      <c r="G1635" s="19" t="n">
        <v>2</v>
      </c>
      <c r="H1635" s="19" t="n">
        <v>35</v>
      </c>
      <c r="I1635" s="19" t="n">
        <v>4</v>
      </c>
      <c r="J1635" s="19" t="n">
        <v>48.27</v>
      </c>
      <c r="K1635" s="39" t="n">
        <f aca="false">202500+101250+101250</f>
        <v>405000</v>
      </c>
      <c r="L1635" s="39" t="n">
        <f aca="false">K1635/J1635</f>
        <v>8390.30453697949</v>
      </c>
      <c r="M1635" s="34"/>
      <c r="N1635" s="40"/>
      <c r="O1635" s="30" t="n">
        <f aca="false">K1635+N1635</f>
        <v>405000</v>
      </c>
      <c r="P1635" s="39" t="n">
        <f aca="false">O1635/J1635</f>
        <v>8390.30453697949</v>
      </c>
      <c r="Q1635" s="19" t="s">
        <v>1340</v>
      </c>
      <c r="R1635" s="22" t="s">
        <v>26</v>
      </c>
      <c r="S1635" s="19" t="s">
        <v>29</v>
      </c>
      <c r="T1635" s="19" t="s">
        <v>30</v>
      </c>
      <c r="U1635" s="19" t="s">
        <v>31</v>
      </c>
      <c r="V1635" s="41" t="n">
        <v>43697</v>
      </c>
      <c r="W1635" s="34" t="s">
        <v>2370</v>
      </c>
      <c r="X1635" s="18"/>
    </row>
    <row r="1636" customFormat="false" ht="13.8" hidden="false" customHeight="false" outlineLevel="0" collapsed="false">
      <c r="A1636" s="18"/>
      <c r="B1636" s="19" t="s">
        <v>2371</v>
      </c>
      <c r="C1636" s="20" t="n">
        <v>43490</v>
      </c>
      <c r="D1636" s="38" t="s">
        <v>22</v>
      </c>
      <c r="E1636" s="22" t="s">
        <v>140</v>
      </c>
      <c r="F1636" s="23" t="s">
        <v>273</v>
      </c>
      <c r="G1636" s="22" t="s">
        <v>36</v>
      </c>
      <c r="H1636" s="24" t="s">
        <v>286</v>
      </c>
      <c r="I1636" s="24" t="n">
        <v>4</v>
      </c>
      <c r="J1636" s="25" t="n">
        <v>48.27</v>
      </c>
      <c r="K1636" s="26" t="n">
        <v>405000</v>
      </c>
      <c r="L1636" s="39" t="n">
        <f aca="false">K1636/J1636</f>
        <v>8390.30453697949</v>
      </c>
      <c r="M1636" s="34"/>
      <c r="N1636" s="34"/>
      <c r="O1636" s="30" t="n">
        <f aca="false">K1636+N1636</f>
        <v>405000</v>
      </c>
      <c r="P1636" s="39" t="n">
        <f aca="false">O1636/J1636</f>
        <v>8390.30453697949</v>
      </c>
      <c r="Q1636" s="28"/>
      <c r="R1636" s="55" t="n">
        <v>2</v>
      </c>
      <c r="S1636" s="19" t="s">
        <v>29</v>
      </c>
      <c r="T1636" s="19" t="s">
        <v>30</v>
      </c>
      <c r="U1636" s="19" t="s">
        <v>31</v>
      </c>
      <c r="V1636" s="22" t="s">
        <v>2184</v>
      </c>
      <c r="W1636" s="53"/>
      <c r="X1636" s="25"/>
    </row>
    <row r="1637" customFormat="false" ht="13.8" hidden="false" customHeight="false" outlineLevel="0" collapsed="false">
      <c r="A1637" s="34"/>
      <c r="B1637" s="19" t="n">
        <v>450</v>
      </c>
      <c r="C1637" s="20" t="n">
        <v>43490</v>
      </c>
      <c r="D1637" s="38" t="s">
        <v>22</v>
      </c>
      <c r="E1637" s="22" t="s">
        <v>187</v>
      </c>
      <c r="F1637" s="34" t="s">
        <v>1041</v>
      </c>
      <c r="G1637" s="19" t="n">
        <v>85</v>
      </c>
      <c r="H1637" s="19" t="n">
        <v>20</v>
      </c>
      <c r="I1637" s="19" t="n">
        <v>1</v>
      </c>
      <c r="J1637" s="19" t="n">
        <v>48.21</v>
      </c>
      <c r="K1637" s="39" t="n">
        <v>520000</v>
      </c>
      <c r="L1637" s="39" t="n">
        <f aca="false">K1637/J1637</f>
        <v>10786.1439535366</v>
      </c>
      <c r="M1637" s="34"/>
      <c r="N1637" s="40"/>
      <c r="O1637" s="30" t="n">
        <f aca="false">K1637+N1637</f>
        <v>520000</v>
      </c>
      <c r="P1637" s="39" t="n">
        <f aca="false">O1637/J1637</f>
        <v>10786.1439535366</v>
      </c>
      <c r="Q1637" s="19" t="s">
        <v>1486</v>
      </c>
      <c r="R1637" s="22" t="s">
        <v>36</v>
      </c>
      <c r="S1637" s="19" t="s">
        <v>29</v>
      </c>
      <c r="T1637" s="19" t="s">
        <v>30</v>
      </c>
      <c r="U1637" s="19" t="s">
        <v>31</v>
      </c>
      <c r="V1637" s="41" t="n">
        <v>43697</v>
      </c>
      <c r="W1637" s="34" t="s">
        <v>2372</v>
      </c>
      <c r="X1637" s="18"/>
    </row>
    <row r="1638" customFormat="false" ht="13.8" hidden="false" customHeight="false" outlineLevel="0" collapsed="false">
      <c r="A1638" s="18"/>
      <c r="B1638" s="22" t="s">
        <v>2373</v>
      </c>
      <c r="C1638" s="20" t="n">
        <v>43490</v>
      </c>
      <c r="D1638" s="38" t="s">
        <v>22</v>
      </c>
      <c r="E1638" s="22" t="s">
        <v>187</v>
      </c>
      <c r="F1638" s="42" t="s">
        <v>401</v>
      </c>
      <c r="G1638" s="22" t="s">
        <v>266</v>
      </c>
      <c r="H1638" s="22" t="s">
        <v>95</v>
      </c>
      <c r="I1638" s="22" t="n">
        <v>1</v>
      </c>
      <c r="J1638" s="25" t="n">
        <v>48.21</v>
      </c>
      <c r="K1638" s="26" t="n">
        <v>520000</v>
      </c>
      <c r="L1638" s="39" t="n">
        <f aca="false">K1638/J1638</f>
        <v>10786.1439535366</v>
      </c>
      <c r="M1638" s="34" t="s">
        <v>189</v>
      </c>
      <c r="N1638" s="34"/>
      <c r="O1638" s="30" t="n">
        <f aca="false">K1638+N1638</f>
        <v>520000</v>
      </c>
      <c r="P1638" s="39" t="n">
        <f aca="false">O1638/J1638</f>
        <v>10786.1439535366</v>
      </c>
      <c r="Q1638" s="60"/>
      <c r="R1638" s="55" t="n">
        <v>1</v>
      </c>
      <c r="S1638" s="19" t="s">
        <v>29</v>
      </c>
      <c r="T1638" s="19" t="s">
        <v>30</v>
      </c>
      <c r="U1638" s="19" t="s">
        <v>31</v>
      </c>
      <c r="V1638" s="22" t="s">
        <v>2184</v>
      </c>
      <c r="W1638" s="22"/>
      <c r="X1638" s="22"/>
    </row>
    <row r="1639" customFormat="false" ht="13.8" hidden="false" customHeight="false" outlineLevel="0" collapsed="false">
      <c r="A1639" s="34"/>
      <c r="B1639" s="19" t="n">
        <v>206</v>
      </c>
      <c r="C1639" s="20" t="n">
        <v>43490</v>
      </c>
      <c r="D1639" s="38" t="s">
        <v>22</v>
      </c>
      <c r="E1639" s="22" t="s">
        <v>125</v>
      </c>
      <c r="F1639" s="34" t="s">
        <v>261</v>
      </c>
      <c r="G1639" s="22" t="s">
        <v>2369</v>
      </c>
      <c r="H1639" s="19" t="n">
        <v>13</v>
      </c>
      <c r="I1639" s="19" t="n">
        <v>1</v>
      </c>
      <c r="J1639" s="19" t="n">
        <v>46.23</v>
      </c>
      <c r="K1639" s="39" t="n">
        <v>449000</v>
      </c>
      <c r="L1639" s="39" t="n">
        <f aca="false">K1639/J1639</f>
        <v>9712.30802509193</v>
      </c>
      <c r="M1639" s="34"/>
      <c r="N1639" s="40"/>
      <c r="O1639" s="30" t="n">
        <f aca="false">K1639+N1639</f>
        <v>449000</v>
      </c>
      <c r="P1639" s="39" t="n">
        <f aca="false">O1639/J1639</f>
        <v>9712.30802509193</v>
      </c>
      <c r="Q1639" s="19" t="s">
        <v>1486</v>
      </c>
      <c r="R1639" s="22" t="s">
        <v>36</v>
      </c>
      <c r="S1639" s="19" t="s">
        <v>29</v>
      </c>
      <c r="T1639" s="19" t="s">
        <v>30</v>
      </c>
      <c r="U1639" s="19" t="s">
        <v>31</v>
      </c>
      <c r="V1639" s="41" t="n">
        <v>43697</v>
      </c>
      <c r="W1639" s="34" t="s">
        <v>2374</v>
      </c>
      <c r="X1639" s="18"/>
      <c r="AMJ1639" s="32"/>
    </row>
    <row r="1640" s="32" customFormat="true" ht="13.8" hidden="false" customHeight="false" outlineLevel="0" collapsed="false">
      <c r="A1640" s="18"/>
      <c r="B1640" s="22" t="s">
        <v>2375</v>
      </c>
      <c r="C1640" s="20" t="n">
        <v>43490</v>
      </c>
      <c r="D1640" s="38" t="s">
        <v>22</v>
      </c>
      <c r="E1640" s="22" t="s">
        <v>350</v>
      </c>
      <c r="F1640" s="23" t="s">
        <v>351</v>
      </c>
      <c r="G1640" s="22" t="s">
        <v>26</v>
      </c>
      <c r="H1640" s="22" t="s">
        <v>135</v>
      </c>
      <c r="I1640" s="22" t="n">
        <v>4</v>
      </c>
      <c r="J1640" s="25" t="n">
        <v>59.69</v>
      </c>
      <c r="K1640" s="26" t="n">
        <v>646000</v>
      </c>
      <c r="L1640" s="39" t="n">
        <f aca="false">K1640/J1640</f>
        <v>10822.5833472944</v>
      </c>
      <c r="M1640" s="34"/>
      <c r="N1640" s="34"/>
      <c r="O1640" s="30" t="n">
        <f aca="false">K1640+N1640</f>
        <v>646000</v>
      </c>
      <c r="P1640" s="39" t="n">
        <f aca="false">O1640/J1640</f>
        <v>10822.5833472944</v>
      </c>
      <c r="Q1640" s="58"/>
      <c r="R1640" s="57" t="n">
        <v>4</v>
      </c>
      <c r="S1640" s="19" t="s">
        <v>29</v>
      </c>
      <c r="T1640" s="19" t="s">
        <v>30</v>
      </c>
      <c r="U1640" s="19" t="s">
        <v>31</v>
      </c>
      <c r="V1640" s="22" t="s">
        <v>2184</v>
      </c>
      <c r="W1640" s="22"/>
      <c r="X1640" s="22"/>
    </row>
    <row r="1641" customFormat="false" ht="13.8" hidden="false" customHeight="false" outlineLevel="0" collapsed="false">
      <c r="A1641" s="34"/>
      <c r="B1641" s="19" t="n">
        <v>236</v>
      </c>
      <c r="C1641" s="20" t="n">
        <v>43490</v>
      </c>
      <c r="D1641" s="38" t="s">
        <v>22</v>
      </c>
      <c r="E1641" s="22" t="s">
        <v>350</v>
      </c>
      <c r="F1641" s="34" t="s">
        <v>351</v>
      </c>
      <c r="G1641" s="19" t="n">
        <v>3</v>
      </c>
      <c r="H1641" s="19" t="n">
        <v>16</v>
      </c>
      <c r="I1641" s="19" t="n">
        <v>4</v>
      </c>
      <c r="J1641" s="19" t="n">
        <v>59.6</v>
      </c>
      <c r="K1641" s="39" t="n">
        <v>646000</v>
      </c>
      <c r="L1641" s="39" t="n">
        <f aca="false">K1641/J1641</f>
        <v>10838.9261744966</v>
      </c>
      <c r="M1641" s="34" t="s">
        <v>2376</v>
      </c>
      <c r="N1641" s="40" t="n">
        <v>35000</v>
      </c>
      <c r="O1641" s="30" t="n">
        <f aca="false">K1641+N1641</f>
        <v>681000</v>
      </c>
      <c r="P1641" s="39" t="n">
        <f aca="false">O1641/J1641</f>
        <v>11426.1744966443</v>
      </c>
      <c r="Q1641" s="19" t="s">
        <v>2377</v>
      </c>
      <c r="R1641" s="22" t="s">
        <v>36</v>
      </c>
      <c r="S1641" s="19" t="s">
        <v>29</v>
      </c>
      <c r="T1641" s="19" t="s">
        <v>30</v>
      </c>
      <c r="U1641" s="19" t="s">
        <v>31</v>
      </c>
      <c r="V1641" s="41" t="n">
        <v>43698</v>
      </c>
      <c r="W1641" s="34" t="s">
        <v>2378</v>
      </c>
      <c r="X1641" s="18"/>
    </row>
    <row r="1642" customFormat="false" ht="13.8" hidden="false" customHeight="false" outlineLevel="0" collapsed="false">
      <c r="A1642" s="34"/>
      <c r="B1642" s="19" t="n">
        <v>359</v>
      </c>
      <c r="C1642" s="20" t="n">
        <v>43490</v>
      </c>
      <c r="D1642" s="38" t="s">
        <v>22</v>
      </c>
      <c r="E1642" s="22" t="s">
        <v>407</v>
      </c>
      <c r="F1642" s="34" t="s">
        <v>230</v>
      </c>
      <c r="G1642" s="19" t="n">
        <v>61</v>
      </c>
      <c r="H1642" s="19" t="n">
        <v>104</v>
      </c>
      <c r="I1642" s="19" t="n">
        <v>3</v>
      </c>
      <c r="J1642" s="19" t="n">
        <v>109.32</v>
      </c>
      <c r="K1642" s="39" t="n">
        <v>940000</v>
      </c>
      <c r="L1642" s="39" t="n">
        <f aca="false">K1642/J1642</f>
        <v>8598.60958653494</v>
      </c>
      <c r="M1642" s="34" t="s">
        <v>2379</v>
      </c>
      <c r="N1642" s="40"/>
      <c r="O1642" s="30" t="n">
        <f aca="false">K1642+N1642</f>
        <v>940000</v>
      </c>
      <c r="P1642" s="39" t="n">
        <f aca="false">O1642/J1642</f>
        <v>8598.60958653494</v>
      </c>
      <c r="Q1642" s="19" t="s">
        <v>2380</v>
      </c>
      <c r="R1642" s="22" t="s">
        <v>26</v>
      </c>
      <c r="S1642" s="19" t="s">
        <v>29</v>
      </c>
      <c r="T1642" s="19" t="s">
        <v>30</v>
      </c>
      <c r="U1642" s="19" t="s">
        <v>31</v>
      </c>
      <c r="V1642" s="41" t="n">
        <v>43696</v>
      </c>
      <c r="W1642" s="34" t="s">
        <v>2381</v>
      </c>
      <c r="X1642" s="18"/>
      <c r="AMJ1642" s="32"/>
    </row>
    <row r="1643" s="32" customFormat="true" ht="13.8" hidden="false" customHeight="false" outlineLevel="0" collapsed="false">
      <c r="A1643" s="34"/>
      <c r="B1643" s="19" t="n">
        <v>832</v>
      </c>
      <c r="C1643" s="20" t="n">
        <v>43490</v>
      </c>
      <c r="D1643" s="38" t="s">
        <v>22</v>
      </c>
      <c r="E1643" s="22" t="s">
        <v>2290</v>
      </c>
      <c r="F1643" s="34" t="s">
        <v>272</v>
      </c>
      <c r="G1643" s="19" t="n">
        <v>31</v>
      </c>
      <c r="H1643" s="19" t="n">
        <v>147</v>
      </c>
      <c r="I1643" s="19" t="n">
        <v>11</v>
      </c>
      <c r="J1643" s="19" t="n">
        <f aca="false">102.35-5.62</f>
        <v>96.73</v>
      </c>
      <c r="K1643" s="39" t="n">
        <v>1255000</v>
      </c>
      <c r="L1643" s="39" t="n">
        <f aca="false">K1643/J1643</f>
        <v>12974.2582445984</v>
      </c>
      <c r="M1643" s="34" t="s">
        <v>2382</v>
      </c>
      <c r="N1643" s="40"/>
      <c r="O1643" s="30" t="n">
        <f aca="false">K1643+N1643</f>
        <v>1255000</v>
      </c>
      <c r="P1643" s="39" t="n">
        <f aca="false">O1643/J1643</f>
        <v>12974.2582445984</v>
      </c>
      <c r="Q1643" s="19" t="s">
        <v>1340</v>
      </c>
      <c r="R1643" s="22" t="s">
        <v>26</v>
      </c>
      <c r="S1643" s="19" t="s">
        <v>29</v>
      </c>
      <c r="T1643" s="19" t="s">
        <v>30</v>
      </c>
      <c r="U1643" s="19" t="s">
        <v>31</v>
      </c>
      <c r="V1643" s="41" t="n">
        <v>43697</v>
      </c>
      <c r="W1643" s="34" t="s">
        <v>2383</v>
      </c>
      <c r="X1643" s="18"/>
    </row>
    <row r="1644" customFormat="false" ht="13.8" hidden="false" customHeight="false" outlineLevel="0" collapsed="false">
      <c r="A1644" s="34"/>
      <c r="B1644" s="19" t="n">
        <v>297</v>
      </c>
      <c r="C1644" s="20" t="n">
        <v>43491</v>
      </c>
      <c r="D1644" s="38" t="s">
        <v>22</v>
      </c>
      <c r="E1644" s="22" t="s">
        <v>369</v>
      </c>
      <c r="F1644" s="34" t="s">
        <v>370</v>
      </c>
      <c r="G1644" s="19" t="n">
        <v>9</v>
      </c>
      <c r="H1644" s="19" t="n">
        <v>11</v>
      </c>
      <c r="I1644" s="19" t="n">
        <v>4</v>
      </c>
      <c r="J1644" s="19" t="n">
        <v>49.2</v>
      </c>
      <c r="K1644" s="39" t="n">
        <v>460000</v>
      </c>
      <c r="L1644" s="39" t="n">
        <f aca="false">K1644/J1644</f>
        <v>9349.59349593496</v>
      </c>
      <c r="M1644" s="34"/>
      <c r="N1644" s="40"/>
      <c r="O1644" s="30" t="n">
        <f aca="false">K1644+N1644</f>
        <v>460000</v>
      </c>
      <c r="P1644" s="39" t="n">
        <f aca="false">O1644/J1644</f>
        <v>9349.59349593496</v>
      </c>
      <c r="Q1644" s="19" t="s">
        <v>1486</v>
      </c>
      <c r="R1644" s="22" t="s">
        <v>36</v>
      </c>
      <c r="S1644" s="19" t="s">
        <v>29</v>
      </c>
      <c r="T1644" s="19" t="s">
        <v>30</v>
      </c>
      <c r="U1644" s="19" t="s">
        <v>31</v>
      </c>
      <c r="V1644" s="41" t="n">
        <v>43697</v>
      </c>
      <c r="W1644" s="34" t="s">
        <v>2384</v>
      </c>
      <c r="X1644" s="18"/>
      <c r="Z1644" s="33"/>
    </row>
    <row r="1645" customFormat="false" ht="13.8" hidden="false" customHeight="false" outlineLevel="0" collapsed="false">
      <c r="A1645" s="18"/>
      <c r="B1645" s="19" t="s">
        <v>2385</v>
      </c>
      <c r="C1645" s="20" t="n">
        <v>43491</v>
      </c>
      <c r="D1645" s="38" t="s">
        <v>22</v>
      </c>
      <c r="E1645" s="22" t="s">
        <v>369</v>
      </c>
      <c r="F1645" s="23" t="s">
        <v>370</v>
      </c>
      <c r="G1645" s="22" t="s">
        <v>101</v>
      </c>
      <c r="H1645" s="24" t="s">
        <v>143</v>
      </c>
      <c r="I1645" s="24" t="n">
        <v>4</v>
      </c>
      <c r="J1645" s="25" t="n">
        <v>49.2</v>
      </c>
      <c r="K1645" s="26" t="n">
        <v>460000</v>
      </c>
      <c r="L1645" s="39" t="n">
        <f aca="false">K1645/J1645</f>
        <v>9349.59349593496</v>
      </c>
      <c r="M1645" s="34" t="s">
        <v>189</v>
      </c>
      <c r="N1645" s="34"/>
      <c r="O1645" s="30" t="n">
        <f aca="false">K1645+N1645</f>
        <v>460000</v>
      </c>
      <c r="P1645" s="39" t="n">
        <f aca="false">O1645/J1645</f>
        <v>9349.59349593496</v>
      </c>
      <c r="Q1645" s="58"/>
      <c r="R1645" s="57" t="n">
        <v>4</v>
      </c>
      <c r="S1645" s="19" t="s">
        <v>29</v>
      </c>
      <c r="T1645" s="19" t="s">
        <v>30</v>
      </c>
      <c r="U1645" s="19" t="s">
        <v>31</v>
      </c>
      <c r="V1645" s="22" t="s">
        <v>2184</v>
      </c>
      <c r="W1645" s="22"/>
      <c r="X1645" s="22"/>
      <c r="AMJ1645" s="32"/>
    </row>
    <row r="1646" s="32" customFormat="true" ht="13.8" hidden="false" customHeight="false" outlineLevel="0" collapsed="false">
      <c r="A1646" s="34"/>
      <c r="B1646" s="19" t="n">
        <v>330</v>
      </c>
      <c r="C1646" s="20" t="n">
        <v>43493</v>
      </c>
      <c r="D1646" s="38" t="s">
        <v>22</v>
      </c>
      <c r="E1646" s="22" t="s">
        <v>156</v>
      </c>
      <c r="F1646" s="34" t="s">
        <v>2225</v>
      </c>
      <c r="G1646" s="19" t="n">
        <v>33</v>
      </c>
      <c r="H1646" s="19" t="n">
        <v>15</v>
      </c>
      <c r="I1646" s="19" t="n">
        <v>2</v>
      </c>
      <c r="J1646" s="19" t="n">
        <v>37.92</v>
      </c>
      <c r="K1646" s="39" t="n">
        <v>360000</v>
      </c>
      <c r="L1646" s="39" t="n">
        <f aca="false">K1646/J1646</f>
        <v>9493.67088607595</v>
      </c>
      <c r="M1646" s="34" t="s">
        <v>2386</v>
      </c>
      <c r="N1646" s="40"/>
      <c r="O1646" s="30" t="n">
        <f aca="false">K1646+N1646</f>
        <v>360000</v>
      </c>
      <c r="P1646" s="39" t="n">
        <f aca="false">O1646/J1646</f>
        <v>9493.67088607595</v>
      </c>
      <c r="Q1646" s="19" t="s">
        <v>2387</v>
      </c>
      <c r="R1646" s="22" t="s">
        <v>36</v>
      </c>
      <c r="S1646" s="19" t="s">
        <v>29</v>
      </c>
      <c r="T1646" s="19" t="s">
        <v>30</v>
      </c>
      <c r="U1646" s="19" t="s">
        <v>31</v>
      </c>
      <c r="V1646" s="41" t="n">
        <v>43698</v>
      </c>
      <c r="W1646" s="34" t="s">
        <v>2388</v>
      </c>
      <c r="X1646" s="18"/>
    </row>
    <row r="1647" customFormat="false" ht="13.8" hidden="false" customHeight="false" outlineLevel="0" collapsed="false">
      <c r="A1647" s="34"/>
      <c r="B1647" s="19" t="n">
        <v>1355</v>
      </c>
      <c r="C1647" s="20" t="n">
        <v>43493</v>
      </c>
      <c r="D1647" s="38" t="s">
        <v>22</v>
      </c>
      <c r="E1647" s="22" t="s">
        <v>667</v>
      </c>
      <c r="F1647" s="34" t="s">
        <v>1740</v>
      </c>
      <c r="G1647" s="19" t="n">
        <v>90</v>
      </c>
      <c r="H1647" s="19" t="n">
        <v>20</v>
      </c>
      <c r="I1647" s="19" t="n">
        <v>4</v>
      </c>
      <c r="J1647" s="19" t="n">
        <v>41.1</v>
      </c>
      <c r="K1647" s="39" t="n">
        <v>325000</v>
      </c>
      <c r="L1647" s="39" t="n">
        <f aca="false">K1647/J1647</f>
        <v>7907.54257907543</v>
      </c>
      <c r="M1647" s="34" t="s">
        <v>2108</v>
      </c>
      <c r="N1647" s="40"/>
      <c r="O1647" s="30" t="n">
        <f aca="false">K1647+N1647</f>
        <v>325000</v>
      </c>
      <c r="P1647" s="39" t="n">
        <f aca="false">O1647/J1647</f>
        <v>7907.54257907543</v>
      </c>
      <c r="Q1647" s="19" t="s">
        <v>1486</v>
      </c>
      <c r="R1647" s="22" t="s">
        <v>36</v>
      </c>
      <c r="S1647" s="19" t="s">
        <v>29</v>
      </c>
      <c r="T1647" s="19" t="s">
        <v>30</v>
      </c>
      <c r="U1647" s="19" t="s">
        <v>31</v>
      </c>
      <c r="V1647" s="41" t="n">
        <v>43697</v>
      </c>
      <c r="W1647" s="34" t="s">
        <v>2389</v>
      </c>
      <c r="X1647" s="18"/>
    </row>
    <row r="1648" customFormat="false" ht="13.8" hidden="false" customHeight="false" outlineLevel="0" collapsed="false">
      <c r="A1648" s="18"/>
      <c r="B1648" s="22" t="s">
        <v>2390</v>
      </c>
      <c r="C1648" s="20" t="n">
        <v>43493</v>
      </c>
      <c r="D1648" s="38" t="s">
        <v>22</v>
      </c>
      <c r="E1648" s="22" t="s">
        <v>667</v>
      </c>
      <c r="F1648" s="23" t="s">
        <v>2391</v>
      </c>
      <c r="G1648" s="22" t="s">
        <v>250</v>
      </c>
      <c r="H1648" s="22" t="s">
        <v>95</v>
      </c>
      <c r="I1648" s="22" t="n">
        <v>4</v>
      </c>
      <c r="J1648" s="25" t="n">
        <v>41.1</v>
      </c>
      <c r="K1648" s="26" t="n">
        <v>325000</v>
      </c>
      <c r="L1648" s="39" t="n">
        <f aca="false">K1648/J1648</f>
        <v>7907.54257907543</v>
      </c>
      <c r="M1648" s="34" t="s">
        <v>189</v>
      </c>
      <c r="N1648" s="34"/>
      <c r="O1648" s="30" t="n">
        <f aca="false">K1648+N1648</f>
        <v>325000</v>
      </c>
      <c r="P1648" s="39" t="n">
        <f aca="false">O1648/J1648</f>
        <v>7907.54257907543</v>
      </c>
      <c r="Q1648" s="58"/>
      <c r="R1648" s="57" t="n">
        <v>1</v>
      </c>
      <c r="S1648" s="19" t="s">
        <v>29</v>
      </c>
      <c r="T1648" s="19" t="s">
        <v>30</v>
      </c>
      <c r="U1648" s="19" t="s">
        <v>31</v>
      </c>
      <c r="V1648" s="22" t="s">
        <v>2184</v>
      </c>
      <c r="W1648" s="22"/>
      <c r="X1648" s="22"/>
    </row>
    <row r="1649" customFormat="false" ht="13.8" hidden="false" customHeight="false" outlineLevel="0" collapsed="false">
      <c r="A1649" s="34"/>
      <c r="B1649" s="19" t="n">
        <v>514</v>
      </c>
      <c r="C1649" s="20" t="n">
        <v>43494</v>
      </c>
      <c r="D1649" s="38" t="s">
        <v>22</v>
      </c>
      <c r="E1649" s="22" t="s">
        <v>72</v>
      </c>
      <c r="F1649" s="34" t="s">
        <v>94</v>
      </c>
      <c r="G1649" s="22" t="s">
        <v>683</v>
      </c>
      <c r="H1649" s="19" t="n">
        <v>53</v>
      </c>
      <c r="I1649" s="19" t="n">
        <v>2</v>
      </c>
      <c r="J1649" s="19" t="n">
        <v>40.48</v>
      </c>
      <c r="K1649" s="39" t="n">
        <v>360000</v>
      </c>
      <c r="L1649" s="39" t="n">
        <f aca="false">K1649/J1649</f>
        <v>8893.28063241107</v>
      </c>
      <c r="M1649" s="34"/>
      <c r="N1649" s="40"/>
      <c r="O1649" s="30" t="n">
        <f aca="false">K1649+N1649</f>
        <v>360000</v>
      </c>
      <c r="P1649" s="39" t="n">
        <f aca="false">O1649/J1649</f>
        <v>8893.28063241107</v>
      </c>
      <c r="Q1649" s="19" t="s">
        <v>2392</v>
      </c>
      <c r="R1649" s="22" t="s">
        <v>27</v>
      </c>
      <c r="S1649" s="19" t="s">
        <v>29</v>
      </c>
      <c r="T1649" s="19" t="s">
        <v>30</v>
      </c>
      <c r="U1649" s="19" t="s">
        <v>31</v>
      </c>
      <c r="V1649" s="41" t="n">
        <v>43697</v>
      </c>
      <c r="W1649" s="34" t="s">
        <v>2393</v>
      </c>
      <c r="X1649" s="18"/>
    </row>
    <row r="1650" customFormat="false" ht="13.8" hidden="false" customHeight="false" outlineLevel="0" collapsed="false">
      <c r="A1650" s="34"/>
      <c r="B1650" s="19" t="n">
        <v>1563</v>
      </c>
      <c r="C1650" s="20" t="n">
        <v>43494</v>
      </c>
      <c r="D1650" s="38" t="s">
        <v>22</v>
      </c>
      <c r="E1650" s="22" t="s">
        <v>156</v>
      </c>
      <c r="F1650" s="34" t="s">
        <v>2225</v>
      </c>
      <c r="G1650" s="19" t="n">
        <v>29</v>
      </c>
      <c r="H1650" s="19" t="n">
        <v>12</v>
      </c>
      <c r="I1650" s="19" t="n">
        <v>2</v>
      </c>
      <c r="J1650" s="19" t="n">
        <v>43.97</v>
      </c>
      <c r="K1650" s="39" t="n">
        <v>280000</v>
      </c>
      <c r="L1650" s="39" t="n">
        <f aca="false">K1650/J1650</f>
        <v>6367.978166932</v>
      </c>
      <c r="M1650" s="34" t="s">
        <v>2394</v>
      </c>
      <c r="N1650" s="40"/>
      <c r="O1650" s="30" t="n">
        <f aca="false">K1650+N1650</f>
        <v>280000</v>
      </c>
      <c r="P1650" s="39" t="n">
        <f aca="false">O1650/J1650</f>
        <v>6367.978166932</v>
      </c>
      <c r="Q1650" s="19" t="s">
        <v>2395</v>
      </c>
      <c r="R1650" s="22" t="s">
        <v>36</v>
      </c>
      <c r="S1650" s="19" t="s">
        <v>29</v>
      </c>
      <c r="T1650" s="19" t="s">
        <v>30</v>
      </c>
      <c r="U1650" s="19" t="s">
        <v>31</v>
      </c>
      <c r="V1650" s="41" t="n">
        <v>43698</v>
      </c>
      <c r="W1650" s="34" t="s">
        <v>2396</v>
      </c>
      <c r="X1650" s="18"/>
    </row>
    <row r="1651" customFormat="false" ht="13.8" hidden="false" customHeight="false" outlineLevel="0" collapsed="false">
      <c r="A1651" s="34"/>
      <c r="B1651" s="19" t="n">
        <v>561</v>
      </c>
      <c r="C1651" s="20" t="n">
        <v>43494</v>
      </c>
      <c r="D1651" s="38" t="s">
        <v>22</v>
      </c>
      <c r="E1651" s="22" t="s">
        <v>203</v>
      </c>
      <c r="F1651" s="34" t="s">
        <v>138</v>
      </c>
      <c r="G1651" s="19" t="n">
        <v>8</v>
      </c>
      <c r="H1651" s="19" t="n">
        <v>1201</v>
      </c>
      <c r="I1651" s="19" t="n">
        <v>13</v>
      </c>
      <c r="J1651" s="19" t="n">
        <v>43.41</v>
      </c>
      <c r="K1651" s="39" t="n">
        <v>550000</v>
      </c>
      <c r="L1651" s="39" t="n">
        <f aca="false">K1651/J1651</f>
        <v>12669.8917300161</v>
      </c>
      <c r="M1651" s="34"/>
      <c r="N1651" s="40"/>
      <c r="O1651" s="30" t="n">
        <f aca="false">K1651+N1651</f>
        <v>550000</v>
      </c>
      <c r="P1651" s="39" t="n">
        <f aca="false">O1651/J1651</f>
        <v>12669.8917300161</v>
      </c>
      <c r="Q1651" s="19" t="s">
        <v>2336</v>
      </c>
      <c r="R1651" s="22" t="s">
        <v>27</v>
      </c>
      <c r="S1651" s="19" t="s">
        <v>29</v>
      </c>
      <c r="T1651" s="19" t="s">
        <v>30</v>
      </c>
      <c r="U1651" s="19" t="s">
        <v>31</v>
      </c>
      <c r="V1651" s="41" t="n">
        <v>43698</v>
      </c>
      <c r="W1651" s="34" t="s">
        <v>1537</v>
      </c>
      <c r="X1651" s="18"/>
    </row>
    <row r="1652" customFormat="false" ht="13.8" hidden="false" customHeight="false" outlineLevel="0" collapsed="false">
      <c r="A1652" s="34"/>
      <c r="B1652" s="19" t="n">
        <v>780</v>
      </c>
      <c r="C1652" s="20" t="n">
        <v>43494</v>
      </c>
      <c r="D1652" s="38" t="s">
        <v>22</v>
      </c>
      <c r="E1652" s="22" t="s">
        <v>322</v>
      </c>
      <c r="F1652" s="34" t="s">
        <v>323</v>
      </c>
      <c r="G1652" s="19" t="n">
        <v>4</v>
      </c>
      <c r="H1652" s="19" t="n">
        <v>91</v>
      </c>
      <c r="I1652" s="19" t="n">
        <v>6</v>
      </c>
      <c r="J1652" s="19" t="n">
        <v>39.77</v>
      </c>
      <c r="K1652" s="39" t="n">
        <v>456585</v>
      </c>
      <c r="L1652" s="39" t="n">
        <f aca="false">K1652/J1652</f>
        <v>11480.6386723661</v>
      </c>
      <c r="M1652" s="34"/>
      <c r="N1652" s="40"/>
      <c r="O1652" s="30" t="n">
        <f aca="false">K1652+N1652</f>
        <v>456585</v>
      </c>
      <c r="P1652" s="39" t="n">
        <f aca="false">O1652/J1652</f>
        <v>11480.6386723661</v>
      </c>
      <c r="Q1652" s="19" t="s">
        <v>2397</v>
      </c>
      <c r="R1652" s="22" t="s">
        <v>36</v>
      </c>
      <c r="S1652" s="19" t="s">
        <v>29</v>
      </c>
      <c r="T1652" s="19" t="s">
        <v>30</v>
      </c>
      <c r="U1652" s="19" t="s">
        <v>31</v>
      </c>
      <c r="V1652" s="41" t="n">
        <v>43698</v>
      </c>
      <c r="W1652" s="34" t="s">
        <v>2398</v>
      </c>
      <c r="X1652" s="18"/>
    </row>
    <row r="1653" customFormat="false" ht="13.8" hidden="false" customHeight="false" outlineLevel="0" collapsed="false">
      <c r="A1653" s="34"/>
      <c r="B1653" s="19" t="n">
        <v>798</v>
      </c>
      <c r="C1653" s="20" t="n">
        <v>43494</v>
      </c>
      <c r="D1653" s="38" t="s">
        <v>22</v>
      </c>
      <c r="E1653" s="22" t="s">
        <v>322</v>
      </c>
      <c r="F1653" s="34" t="s">
        <v>323</v>
      </c>
      <c r="G1653" s="19" t="n">
        <v>4</v>
      </c>
      <c r="H1653" s="19" t="n">
        <v>95</v>
      </c>
      <c r="I1653" s="19" t="n">
        <v>7</v>
      </c>
      <c r="J1653" s="19" t="n">
        <v>39.75</v>
      </c>
      <c r="K1653" s="39" t="n">
        <v>465375</v>
      </c>
      <c r="L1653" s="39" t="n">
        <f aca="false">K1653/J1653</f>
        <v>11707.5471698113</v>
      </c>
      <c r="M1653" s="34"/>
      <c r="N1653" s="40"/>
      <c r="O1653" s="30" t="n">
        <f aca="false">K1653+N1653</f>
        <v>465375</v>
      </c>
      <c r="P1653" s="39" t="n">
        <f aca="false">O1653/J1653</f>
        <v>11707.5471698113</v>
      </c>
      <c r="Q1653" s="19" t="s">
        <v>2399</v>
      </c>
      <c r="R1653" s="22" t="s">
        <v>36</v>
      </c>
      <c r="S1653" s="19" t="s">
        <v>29</v>
      </c>
      <c r="T1653" s="19" t="s">
        <v>30</v>
      </c>
      <c r="U1653" s="19" t="s">
        <v>31</v>
      </c>
      <c r="V1653" s="41" t="n">
        <v>43698</v>
      </c>
      <c r="W1653" s="34" t="s">
        <v>2400</v>
      </c>
      <c r="X1653" s="18"/>
    </row>
    <row r="1654" customFormat="false" ht="13.8" hidden="false" customHeight="false" outlineLevel="0" collapsed="false">
      <c r="A1654" s="34"/>
      <c r="B1654" s="19" t="n">
        <v>544</v>
      </c>
      <c r="C1654" s="20" t="n">
        <v>43494</v>
      </c>
      <c r="D1654" s="38" t="s">
        <v>22</v>
      </c>
      <c r="E1654" s="22" t="s">
        <v>190</v>
      </c>
      <c r="F1654" s="34" t="s">
        <v>38</v>
      </c>
      <c r="G1654" s="22" t="s">
        <v>836</v>
      </c>
      <c r="H1654" s="19" t="n">
        <v>24</v>
      </c>
      <c r="I1654" s="19" t="n">
        <v>4</v>
      </c>
      <c r="J1654" s="19" t="n">
        <v>36.4</v>
      </c>
      <c r="K1654" s="39" t="n">
        <v>291000</v>
      </c>
      <c r="L1654" s="39" t="n">
        <f aca="false">K1654/J1654</f>
        <v>7994.50549450549</v>
      </c>
      <c r="M1654" s="34"/>
      <c r="N1654" s="40"/>
      <c r="O1654" s="30" t="n">
        <f aca="false">K1654+N1654</f>
        <v>291000</v>
      </c>
      <c r="P1654" s="39" t="n">
        <f aca="false">O1654/J1654</f>
        <v>7994.50549450549</v>
      </c>
      <c r="Q1654" s="19" t="s">
        <v>2401</v>
      </c>
      <c r="R1654" s="22" t="s">
        <v>36</v>
      </c>
      <c r="S1654" s="19" t="s">
        <v>29</v>
      </c>
      <c r="T1654" s="19" t="s">
        <v>30</v>
      </c>
      <c r="U1654" s="19" t="s">
        <v>31</v>
      </c>
      <c r="V1654" s="41" t="n">
        <v>43698</v>
      </c>
      <c r="W1654" s="34" t="s">
        <v>2402</v>
      </c>
      <c r="X1654" s="18"/>
    </row>
    <row r="1655" customFormat="false" ht="13.8" hidden="false" customHeight="false" outlineLevel="0" collapsed="false">
      <c r="A1655" s="34"/>
      <c r="B1655" s="19" t="n">
        <v>575</v>
      </c>
      <c r="C1655" s="20" t="n">
        <v>43494</v>
      </c>
      <c r="D1655" s="38" t="s">
        <v>22</v>
      </c>
      <c r="E1655" s="22" t="s">
        <v>287</v>
      </c>
      <c r="F1655" s="34" t="s">
        <v>288</v>
      </c>
      <c r="G1655" s="22" t="s">
        <v>1744</v>
      </c>
      <c r="H1655" s="19" t="n">
        <v>8</v>
      </c>
      <c r="I1655" s="19" t="n">
        <v>3</v>
      </c>
      <c r="J1655" s="19" t="n">
        <v>23.23</v>
      </c>
      <c r="K1655" s="39" t="n">
        <v>269000</v>
      </c>
      <c r="L1655" s="39" t="n">
        <f aca="false">K1655/J1655</f>
        <v>11579.8536375377</v>
      </c>
      <c r="M1655" s="34" t="s">
        <v>1873</v>
      </c>
      <c r="N1655" s="40"/>
      <c r="O1655" s="30" t="n">
        <f aca="false">K1655+N1655</f>
        <v>269000</v>
      </c>
      <c r="P1655" s="39" t="n">
        <f aca="false">O1655/J1655</f>
        <v>11579.8536375377</v>
      </c>
      <c r="Q1655" s="19" t="s">
        <v>1320</v>
      </c>
      <c r="R1655" s="22" t="s">
        <v>27</v>
      </c>
      <c r="S1655" s="19" t="s">
        <v>29</v>
      </c>
      <c r="T1655" s="19" t="s">
        <v>30</v>
      </c>
      <c r="U1655" s="19" t="s">
        <v>31</v>
      </c>
      <c r="V1655" s="41" t="n">
        <v>43697</v>
      </c>
      <c r="W1655" s="34" t="s">
        <v>2403</v>
      </c>
      <c r="X1655" s="18"/>
    </row>
    <row r="1656" customFormat="false" ht="13.8" hidden="false" customHeight="false" outlineLevel="0" collapsed="false">
      <c r="A1656" s="18"/>
      <c r="B1656" s="22" t="s">
        <v>2404</v>
      </c>
      <c r="C1656" s="20" t="n">
        <v>43494</v>
      </c>
      <c r="D1656" s="38" t="s">
        <v>22</v>
      </c>
      <c r="E1656" s="22" t="s">
        <v>72</v>
      </c>
      <c r="F1656" s="42" t="s">
        <v>1881</v>
      </c>
      <c r="G1656" s="22" t="s">
        <v>683</v>
      </c>
      <c r="H1656" s="22" t="s">
        <v>380</v>
      </c>
      <c r="I1656" s="22" t="n">
        <v>2</v>
      </c>
      <c r="J1656" s="25" t="n">
        <v>40.48</v>
      </c>
      <c r="K1656" s="26" t="n">
        <v>360000</v>
      </c>
      <c r="L1656" s="39" t="n">
        <f aca="false">K1656/J1656</f>
        <v>8893.28063241107</v>
      </c>
      <c r="M1656" s="34"/>
      <c r="N1656" s="34"/>
      <c r="O1656" s="30" t="n">
        <f aca="false">K1656+N1656</f>
        <v>360000</v>
      </c>
      <c r="P1656" s="39" t="n">
        <f aca="false">O1656/J1656</f>
        <v>8893.28063241107</v>
      </c>
      <c r="Q1656" s="58"/>
      <c r="R1656" s="57" t="n">
        <v>8</v>
      </c>
      <c r="S1656" s="19" t="s">
        <v>29</v>
      </c>
      <c r="T1656" s="19" t="s">
        <v>30</v>
      </c>
      <c r="U1656" s="19" t="s">
        <v>31</v>
      </c>
      <c r="V1656" s="22" t="s">
        <v>2184</v>
      </c>
      <c r="W1656" s="22"/>
      <c r="X1656" s="22"/>
    </row>
    <row r="1657" customFormat="false" ht="13.8" hidden="false" customHeight="false" outlineLevel="0" collapsed="false">
      <c r="A1657" s="34"/>
      <c r="B1657" s="19" t="n">
        <v>212</v>
      </c>
      <c r="C1657" s="20" t="n">
        <v>43494</v>
      </c>
      <c r="D1657" s="38" t="s">
        <v>22</v>
      </c>
      <c r="E1657" s="22" t="s">
        <v>302</v>
      </c>
      <c r="F1657" s="34" t="s">
        <v>641</v>
      </c>
      <c r="G1657" s="19" t="n">
        <v>21</v>
      </c>
      <c r="H1657" s="19" t="n">
        <v>2</v>
      </c>
      <c r="I1657" s="19" t="n">
        <v>5</v>
      </c>
      <c r="J1657" s="19" t="n">
        <v>49.55</v>
      </c>
      <c r="K1657" s="39" t="n">
        <v>484000</v>
      </c>
      <c r="L1657" s="39" t="n">
        <f aca="false">K1657/J1657</f>
        <v>9767.91120080727</v>
      </c>
      <c r="M1657" s="34"/>
      <c r="N1657" s="40"/>
      <c r="O1657" s="30" t="n">
        <f aca="false">K1657+N1657</f>
        <v>484000</v>
      </c>
      <c r="P1657" s="39" t="n">
        <f aca="false">O1657/J1657</f>
        <v>9767.91120080727</v>
      </c>
      <c r="Q1657" s="19" t="s">
        <v>2405</v>
      </c>
      <c r="R1657" s="22" t="s">
        <v>36</v>
      </c>
      <c r="S1657" s="19" t="s">
        <v>29</v>
      </c>
      <c r="T1657" s="19" t="s">
        <v>30</v>
      </c>
      <c r="U1657" s="19" t="s">
        <v>31</v>
      </c>
      <c r="V1657" s="41" t="n">
        <v>43698</v>
      </c>
      <c r="W1657" s="34" t="s">
        <v>2406</v>
      </c>
      <c r="X1657" s="18"/>
    </row>
    <row r="1658" customFormat="false" ht="13.8" hidden="false" customHeight="false" outlineLevel="0" collapsed="false">
      <c r="A1658" s="34"/>
      <c r="B1658" s="19" t="n">
        <v>672</v>
      </c>
      <c r="C1658" s="20" t="n">
        <v>43494</v>
      </c>
      <c r="D1658" s="38" t="s">
        <v>22</v>
      </c>
      <c r="E1658" s="22" t="s">
        <v>86</v>
      </c>
      <c r="F1658" s="34" t="s">
        <v>342</v>
      </c>
      <c r="G1658" s="19" t="n">
        <v>13</v>
      </c>
      <c r="H1658" s="19" t="n">
        <v>3</v>
      </c>
      <c r="I1658" s="19" t="n">
        <v>2</v>
      </c>
      <c r="J1658" s="19" t="n">
        <v>50.5</v>
      </c>
      <c r="K1658" s="39" t="n">
        <v>483000</v>
      </c>
      <c r="L1658" s="39" t="n">
        <f aca="false">K1658/J1658</f>
        <v>9564.35643564356</v>
      </c>
      <c r="M1658" s="34" t="s">
        <v>2407</v>
      </c>
      <c r="N1658" s="40"/>
      <c r="O1658" s="30" t="n">
        <f aca="false">K1658+N1658</f>
        <v>483000</v>
      </c>
      <c r="P1658" s="39" t="n">
        <f aca="false">O1658/J1658</f>
        <v>9564.35643564356</v>
      </c>
      <c r="Q1658" s="19" t="s">
        <v>1573</v>
      </c>
      <c r="R1658" s="22" t="s">
        <v>26</v>
      </c>
      <c r="S1658" s="19" t="s">
        <v>29</v>
      </c>
      <c r="T1658" s="19" t="s">
        <v>30</v>
      </c>
      <c r="U1658" s="19" t="s">
        <v>31</v>
      </c>
      <c r="V1658" s="41" t="n">
        <v>43697</v>
      </c>
      <c r="W1658" s="34" t="s">
        <v>2408</v>
      </c>
      <c r="X1658" s="34"/>
    </row>
    <row r="1659" customFormat="false" ht="13.8" hidden="false" customHeight="false" outlineLevel="0" collapsed="false">
      <c r="A1659" s="18"/>
      <c r="B1659" s="22" t="s">
        <v>2409</v>
      </c>
      <c r="C1659" s="20" t="n">
        <v>43494</v>
      </c>
      <c r="D1659" s="38" t="s">
        <v>22</v>
      </c>
      <c r="E1659" s="22" t="s">
        <v>399</v>
      </c>
      <c r="F1659" s="23" t="s">
        <v>503</v>
      </c>
      <c r="G1659" s="22" t="s">
        <v>25</v>
      </c>
      <c r="H1659" s="22" t="s">
        <v>181</v>
      </c>
      <c r="I1659" s="22" t="n">
        <v>5</v>
      </c>
      <c r="J1659" s="25" t="n">
        <v>45.11</v>
      </c>
      <c r="K1659" s="26" t="n">
        <v>535000</v>
      </c>
      <c r="L1659" s="39" t="n">
        <f aca="false">K1659/J1659</f>
        <v>11859.898027045</v>
      </c>
      <c r="M1659" s="34" t="s">
        <v>189</v>
      </c>
      <c r="N1659" s="34"/>
      <c r="O1659" s="30" t="n">
        <f aca="false">K1659+N1659</f>
        <v>535000</v>
      </c>
      <c r="P1659" s="39" t="n">
        <f aca="false">O1659/J1659</f>
        <v>11859.898027045</v>
      </c>
      <c r="Q1659" s="28"/>
      <c r="R1659" s="55" t="n">
        <v>5</v>
      </c>
      <c r="S1659" s="19" t="s">
        <v>29</v>
      </c>
      <c r="T1659" s="19" t="s">
        <v>30</v>
      </c>
      <c r="U1659" s="19" t="s">
        <v>31</v>
      </c>
      <c r="V1659" s="22" t="s">
        <v>2184</v>
      </c>
      <c r="W1659" s="53"/>
      <c r="X1659" s="25"/>
      <c r="Y1659" s="35"/>
      <c r="Z1659" s="43"/>
    </row>
    <row r="1660" customFormat="false" ht="13.8" hidden="false" customHeight="false" outlineLevel="0" collapsed="false">
      <c r="A1660" s="34"/>
      <c r="B1660" s="19" t="n">
        <v>578</v>
      </c>
      <c r="C1660" s="20" t="n">
        <v>43494</v>
      </c>
      <c r="D1660" s="38" t="s">
        <v>22</v>
      </c>
      <c r="E1660" s="22" t="s">
        <v>399</v>
      </c>
      <c r="F1660" s="34" t="s">
        <v>503</v>
      </c>
      <c r="G1660" s="19" t="n">
        <v>6</v>
      </c>
      <c r="H1660" s="19" t="n">
        <v>34</v>
      </c>
      <c r="I1660" s="19" t="n">
        <v>5</v>
      </c>
      <c r="J1660" s="19" t="n">
        <v>47.95</v>
      </c>
      <c r="K1660" s="39" t="n">
        <v>535000</v>
      </c>
      <c r="L1660" s="39" t="n">
        <f aca="false">K1660/J1660</f>
        <v>11157.4556830031</v>
      </c>
      <c r="M1660" s="34" t="s">
        <v>2410</v>
      </c>
      <c r="N1660" s="40" t="n">
        <v>40000</v>
      </c>
      <c r="O1660" s="30" t="n">
        <f aca="false">K1660+N1660</f>
        <v>575000</v>
      </c>
      <c r="P1660" s="39" t="n">
        <f aca="false">O1660/J1660</f>
        <v>11991.6579770594</v>
      </c>
      <c r="Q1660" s="19" t="s">
        <v>1486</v>
      </c>
      <c r="R1660" s="22" t="s">
        <v>36</v>
      </c>
      <c r="S1660" s="19" t="s">
        <v>29</v>
      </c>
      <c r="T1660" s="19" t="s">
        <v>30</v>
      </c>
      <c r="U1660" s="19" t="s">
        <v>31</v>
      </c>
      <c r="V1660" s="41" t="n">
        <v>43697</v>
      </c>
      <c r="W1660" s="34" t="s">
        <v>2411</v>
      </c>
      <c r="X1660" s="18"/>
    </row>
    <row r="1661" customFormat="false" ht="13.8" hidden="false" customHeight="false" outlineLevel="0" collapsed="false">
      <c r="A1661" s="34"/>
      <c r="B1661" s="22" t="s">
        <v>2412</v>
      </c>
      <c r="C1661" s="20" t="n">
        <v>43495</v>
      </c>
      <c r="D1661" s="38" t="s">
        <v>22</v>
      </c>
      <c r="E1661" s="22" t="s">
        <v>144</v>
      </c>
      <c r="F1661" s="42" t="s">
        <v>2224</v>
      </c>
      <c r="G1661" s="22" t="s">
        <v>115</v>
      </c>
      <c r="H1661" s="22" t="s">
        <v>112</v>
      </c>
      <c r="I1661" s="22" t="n">
        <v>4</v>
      </c>
      <c r="J1661" s="25" t="n">
        <v>92.65</v>
      </c>
      <c r="K1661" s="26" t="n">
        <v>760000</v>
      </c>
      <c r="L1661" s="39" t="n">
        <f aca="false">K1661/J1661</f>
        <v>8202.91419320022</v>
      </c>
      <c r="M1661" s="34" t="s">
        <v>189</v>
      </c>
      <c r="N1661" s="34"/>
      <c r="O1661" s="30" t="n">
        <f aca="false">K1661+N1661</f>
        <v>760000</v>
      </c>
      <c r="P1661" s="39" t="n">
        <f aca="false">O1661/J1661</f>
        <v>8202.91419320022</v>
      </c>
      <c r="Q1661" s="60"/>
      <c r="R1661" s="55" t="n">
        <v>4</v>
      </c>
      <c r="S1661" s="19" t="s">
        <v>29</v>
      </c>
      <c r="T1661" s="19" t="s">
        <v>30</v>
      </c>
      <c r="U1661" s="19" t="s">
        <v>31</v>
      </c>
      <c r="V1661" s="22" t="s">
        <v>2184</v>
      </c>
      <c r="W1661" s="22"/>
      <c r="X1661" s="22"/>
    </row>
    <row r="1662" customFormat="false" ht="13.8" hidden="false" customHeight="false" outlineLevel="0" collapsed="false">
      <c r="A1662" s="34"/>
      <c r="B1662" s="19" t="s">
        <v>887</v>
      </c>
      <c r="C1662" s="20" t="n">
        <v>43495</v>
      </c>
      <c r="D1662" s="38" t="s">
        <v>22</v>
      </c>
      <c r="E1662" s="22" t="s">
        <v>212</v>
      </c>
      <c r="F1662" s="45" t="s">
        <v>94</v>
      </c>
      <c r="G1662" s="19" t="n">
        <v>15</v>
      </c>
      <c r="H1662" s="19"/>
      <c r="I1662" s="19" t="n">
        <v>16</v>
      </c>
      <c r="J1662" s="25" t="n">
        <v>58.3</v>
      </c>
      <c r="K1662" s="39" t="n">
        <v>420000</v>
      </c>
      <c r="L1662" s="39" t="n">
        <f aca="false">K1662/J1662</f>
        <v>7204.1166380789</v>
      </c>
      <c r="M1662" s="18"/>
      <c r="N1662" s="40"/>
      <c r="O1662" s="30" t="n">
        <f aca="false">K1662+N1662</f>
        <v>420000</v>
      </c>
      <c r="P1662" s="39" t="n">
        <f aca="false">O1662/J1662</f>
        <v>7204.1166380789</v>
      </c>
      <c r="Q1662" s="19" t="s">
        <v>889</v>
      </c>
      <c r="R1662" s="19" t="n">
        <v>4</v>
      </c>
      <c r="S1662" s="19" t="s">
        <v>890</v>
      </c>
      <c r="T1662" s="19"/>
      <c r="U1662" s="19" t="s">
        <v>31</v>
      </c>
      <c r="V1662" s="41" t="n">
        <v>43727</v>
      </c>
      <c r="W1662" s="18"/>
      <c r="X1662" s="18"/>
    </row>
    <row r="1663" customFormat="false" ht="13.8" hidden="false" customHeight="false" outlineLevel="0" collapsed="false">
      <c r="A1663" s="34"/>
      <c r="B1663" s="19" t="n">
        <v>594</v>
      </c>
      <c r="C1663" s="20" t="n">
        <v>43495</v>
      </c>
      <c r="D1663" s="38" t="s">
        <v>22</v>
      </c>
      <c r="E1663" s="22" t="s">
        <v>212</v>
      </c>
      <c r="F1663" s="34" t="s">
        <v>94</v>
      </c>
      <c r="G1663" s="22" t="s">
        <v>848</v>
      </c>
      <c r="H1663" s="19" t="n">
        <v>89</v>
      </c>
      <c r="I1663" s="19" t="n">
        <v>16</v>
      </c>
      <c r="J1663" s="19" t="n">
        <v>57.1</v>
      </c>
      <c r="K1663" s="39" t="n">
        <v>420000</v>
      </c>
      <c r="L1663" s="39" t="n">
        <f aca="false">K1663/J1663</f>
        <v>7355.51663747811</v>
      </c>
      <c r="M1663" s="18"/>
      <c r="N1663" s="40"/>
      <c r="O1663" s="30" t="n">
        <f aca="false">K1663+N1663</f>
        <v>420000</v>
      </c>
      <c r="P1663" s="39" t="n">
        <f aca="false">O1663/J1663</f>
        <v>7355.51663747811</v>
      </c>
      <c r="Q1663" s="19" t="s">
        <v>2413</v>
      </c>
      <c r="R1663" s="22" t="s">
        <v>26</v>
      </c>
      <c r="S1663" s="19" t="s">
        <v>29</v>
      </c>
      <c r="T1663" s="19" t="s">
        <v>30</v>
      </c>
      <c r="U1663" s="19" t="s">
        <v>31</v>
      </c>
      <c r="V1663" s="41" t="n">
        <v>43698</v>
      </c>
      <c r="W1663" s="34" t="s">
        <v>2414</v>
      </c>
      <c r="X1663" s="18"/>
    </row>
    <row r="1664" customFormat="false" ht="13.8" hidden="false" customHeight="false" outlineLevel="0" collapsed="false">
      <c r="A1664" s="34"/>
      <c r="B1664" s="19" t="n">
        <v>650</v>
      </c>
      <c r="C1664" s="20" t="n">
        <v>43495</v>
      </c>
      <c r="D1664" s="38" t="s">
        <v>22</v>
      </c>
      <c r="E1664" s="22" t="s">
        <v>375</v>
      </c>
      <c r="F1664" s="34" t="s">
        <v>376</v>
      </c>
      <c r="G1664" s="19" t="n">
        <v>2</v>
      </c>
      <c r="H1664" s="19" t="n">
        <v>32</v>
      </c>
      <c r="I1664" s="19" t="n">
        <v>5</v>
      </c>
      <c r="J1664" s="19" t="n">
        <v>115.73</v>
      </c>
      <c r="K1664" s="39" t="n">
        <v>1600000</v>
      </c>
      <c r="L1664" s="39" t="n">
        <f aca="false">K1664/J1664</f>
        <v>13825.2829862611</v>
      </c>
      <c r="M1664" s="18"/>
      <c r="N1664" s="40"/>
      <c r="O1664" s="30" t="n">
        <f aca="false">K1664+N1664</f>
        <v>1600000</v>
      </c>
      <c r="P1664" s="39" t="n">
        <f aca="false">O1664/J1664</f>
        <v>13825.2829862611</v>
      </c>
      <c r="Q1664" s="19" t="s">
        <v>2415</v>
      </c>
      <c r="R1664" s="22" t="s">
        <v>26</v>
      </c>
      <c r="S1664" s="19" t="s">
        <v>29</v>
      </c>
      <c r="T1664" s="19" t="s">
        <v>30</v>
      </c>
      <c r="U1664" s="19" t="s">
        <v>31</v>
      </c>
      <c r="V1664" s="41" t="n">
        <v>43697</v>
      </c>
      <c r="W1664" s="34" t="s">
        <v>2416</v>
      </c>
      <c r="X1664" s="18"/>
    </row>
    <row r="1665" customFormat="false" ht="13.8" hidden="false" customHeight="false" outlineLevel="0" collapsed="false">
      <c r="A1665" s="34"/>
      <c r="B1665" s="19" t="n">
        <v>150</v>
      </c>
      <c r="C1665" s="20" t="n">
        <v>43495</v>
      </c>
      <c r="D1665" s="38" t="s">
        <v>22</v>
      </c>
      <c r="E1665" s="22" t="s">
        <v>156</v>
      </c>
      <c r="F1665" s="34" t="s">
        <v>157</v>
      </c>
      <c r="G1665" s="19" t="n">
        <v>3</v>
      </c>
      <c r="H1665" s="19" t="n">
        <v>15</v>
      </c>
      <c r="I1665" s="19" t="n">
        <v>3</v>
      </c>
      <c r="J1665" s="19" t="n">
        <v>45.85</v>
      </c>
      <c r="K1665" s="39" t="n">
        <v>495000</v>
      </c>
      <c r="L1665" s="39" t="n">
        <f aca="false">K1665/J1665</f>
        <v>10796.0741548528</v>
      </c>
      <c r="M1665" s="18"/>
      <c r="N1665" s="40"/>
      <c r="O1665" s="30" t="n">
        <f aca="false">K1665+N1665</f>
        <v>495000</v>
      </c>
      <c r="P1665" s="39" t="n">
        <f aca="false">O1665/J1665</f>
        <v>10796.0741548528</v>
      </c>
      <c r="Q1665" s="19" t="s">
        <v>2417</v>
      </c>
      <c r="R1665" s="22" t="s">
        <v>36</v>
      </c>
      <c r="S1665" s="19" t="s">
        <v>29</v>
      </c>
      <c r="T1665" s="19" t="s">
        <v>30</v>
      </c>
      <c r="U1665" s="19" t="s">
        <v>31</v>
      </c>
      <c r="V1665" s="41" t="n">
        <v>43698</v>
      </c>
      <c r="W1665" s="34" t="s">
        <v>2418</v>
      </c>
      <c r="X1665" s="18"/>
      <c r="Z1665" s="33"/>
    </row>
    <row r="1666" customFormat="false" ht="13.8" hidden="false" customHeight="false" outlineLevel="0" collapsed="false">
      <c r="A1666" s="18"/>
      <c r="B1666" s="22" t="s">
        <v>2419</v>
      </c>
      <c r="C1666" s="20" t="n">
        <v>43495</v>
      </c>
      <c r="D1666" s="38" t="s">
        <v>22</v>
      </c>
      <c r="E1666" s="22" t="s">
        <v>156</v>
      </c>
      <c r="F1666" s="42" t="s">
        <v>2183</v>
      </c>
      <c r="G1666" s="22" t="s">
        <v>26</v>
      </c>
      <c r="H1666" s="22" t="s">
        <v>55</v>
      </c>
      <c r="I1666" s="22" t="n">
        <v>3</v>
      </c>
      <c r="J1666" s="25" t="n">
        <v>45.85</v>
      </c>
      <c r="K1666" s="26" t="n">
        <v>495000</v>
      </c>
      <c r="L1666" s="39" t="n">
        <f aca="false">K1666/J1666</f>
        <v>10796.0741548528</v>
      </c>
      <c r="M1666" s="18"/>
      <c r="N1666" s="54"/>
      <c r="O1666" s="30" t="n">
        <f aca="false">K1666+N1666</f>
        <v>495000</v>
      </c>
      <c r="P1666" s="39" t="n">
        <f aca="false">O1666/J1666</f>
        <v>10796.0741548528</v>
      </c>
      <c r="Q1666" s="28"/>
      <c r="R1666" s="55" t="n">
        <v>3</v>
      </c>
      <c r="S1666" s="19" t="s">
        <v>29</v>
      </c>
      <c r="T1666" s="19" t="s">
        <v>30</v>
      </c>
      <c r="U1666" s="19" t="s">
        <v>31</v>
      </c>
      <c r="V1666" s="22" t="s">
        <v>2184</v>
      </c>
      <c r="W1666" s="53"/>
      <c r="X1666" s="25"/>
    </row>
    <row r="1667" customFormat="false" ht="13.8" hidden="false" customHeight="false" outlineLevel="0" collapsed="false">
      <c r="A1667" s="34"/>
      <c r="B1667" s="19" t="n">
        <v>356</v>
      </c>
      <c r="C1667" s="20" t="n">
        <v>43495</v>
      </c>
      <c r="D1667" s="38" t="s">
        <v>22</v>
      </c>
      <c r="E1667" s="22" t="s">
        <v>203</v>
      </c>
      <c r="F1667" s="34" t="s">
        <v>138</v>
      </c>
      <c r="G1667" s="19" t="n">
        <v>12</v>
      </c>
      <c r="H1667" s="19" t="n">
        <v>109</v>
      </c>
      <c r="I1667" s="19" t="n">
        <v>2</v>
      </c>
      <c r="J1667" s="19" t="n">
        <v>45.37</v>
      </c>
      <c r="K1667" s="39" t="n">
        <v>494000</v>
      </c>
      <c r="L1667" s="39" t="n">
        <f aca="false">K1667/J1667</f>
        <v>10888.2521489971</v>
      </c>
      <c r="M1667" s="18"/>
      <c r="N1667" s="40"/>
      <c r="O1667" s="30" t="n">
        <f aca="false">K1667+N1667</f>
        <v>494000</v>
      </c>
      <c r="P1667" s="39" t="n">
        <f aca="false">O1667/J1667</f>
        <v>10888.2521489971</v>
      </c>
      <c r="Q1667" s="19" t="s">
        <v>1660</v>
      </c>
      <c r="R1667" s="22" t="s">
        <v>36</v>
      </c>
      <c r="S1667" s="19" t="s">
        <v>29</v>
      </c>
      <c r="T1667" s="19" t="s">
        <v>30</v>
      </c>
      <c r="U1667" s="19" t="s">
        <v>31</v>
      </c>
      <c r="V1667" s="41" t="n">
        <v>43698</v>
      </c>
      <c r="W1667" s="34" t="s">
        <v>2420</v>
      </c>
      <c r="X1667" s="18"/>
    </row>
    <row r="1668" customFormat="false" ht="13.8" hidden="false" customHeight="false" outlineLevel="0" collapsed="false">
      <c r="A1668" s="34"/>
      <c r="B1668" s="19" t="n">
        <v>1006</v>
      </c>
      <c r="C1668" s="20" t="n">
        <v>43495</v>
      </c>
      <c r="D1668" s="38" t="s">
        <v>22</v>
      </c>
      <c r="E1668" s="22" t="s">
        <v>144</v>
      </c>
      <c r="F1668" s="34" t="s">
        <v>145</v>
      </c>
      <c r="G1668" s="19" t="n">
        <v>17</v>
      </c>
      <c r="H1668" s="19" t="n">
        <v>8</v>
      </c>
      <c r="I1668" s="19" t="n">
        <v>4</v>
      </c>
      <c r="J1668" s="19" t="n">
        <v>92.65</v>
      </c>
      <c r="K1668" s="39" t="n">
        <v>760000</v>
      </c>
      <c r="L1668" s="39" t="n">
        <f aca="false">K1668/J1668</f>
        <v>8202.91419320022</v>
      </c>
      <c r="M1668" s="34" t="s">
        <v>1873</v>
      </c>
      <c r="N1668" s="40"/>
      <c r="O1668" s="30" t="n">
        <f aca="false">K1668+N1668</f>
        <v>760000</v>
      </c>
      <c r="P1668" s="39" t="n">
        <f aca="false">O1668/J1668</f>
        <v>8202.91419320022</v>
      </c>
      <c r="Q1668" s="19" t="s">
        <v>2043</v>
      </c>
      <c r="R1668" s="22" t="s">
        <v>49</v>
      </c>
      <c r="S1668" s="19" t="s">
        <v>29</v>
      </c>
      <c r="T1668" s="19" t="s">
        <v>30</v>
      </c>
      <c r="U1668" s="19" t="s">
        <v>31</v>
      </c>
      <c r="V1668" s="41" t="n">
        <v>43698</v>
      </c>
      <c r="W1668" s="34" t="s">
        <v>2421</v>
      </c>
      <c r="X1668" s="18"/>
    </row>
    <row r="1669" customFormat="false" ht="13.8" hidden="false" customHeight="false" outlineLevel="0" collapsed="false">
      <c r="A1669" s="18"/>
      <c r="B1669" s="22" t="s">
        <v>2422</v>
      </c>
      <c r="C1669" s="20" t="n">
        <v>43495</v>
      </c>
      <c r="D1669" s="38" t="s">
        <v>22</v>
      </c>
      <c r="E1669" s="22" t="s">
        <v>212</v>
      </c>
      <c r="F1669" s="42" t="s">
        <v>1881</v>
      </c>
      <c r="G1669" s="22" t="s">
        <v>848</v>
      </c>
      <c r="H1669" s="22" t="s">
        <v>442</v>
      </c>
      <c r="I1669" s="22" t="n">
        <v>16</v>
      </c>
      <c r="J1669" s="25" t="n">
        <v>57.1</v>
      </c>
      <c r="K1669" s="26" t="n">
        <v>420000</v>
      </c>
      <c r="L1669" s="39" t="n">
        <f aca="false">K1669/J1669</f>
        <v>7355.51663747811</v>
      </c>
      <c r="M1669" s="34" t="s">
        <v>189</v>
      </c>
      <c r="N1669" s="54"/>
      <c r="O1669" s="30" t="n">
        <f aca="false">K1669+N1669</f>
        <v>420000</v>
      </c>
      <c r="P1669" s="39" t="n">
        <f aca="false">O1669/J1669</f>
        <v>7355.51663747811</v>
      </c>
      <c r="Q1669" s="70"/>
      <c r="R1669" s="57" t="n">
        <v>16</v>
      </c>
      <c r="S1669" s="19" t="s">
        <v>29</v>
      </c>
      <c r="T1669" s="19" t="s">
        <v>30</v>
      </c>
      <c r="U1669" s="19" t="s">
        <v>31</v>
      </c>
      <c r="V1669" s="22" t="s">
        <v>2184</v>
      </c>
      <c r="W1669" s="53"/>
      <c r="X1669" s="22"/>
      <c r="Y1669" s="35"/>
      <c r="Z1669" s="36"/>
    </row>
    <row r="1670" customFormat="false" ht="13.8" hidden="false" customHeight="false" outlineLevel="0" collapsed="false">
      <c r="A1670" s="34"/>
      <c r="B1670" s="19" t="n">
        <v>406</v>
      </c>
      <c r="C1670" s="20" t="n">
        <v>43496</v>
      </c>
      <c r="D1670" s="38" t="s">
        <v>22</v>
      </c>
      <c r="E1670" s="22" t="s">
        <v>75</v>
      </c>
      <c r="F1670" s="34" t="s">
        <v>2240</v>
      </c>
      <c r="G1670" s="19" t="n">
        <v>105</v>
      </c>
      <c r="H1670" s="19" t="n">
        <v>34</v>
      </c>
      <c r="I1670" s="19" t="n">
        <v>6</v>
      </c>
      <c r="J1670" s="19" t="n">
        <v>49.41</v>
      </c>
      <c r="K1670" s="39" t="n">
        <v>375000</v>
      </c>
      <c r="L1670" s="39" t="n">
        <f aca="false">K1670/J1670</f>
        <v>7589.55676988464</v>
      </c>
      <c r="M1670" s="18"/>
      <c r="N1670" s="40"/>
      <c r="O1670" s="30" t="n">
        <f aca="false">K1670+N1670</f>
        <v>375000</v>
      </c>
      <c r="P1670" s="39" t="n">
        <f aca="false">O1670/J1670</f>
        <v>7589.55676988464</v>
      </c>
      <c r="Q1670" s="19" t="s">
        <v>2423</v>
      </c>
      <c r="R1670" s="22" t="s">
        <v>36</v>
      </c>
      <c r="S1670" s="19" t="s">
        <v>29</v>
      </c>
      <c r="T1670" s="19" t="s">
        <v>30</v>
      </c>
      <c r="U1670" s="19" t="s">
        <v>31</v>
      </c>
      <c r="V1670" s="41" t="n">
        <v>43698</v>
      </c>
      <c r="W1670" s="34" t="s">
        <v>2424</v>
      </c>
      <c r="X1670" s="18"/>
    </row>
    <row r="1671" customFormat="false" ht="13.8" hidden="false" customHeight="false" outlineLevel="0" collapsed="false">
      <c r="A1671" s="18"/>
      <c r="B1671" s="19" t="s">
        <v>2425</v>
      </c>
      <c r="C1671" s="20" t="n">
        <v>43496</v>
      </c>
      <c r="D1671" s="38" t="s">
        <v>22</v>
      </c>
      <c r="E1671" s="22" t="s">
        <v>75</v>
      </c>
      <c r="F1671" s="23" t="s">
        <v>1209</v>
      </c>
      <c r="G1671" s="22" t="s">
        <v>489</v>
      </c>
      <c r="H1671" s="24" t="s">
        <v>181</v>
      </c>
      <c r="I1671" s="24" t="n">
        <v>6</v>
      </c>
      <c r="J1671" s="25" t="n">
        <v>49.41</v>
      </c>
      <c r="K1671" s="26" t="n">
        <v>375000</v>
      </c>
      <c r="L1671" s="39" t="n">
        <f aca="false">K1671/J1671</f>
        <v>7589.55676988464</v>
      </c>
      <c r="M1671" s="18"/>
      <c r="N1671" s="54"/>
      <c r="O1671" s="30" t="n">
        <f aca="false">K1671+N1671</f>
        <v>375000</v>
      </c>
      <c r="P1671" s="39" t="n">
        <f aca="false">O1671/J1671</f>
        <v>7589.55676988464</v>
      </c>
      <c r="Q1671" s="28"/>
      <c r="R1671" s="55" t="n">
        <v>2</v>
      </c>
      <c r="S1671" s="19" t="s">
        <v>29</v>
      </c>
      <c r="T1671" s="19" t="s">
        <v>30</v>
      </c>
      <c r="U1671" s="19" t="s">
        <v>31</v>
      </c>
      <c r="V1671" s="22" t="s">
        <v>2184</v>
      </c>
      <c r="W1671" s="53"/>
      <c r="X1671" s="25"/>
      <c r="Y1671" s="35"/>
      <c r="Z1671" s="36"/>
    </row>
    <row r="1672" customFormat="false" ht="13.8" hidden="false" customHeight="false" outlineLevel="0" collapsed="false">
      <c r="A1672" s="34"/>
      <c r="B1672" s="19" t="n">
        <v>1230</v>
      </c>
      <c r="C1672" s="20" t="n">
        <v>43497</v>
      </c>
      <c r="D1672" s="38" t="s">
        <v>22</v>
      </c>
      <c r="E1672" s="22" t="s">
        <v>125</v>
      </c>
      <c r="F1672" s="34" t="s">
        <v>94</v>
      </c>
      <c r="G1672" s="19" t="s">
        <v>2426</v>
      </c>
      <c r="H1672" s="19" t="n">
        <v>12</v>
      </c>
      <c r="I1672" s="19" t="n">
        <v>4</v>
      </c>
      <c r="J1672" s="19" t="n">
        <v>57.77</v>
      </c>
      <c r="K1672" s="39" t="n">
        <v>510000</v>
      </c>
      <c r="L1672" s="39" t="n">
        <f aca="false">K1672/J1672</f>
        <v>8828.11147654492</v>
      </c>
      <c r="M1672" s="18"/>
      <c r="N1672" s="40"/>
      <c r="O1672" s="30" t="n">
        <f aca="false">K1672+N1672</f>
        <v>510000</v>
      </c>
      <c r="P1672" s="39" t="n">
        <f aca="false">O1672/J1672</f>
        <v>8828.11147654492</v>
      </c>
      <c r="Q1672" s="19" t="s">
        <v>2427</v>
      </c>
      <c r="R1672" s="22" t="s">
        <v>36</v>
      </c>
      <c r="S1672" s="19" t="s">
        <v>29</v>
      </c>
      <c r="T1672" s="19" t="s">
        <v>30</v>
      </c>
      <c r="U1672" s="19" t="s">
        <v>31</v>
      </c>
      <c r="V1672" s="41" t="n">
        <v>43703</v>
      </c>
      <c r="W1672" s="34" t="s">
        <v>2428</v>
      </c>
      <c r="X1672" s="18"/>
    </row>
    <row r="1673" customFormat="false" ht="13.8" hidden="false" customHeight="false" outlineLevel="0" collapsed="false">
      <c r="A1673" s="34"/>
      <c r="B1673" s="19" t="n">
        <v>147</v>
      </c>
      <c r="C1673" s="20" t="n">
        <v>43497</v>
      </c>
      <c r="D1673" s="38" t="s">
        <v>22</v>
      </c>
      <c r="E1673" s="22" t="s">
        <v>543</v>
      </c>
      <c r="F1673" s="34" t="s">
        <v>172</v>
      </c>
      <c r="G1673" s="19" t="n">
        <v>16</v>
      </c>
      <c r="H1673" s="19" t="n">
        <v>15</v>
      </c>
      <c r="I1673" s="19" t="n">
        <v>4</v>
      </c>
      <c r="J1673" s="19" t="n">
        <v>64.69</v>
      </c>
      <c r="K1673" s="39" t="n">
        <v>475000</v>
      </c>
      <c r="L1673" s="39" t="n">
        <f aca="false">K1673/J1673</f>
        <v>7342.71139279641</v>
      </c>
      <c r="M1673" s="18"/>
      <c r="N1673" s="40"/>
      <c r="O1673" s="30" t="n">
        <f aca="false">K1673+N1673</f>
        <v>475000</v>
      </c>
      <c r="P1673" s="39" t="n">
        <f aca="false">O1673/J1673</f>
        <v>7342.71139279641</v>
      </c>
      <c r="Q1673" s="19" t="s">
        <v>2043</v>
      </c>
      <c r="R1673" s="22" t="s">
        <v>49</v>
      </c>
      <c r="S1673" s="19" t="s">
        <v>29</v>
      </c>
      <c r="T1673" s="19" t="s">
        <v>30</v>
      </c>
      <c r="U1673" s="19" t="s">
        <v>31</v>
      </c>
      <c r="V1673" s="41" t="n">
        <v>43698</v>
      </c>
      <c r="W1673" s="34" t="s">
        <v>2429</v>
      </c>
      <c r="X1673" s="18"/>
    </row>
    <row r="1674" customFormat="false" ht="13.8" hidden="false" customHeight="false" outlineLevel="0" collapsed="false">
      <c r="A1674" s="18"/>
      <c r="B1674" s="22" t="s">
        <v>2430</v>
      </c>
      <c r="C1674" s="20" t="n">
        <v>43497</v>
      </c>
      <c r="D1674" s="38" t="s">
        <v>22</v>
      </c>
      <c r="E1674" s="22" t="s">
        <v>1380</v>
      </c>
      <c r="F1674" s="23" t="s">
        <v>1381</v>
      </c>
      <c r="G1674" s="22" t="s">
        <v>49</v>
      </c>
      <c r="H1674" s="22" t="s">
        <v>101</v>
      </c>
      <c r="I1674" s="22" t="n">
        <v>3</v>
      </c>
      <c r="J1674" s="25" t="n">
        <v>162.37</v>
      </c>
      <c r="K1674" s="26" t="n">
        <v>1666040.09</v>
      </c>
      <c r="L1674" s="39" t="n">
        <f aca="false">K1674/J1674</f>
        <v>10260.7630104083</v>
      </c>
      <c r="M1674" s="34" t="s">
        <v>2431</v>
      </c>
      <c r="N1674" s="54"/>
      <c r="O1674" s="30" t="n">
        <f aca="false">K1674+N1674</f>
        <v>1666040.09</v>
      </c>
      <c r="P1674" s="39" t="n">
        <f aca="false">O1674/J1674</f>
        <v>10260.7630104083</v>
      </c>
      <c r="Q1674" s="58"/>
      <c r="R1674" s="57" t="n">
        <v>3</v>
      </c>
      <c r="S1674" s="19" t="s">
        <v>29</v>
      </c>
      <c r="T1674" s="19" t="s">
        <v>30</v>
      </c>
      <c r="U1674" s="19" t="s">
        <v>31</v>
      </c>
      <c r="V1674" s="22" t="s">
        <v>2184</v>
      </c>
      <c r="W1674" s="22"/>
      <c r="X1674" s="22"/>
      <c r="Y1674" s="35"/>
      <c r="Z1674" s="43"/>
    </row>
    <row r="1675" customFormat="false" ht="13.8" hidden="false" customHeight="false" outlineLevel="0" collapsed="false">
      <c r="A1675" s="18"/>
      <c r="B1675" s="19" t="s">
        <v>2432</v>
      </c>
      <c r="C1675" s="20" t="n">
        <v>43497</v>
      </c>
      <c r="D1675" s="38" t="s">
        <v>22</v>
      </c>
      <c r="E1675" s="22" t="s">
        <v>80</v>
      </c>
      <c r="F1675" s="23" t="s">
        <v>2433</v>
      </c>
      <c r="G1675" s="22" t="s">
        <v>26</v>
      </c>
      <c r="H1675" s="24" t="s">
        <v>49</v>
      </c>
      <c r="I1675" s="24" t="n">
        <v>2</v>
      </c>
      <c r="J1675" s="25" t="n">
        <v>100.95</v>
      </c>
      <c r="K1675" s="26" t="n">
        <v>935000</v>
      </c>
      <c r="L1675" s="39" t="n">
        <f aca="false">K1675/J1675</f>
        <v>9262.01089648341</v>
      </c>
      <c r="M1675" s="34" t="s">
        <v>2434</v>
      </c>
      <c r="N1675" s="54"/>
      <c r="O1675" s="30" t="n">
        <f aca="false">K1675+N1675</f>
        <v>935000</v>
      </c>
      <c r="P1675" s="39" t="n">
        <f aca="false">O1675/J1675</f>
        <v>9262.01089648341</v>
      </c>
      <c r="Q1675" s="28"/>
      <c r="R1675" s="55" t="n">
        <v>2</v>
      </c>
      <c r="S1675" s="19" t="s">
        <v>29</v>
      </c>
      <c r="T1675" s="19" t="s">
        <v>30</v>
      </c>
      <c r="U1675" s="19" t="s">
        <v>31</v>
      </c>
      <c r="V1675" s="22" t="s">
        <v>2184</v>
      </c>
      <c r="W1675" s="53"/>
      <c r="X1675" s="25"/>
      <c r="Z1675" s="33"/>
    </row>
    <row r="1676" customFormat="false" ht="13.8" hidden="false" customHeight="false" outlineLevel="0" collapsed="false">
      <c r="A1676" s="34"/>
      <c r="B1676" s="19" t="n">
        <v>995</v>
      </c>
      <c r="C1676" s="20" t="n">
        <v>43497</v>
      </c>
      <c r="D1676" s="38" t="s">
        <v>22</v>
      </c>
      <c r="E1676" s="22" t="s">
        <v>80</v>
      </c>
      <c r="F1676" s="34" t="s">
        <v>1435</v>
      </c>
      <c r="G1676" s="19" t="n">
        <v>3</v>
      </c>
      <c r="H1676" s="19" t="n">
        <v>4</v>
      </c>
      <c r="I1676" s="19" t="n">
        <v>2</v>
      </c>
      <c r="J1676" s="19" t="n">
        <v>100.95</v>
      </c>
      <c r="K1676" s="39" t="n">
        <v>935000</v>
      </c>
      <c r="L1676" s="39" t="n">
        <f aca="false">K1676/J1676</f>
        <v>9262.01089648341</v>
      </c>
      <c r="M1676" s="34" t="s">
        <v>2435</v>
      </c>
      <c r="N1676" s="40"/>
      <c r="O1676" s="30" t="n">
        <f aca="false">K1676+N1676</f>
        <v>935000</v>
      </c>
      <c r="P1676" s="39" t="n">
        <f aca="false">O1676/J1676</f>
        <v>9262.01089648341</v>
      </c>
      <c r="Q1676" s="19" t="s">
        <v>2436</v>
      </c>
      <c r="R1676" s="22" t="s">
        <v>26</v>
      </c>
      <c r="S1676" s="19" t="s">
        <v>29</v>
      </c>
      <c r="T1676" s="19" t="s">
        <v>30</v>
      </c>
      <c r="U1676" s="19" t="s">
        <v>31</v>
      </c>
      <c r="V1676" s="41" t="n">
        <v>43698</v>
      </c>
      <c r="W1676" s="34" t="s">
        <v>2437</v>
      </c>
      <c r="X1676" s="18"/>
      <c r="AMJ1676" s="32"/>
    </row>
    <row r="1677" s="32" customFormat="true" ht="13.8" hidden="false" customHeight="false" outlineLevel="0" collapsed="false">
      <c r="A1677" s="34"/>
      <c r="B1677" s="19" t="n">
        <v>172</v>
      </c>
      <c r="C1677" s="20" t="n">
        <v>43500</v>
      </c>
      <c r="D1677" s="38" t="s">
        <v>22</v>
      </c>
      <c r="E1677" s="22" t="s">
        <v>53</v>
      </c>
      <c r="F1677" s="34" t="s">
        <v>366</v>
      </c>
      <c r="G1677" s="19" t="n">
        <v>26</v>
      </c>
      <c r="H1677" s="19" t="n">
        <v>607</v>
      </c>
      <c r="I1677" s="19" t="n">
        <v>6</v>
      </c>
      <c r="J1677" s="19" t="n">
        <v>47.5</v>
      </c>
      <c r="K1677" s="39" t="n">
        <v>390000</v>
      </c>
      <c r="L1677" s="39" t="n">
        <f aca="false">K1677/J1677</f>
        <v>8210.52631578947</v>
      </c>
      <c r="M1677" s="34" t="s">
        <v>2438</v>
      </c>
      <c r="N1677" s="40"/>
      <c r="O1677" s="30" t="n">
        <f aca="false">K1677+N1677</f>
        <v>390000</v>
      </c>
      <c r="P1677" s="39" t="n">
        <f aca="false">O1677/J1677</f>
        <v>8210.52631578947</v>
      </c>
      <c r="Q1677" s="19" t="s">
        <v>1486</v>
      </c>
      <c r="R1677" s="22" t="s">
        <v>36</v>
      </c>
      <c r="S1677" s="19" t="s">
        <v>29</v>
      </c>
      <c r="T1677" s="19" t="s">
        <v>30</v>
      </c>
      <c r="U1677" s="19" t="s">
        <v>31</v>
      </c>
      <c r="V1677" s="41" t="n">
        <v>43698</v>
      </c>
      <c r="W1677" s="34" t="s">
        <v>2439</v>
      </c>
      <c r="X1677" s="18"/>
    </row>
    <row r="1678" s="32" customFormat="true" ht="13.8" hidden="false" customHeight="false" outlineLevel="0" collapsed="false">
      <c r="A1678" s="34"/>
      <c r="B1678" s="19" t="n">
        <v>124</v>
      </c>
      <c r="C1678" s="20" t="n">
        <v>43500</v>
      </c>
      <c r="D1678" s="38" t="s">
        <v>22</v>
      </c>
      <c r="E1678" s="22" t="s">
        <v>178</v>
      </c>
      <c r="F1678" s="34" t="s">
        <v>722</v>
      </c>
      <c r="G1678" s="19" t="n">
        <v>14</v>
      </c>
      <c r="H1678" s="19" t="n">
        <v>20</v>
      </c>
      <c r="I1678" s="19" t="n">
        <v>3</v>
      </c>
      <c r="J1678" s="19" t="n">
        <v>35.6</v>
      </c>
      <c r="K1678" s="39" t="n">
        <v>295000</v>
      </c>
      <c r="L1678" s="39" t="n">
        <f aca="false">K1678/J1678</f>
        <v>8286.51685393258</v>
      </c>
      <c r="M1678" s="18"/>
      <c r="N1678" s="40"/>
      <c r="O1678" s="30" t="n">
        <f aca="false">K1678+N1678</f>
        <v>295000</v>
      </c>
      <c r="P1678" s="39" t="n">
        <f aca="false">O1678/J1678</f>
        <v>8286.51685393258</v>
      </c>
      <c r="Q1678" s="19" t="s">
        <v>1320</v>
      </c>
      <c r="R1678" s="22" t="s">
        <v>27</v>
      </c>
      <c r="S1678" s="19" t="s">
        <v>29</v>
      </c>
      <c r="T1678" s="19" t="s">
        <v>30</v>
      </c>
      <c r="U1678" s="19" t="s">
        <v>31</v>
      </c>
      <c r="V1678" s="41" t="n">
        <v>43698</v>
      </c>
      <c r="W1678" s="34" t="s">
        <v>2440</v>
      </c>
      <c r="X1678" s="18"/>
    </row>
    <row r="1679" s="32" customFormat="true" ht="13.8" hidden="false" customHeight="false" outlineLevel="0" collapsed="false">
      <c r="A1679" s="18"/>
      <c r="B1679" s="22" t="s">
        <v>2441</v>
      </c>
      <c r="C1679" s="20" t="n">
        <v>43500</v>
      </c>
      <c r="D1679" s="38" t="s">
        <v>22</v>
      </c>
      <c r="E1679" s="22" t="s">
        <v>53</v>
      </c>
      <c r="F1679" s="42" t="s">
        <v>1027</v>
      </c>
      <c r="G1679" s="22" t="s">
        <v>147</v>
      </c>
      <c r="H1679" s="22" t="s">
        <v>2442</v>
      </c>
      <c r="I1679" s="22" t="n">
        <v>6</v>
      </c>
      <c r="J1679" s="25" t="n">
        <v>45.8</v>
      </c>
      <c r="K1679" s="30" t="n">
        <v>390000</v>
      </c>
      <c r="L1679" s="39" t="n">
        <f aca="false">K1679/J1679</f>
        <v>8515.28384279476</v>
      </c>
      <c r="M1679" s="34" t="s">
        <v>1739</v>
      </c>
      <c r="N1679" s="54"/>
      <c r="O1679" s="30" t="n">
        <f aca="false">K1679+N1679</f>
        <v>390000</v>
      </c>
      <c r="P1679" s="39" t="n">
        <f aca="false">O1679/J1679</f>
        <v>8515.28384279476</v>
      </c>
      <c r="Q1679" s="28"/>
      <c r="R1679" s="55" t="n">
        <v>6</v>
      </c>
      <c r="S1679" s="19" t="s">
        <v>29</v>
      </c>
      <c r="T1679" s="19" t="s">
        <v>30</v>
      </c>
      <c r="U1679" s="19" t="s">
        <v>31</v>
      </c>
      <c r="V1679" s="22" t="s">
        <v>2184</v>
      </c>
      <c r="W1679" s="53"/>
      <c r="X1679" s="25"/>
    </row>
    <row r="1680" s="32" customFormat="true" ht="13.8" hidden="false" customHeight="false" outlineLevel="0" collapsed="false">
      <c r="A1680" s="18"/>
      <c r="B1680" s="22" t="s">
        <v>2443</v>
      </c>
      <c r="C1680" s="20" t="n">
        <v>43500</v>
      </c>
      <c r="D1680" s="38" t="s">
        <v>22</v>
      </c>
      <c r="E1680" s="22" t="s">
        <v>459</v>
      </c>
      <c r="F1680" s="42" t="s">
        <v>1223</v>
      </c>
      <c r="G1680" s="22" t="s">
        <v>743</v>
      </c>
      <c r="H1680" s="22" t="s">
        <v>222</v>
      </c>
      <c r="I1680" s="22" t="n">
        <v>4</v>
      </c>
      <c r="J1680" s="25" t="n">
        <v>57.41</v>
      </c>
      <c r="K1680" s="30" t="n">
        <v>552500</v>
      </c>
      <c r="L1680" s="39" t="n">
        <f aca="false">K1680/J1680</f>
        <v>9623.7589270162</v>
      </c>
      <c r="M1680" s="34" t="s">
        <v>189</v>
      </c>
      <c r="N1680" s="54"/>
      <c r="O1680" s="30" t="n">
        <f aca="false">K1680+N1680</f>
        <v>552500</v>
      </c>
      <c r="P1680" s="39" t="n">
        <f aca="false">O1680/J1680</f>
        <v>9623.7589270162</v>
      </c>
      <c r="Q1680" s="28"/>
      <c r="R1680" s="55" t="n">
        <v>4</v>
      </c>
      <c r="S1680" s="19" t="s">
        <v>29</v>
      </c>
      <c r="T1680" s="19" t="s">
        <v>30</v>
      </c>
      <c r="U1680" s="19" t="s">
        <v>31</v>
      </c>
      <c r="V1680" s="22" t="s">
        <v>2184</v>
      </c>
      <c r="W1680" s="53"/>
      <c r="X1680" s="25"/>
    </row>
    <row r="1681" customFormat="false" ht="13.8" hidden="false" customHeight="false" outlineLevel="0" collapsed="false">
      <c r="A1681" s="18"/>
      <c r="B1681" s="22" t="s">
        <v>2444</v>
      </c>
      <c r="C1681" s="20" t="n">
        <v>43500</v>
      </c>
      <c r="D1681" s="38" t="s">
        <v>22</v>
      </c>
      <c r="E1681" s="22" t="s">
        <v>178</v>
      </c>
      <c r="F1681" s="42" t="s">
        <v>2445</v>
      </c>
      <c r="G1681" s="22" t="s">
        <v>126</v>
      </c>
      <c r="H1681" s="22" t="s">
        <v>95</v>
      </c>
      <c r="I1681" s="22" t="n">
        <v>3</v>
      </c>
      <c r="J1681" s="25" t="n">
        <v>35.6</v>
      </c>
      <c r="K1681" s="30" t="n">
        <v>295000</v>
      </c>
      <c r="L1681" s="39" t="n">
        <f aca="false">K1681/J1681</f>
        <v>8286.51685393258</v>
      </c>
      <c r="M1681" s="18"/>
      <c r="N1681" s="54"/>
      <c r="O1681" s="30" t="n">
        <f aca="false">K1681+N1681</f>
        <v>295000</v>
      </c>
      <c r="P1681" s="39" t="n">
        <f aca="false">O1681/J1681</f>
        <v>8286.51685393258</v>
      </c>
      <c r="Q1681" s="60"/>
      <c r="R1681" s="55" t="n">
        <v>3</v>
      </c>
      <c r="S1681" s="19" t="s">
        <v>29</v>
      </c>
      <c r="T1681" s="19" t="s">
        <v>30</v>
      </c>
      <c r="U1681" s="19" t="s">
        <v>31</v>
      </c>
      <c r="V1681" s="22" t="s">
        <v>2184</v>
      </c>
      <c r="W1681" s="22"/>
      <c r="X1681" s="22"/>
      <c r="AMJ1681" s="32"/>
    </row>
    <row r="1682" s="32" customFormat="true" ht="13.8" hidden="false" customHeight="false" outlineLevel="0" collapsed="false">
      <c r="A1682" s="34"/>
      <c r="B1682" s="19" t="n">
        <v>123</v>
      </c>
      <c r="C1682" s="20" t="n">
        <v>43500</v>
      </c>
      <c r="D1682" s="38" t="s">
        <v>22</v>
      </c>
      <c r="E1682" s="22" t="s">
        <v>235</v>
      </c>
      <c r="F1682" s="34" t="s">
        <v>2446</v>
      </c>
      <c r="G1682" s="19" t="n">
        <v>6</v>
      </c>
      <c r="H1682" s="19" t="n">
        <v>39</v>
      </c>
      <c r="I1682" s="19" t="n">
        <v>2</v>
      </c>
      <c r="J1682" s="19" t="n">
        <v>51.11</v>
      </c>
      <c r="K1682" s="39" t="n">
        <v>530000</v>
      </c>
      <c r="L1682" s="39" t="n">
        <f aca="false">K1682/J1682</f>
        <v>10369.7906476228</v>
      </c>
      <c r="M1682" s="34" t="s">
        <v>2447</v>
      </c>
      <c r="N1682" s="40"/>
      <c r="O1682" s="30" t="n">
        <f aca="false">K1682+N1682</f>
        <v>530000</v>
      </c>
      <c r="P1682" s="39" t="n">
        <f aca="false">O1682/J1682</f>
        <v>10369.7906476228</v>
      </c>
      <c r="Q1682" s="19" t="s">
        <v>2448</v>
      </c>
      <c r="R1682" s="22" t="s">
        <v>36</v>
      </c>
      <c r="S1682" s="19" t="s">
        <v>29</v>
      </c>
      <c r="T1682" s="19" t="s">
        <v>30</v>
      </c>
      <c r="U1682" s="19" t="s">
        <v>31</v>
      </c>
      <c r="V1682" s="41" t="n">
        <v>43703</v>
      </c>
      <c r="W1682" s="34" t="s">
        <v>2449</v>
      </c>
      <c r="X1682" s="18"/>
    </row>
    <row r="1683" customFormat="false" ht="13.8" hidden="false" customHeight="false" outlineLevel="0" collapsed="false">
      <c r="A1683" s="34"/>
      <c r="B1683" s="19" t="n">
        <v>1315</v>
      </c>
      <c r="C1683" s="20" t="n">
        <v>43500</v>
      </c>
      <c r="D1683" s="38" t="s">
        <v>22</v>
      </c>
      <c r="E1683" s="22" t="s">
        <v>399</v>
      </c>
      <c r="F1683" s="34" t="s">
        <v>549</v>
      </c>
      <c r="G1683" s="19" t="n">
        <v>3</v>
      </c>
      <c r="H1683" s="19" t="n">
        <v>14</v>
      </c>
      <c r="I1683" s="19" t="n">
        <v>6</v>
      </c>
      <c r="J1683" s="19" t="n">
        <v>54.2</v>
      </c>
      <c r="K1683" s="39" t="n">
        <v>547250</v>
      </c>
      <c r="L1683" s="39" t="n">
        <f aca="false">K1683/J1683</f>
        <v>10096.8634686347</v>
      </c>
      <c r="M1683" s="34" t="s">
        <v>2450</v>
      </c>
      <c r="N1683" s="40" t="n">
        <v>30000</v>
      </c>
      <c r="O1683" s="30" t="n">
        <f aca="false">K1683+N1683</f>
        <v>577250</v>
      </c>
      <c r="P1683" s="39" t="n">
        <f aca="false">O1683/J1683</f>
        <v>10650.36900369</v>
      </c>
      <c r="Q1683" s="19" t="s">
        <v>2451</v>
      </c>
      <c r="R1683" s="22" t="s">
        <v>36</v>
      </c>
      <c r="S1683" s="19" t="s">
        <v>29</v>
      </c>
      <c r="T1683" s="19" t="s">
        <v>30</v>
      </c>
      <c r="U1683" s="19" t="s">
        <v>31</v>
      </c>
      <c r="V1683" s="41" t="n">
        <v>43699</v>
      </c>
      <c r="W1683" s="34" t="s">
        <v>2452</v>
      </c>
      <c r="X1683" s="18"/>
    </row>
    <row r="1684" customFormat="false" ht="13.8" hidden="false" customHeight="false" outlineLevel="0" collapsed="false">
      <c r="A1684" s="34"/>
      <c r="B1684" s="19" t="n">
        <v>449</v>
      </c>
      <c r="C1684" s="20" t="n">
        <v>43500</v>
      </c>
      <c r="D1684" s="38" t="s">
        <v>22</v>
      </c>
      <c r="E1684" s="22" t="s">
        <v>459</v>
      </c>
      <c r="F1684" s="34" t="s">
        <v>240</v>
      </c>
      <c r="G1684" s="19" t="n">
        <v>109</v>
      </c>
      <c r="H1684" s="19" t="n">
        <v>36</v>
      </c>
      <c r="I1684" s="19" t="n">
        <v>4</v>
      </c>
      <c r="J1684" s="19" t="n">
        <v>57.41</v>
      </c>
      <c r="K1684" s="39" t="n">
        <v>552000</v>
      </c>
      <c r="L1684" s="39" t="n">
        <f aca="false">K1684/J1684</f>
        <v>9615.04964291935</v>
      </c>
      <c r="M1684" s="18"/>
      <c r="N1684" s="40"/>
      <c r="O1684" s="30" t="n">
        <f aca="false">K1684+N1684</f>
        <v>552000</v>
      </c>
      <c r="P1684" s="39" t="n">
        <f aca="false">O1684/J1684</f>
        <v>9615.04964291935</v>
      </c>
      <c r="Q1684" s="19" t="s">
        <v>1340</v>
      </c>
      <c r="R1684" s="22" t="s">
        <v>26</v>
      </c>
      <c r="S1684" s="19" t="s">
        <v>29</v>
      </c>
      <c r="T1684" s="19" t="s">
        <v>30</v>
      </c>
      <c r="U1684" s="19" t="s">
        <v>31</v>
      </c>
      <c r="V1684" s="41" t="n">
        <v>43698</v>
      </c>
      <c r="W1684" s="34" t="s">
        <v>2453</v>
      </c>
      <c r="X1684" s="18"/>
    </row>
    <row r="1685" customFormat="false" ht="13.8" hidden="false" customHeight="false" outlineLevel="0" collapsed="false">
      <c r="A1685" s="34"/>
      <c r="B1685" s="19" t="n">
        <v>819</v>
      </c>
      <c r="C1685" s="20" t="n">
        <v>43501</v>
      </c>
      <c r="D1685" s="38" t="s">
        <v>22</v>
      </c>
      <c r="E1685" s="22" t="s">
        <v>289</v>
      </c>
      <c r="F1685" s="34" t="s">
        <v>290</v>
      </c>
      <c r="G1685" s="19" t="n">
        <v>17</v>
      </c>
      <c r="H1685" s="19" t="n">
        <v>14</v>
      </c>
      <c r="I1685" s="19" t="n">
        <v>7</v>
      </c>
      <c r="J1685" s="19" t="n">
        <v>177.5</v>
      </c>
      <c r="K1685" s="39" t="n">
        <v>2750000</v>
      </c>
      <c r="L1685" s="39" t="n">
        <f aca="false">K1685/J1685</f>
        <v>15492.9577464789</v>
      </c>
      <c r="M1685" s="34" t="s">
        <v>2454</v>
      </c>
      <c r="N1685" s="40"/>
      <c r="O1685" s="30" t="n">
        <f aca="false">K1685+N1685</f>
        <v>2750000</v>
      </c>
      <c r="P1685" s="39" t="n">
        <f aca="false">O1685/J1685</f>
        <v>15492.9577464789</v>
      </c>
      <c r="Q1685" s="19" t="s">
        <v>2455</v>
      </c>
      <c r="R1685" s="22" t="s">
        <v>82</v>
      </c>
      <c r="S1685" s="19" t="s">
        <v>29</v>
      </c>
      <c r="T1685" s="19" t="s">
        <v>30</v>
      </c>
      <c r="U1685" s="19" t="s">
        <v>31</v>
      </c>
      <c r="V1685" s="41" t="n">
        <v>43698</v>
      </c>
      <c r="W1685" s="34" t="s">
        <v>2456</v>
      </c>
      <c r="X1685" s="18"/>
    </row>
    <row r="1686" customFormat="false" ht="13.8" hidden="false" customHeight="false" outlineLevel="0" collapsed="false">
      <c r="A1686" s="34"/>
      <c r="B1686" s="19" t="n">
        <v>285</v>
      </c>
      <c r="C1686" s="20" t="n">
        <v>43501</v>
      </c>
      <c r="D1686" s="38" t="s">
        <v>22</v>
      </c>
      <c r="E1686" s="22" t="s">
        <v>322</v>
      </c>
      <c r="F1686" s="34" t="s">
        <v>351</v>
      </c>
      <c r="G1686" s="19" t="s">
        <v>525</v>
      </c>
      <c r="H1686" s="19" t="n">
        <v>129</v>
      </c>
      <c r="I1686" s="19" t="n">
        <v>7</v>
      </c>
      <c r="J1686" s="19" t="n">
        <v>158.74</v>
      </c>
      <c r="K1686" s="39" t="n">
        <v>2276000</v>
      </c>
      <c r="L1686" s="39" t="n">
        <f aca="false">K1686/J1686</f>
        <v>14337.9110495149</v>
      </c>
      <c r="M1686" s="34" t="s">
        <v>2457</v>
      </c>
      <c r="N1686" s="40" t="n">
        <v>49000</v>
      </c>
      <c r="O1686" s="30" t="n">
        <f aca="false">K1686+N1686</f>
        <v>2325000</v>
      </c>
      <c r="P1686" s="39" t="n">
        <f aca="false">O1686/J1686</f>
        <v>14646.5919113015</v>
      </c>
      <c r="Q1686" s="19" t="s">
        <v>2458</v>
      </c>
      <c r="R1686" s="22" t="s">
        <v>49</v>
      </c>
      <c r="S1686" s="19" t="s">
        <v>29</v>
      </c>
      <c r="T1686" s="19" t="s">
        <v>30</v>
      </c>
      <c r="U1686" s="19" t="s">
        <v>31</v>
      </c>
      <c r="V1686" s="41" t="n">
        <v>43698</v>
      </c>
      <c r="W1686" s="34" t="s">
        <v>2459</v>
      </c>
      <c r="X1686" s="18"/>
    </row>
    <row r="1687" customFormat="false" ht="13.8" hidden="false" customHeight="false" outlineLevel="0" collapsed="false">
      <c r="A1687" s="34"/>
      <c r="B1687" s="19" t="n">
        <v>476</v>
      </c>
      <c r="C1687" s="20" t="n">
        <v>43501</v>
      </c>
      <c r="D1687" s="38" t="s">
        <v>22</v>
      </c>
      <c r="E1687" s="22" t="s">
        <v>118</v>
      </c>
      <c r="F1687" s="34" t="s">
        <v>119</v>
      </c>
      <c r="G1687" s="19" t="n">
        <v>1</v>
      </c>
      <c r="H1687" s="19" t="n">
        <v>44</v>
      </c>
      <c r="I1687" s="19" t="n">
        <v>7</v>
      </c>
      <c r="J1687" s="19" t="n">
        <v>58.18</v>
      </c>
      <c r="K1687" s="39" t="n">
        <v>542500</v>
      </c>
      <c r="L1687" s="39" t="n">
        <f aca="false">K1687/J1687</f>
        <v>9324.5101409419</v>
      </c>
      <c r="M1687" s="18"/>
      <c r="N1687" s="40"/>
      <c r="O1687" s="30" t="n">
        <f aca="false">K1687+N1687</f>
        <v>542500</v>
      </c>
      <c r="P1687" s="39" t="n">
        <f aca="false">O1687/J1687</f>
        <v>9324.5101409419</v>
      </c>
      <c r="Q1687" s="19" t="s">
        <v>2460</v>
      </c>
      <c r="R1687" s="22" t="s">
        <v>26</v>
      </c>
      <c r="S1687" s="19" t="s">
        <v>29</v>
      </c>
      <c r="T1687" s="19" t="s">
        <v>30</v>
      </c>
      <c r="U1687" s="19" t="s">
        <v>31</v>
      </c>
      <c r="V1687" s="41" t="n">
        <v>43697</v>
      </c>
      <c r="W1687" s="34" t="s">
        <v>2461</v>
      </c>
      <c r="X1687" s="18"/>
    </row>
    <row r="1688" customFormat="false" ht="13.8" hidden="false" customHeight="false" outlineLevel="0" collapsed="false">
      <c r="A1688" s="18"/>
      <c r="B1688" s="19" t="s">
        <v>2462</v>
      </c>
      <c r="C1688" s="20" t="n">
        <v>43501</v>
      </c>
      <c r="D1688" s="38" t="s">
        <v>22</v>
      </c>
      <c r="E1688" s="22" t="s">
        <v>118</v>
      </c>
      <c r="F1688" s="23" t="s">
        <v>119</v>
      </c>
      <c r="G1688" s="22" t="s">
        <v>27</v>
      </c>
      <c r="H1688" s="24" t="s">
        <v>259</v>
      </c>
      <c r="I1688" s="24" t="n">
        <v>7</v>
      </c>
      <c r="J1688" s="25" t="n">
        <v>56.48</v>
      </c>
      <c r="K1688" s="26" t="n">
        <v>542500</v>
      </c>
      <c r="L1688" s="39" t="n">
        <f aca="false">K1688/J1688</f>
        <v>9605.16997167139</v>
      </c>
      <c r="M1688" s="34" t="s">
        <v>189</v>
      </c>
      <c r="N1688" s="54"/>
      <c r="O1688" s="30" t="n">
        <f aca="false">K1688+N1688</f>
        <v>542500</v>
      </c>
      <c r="P1688" s="39" t="n">
        <f aca="false">O1688/J1688</f>
        <v>9605.16997167139</v>
      </c>
      <c r="Q1688" s="58"/>
      <c r="R1688" s="57" t="n">
        <v>7</v>
      </c>
      <c r="S1688" s="19" t="s">
        <v>29</v>
      </c>
      <c r="T1688" s="19" t="s">
        <v>30</v>
      </c>
      <c r="U1688" s="19" t="s">
        <v>31</v>
      </c>
      <c r="V1688" s="22" t="s">
        <v>2184</v>
      </c>
      <c r="W1688" s="22"/>
      <c r="X1688" s="22"/>
    </row>
    <row r="1689" customFormat="false" ht="13.8" hidden="false" customHeight="false" outlineLevel="0" collapsed="false">
      <c r="A1689" s="34"/>
      <c r="B1689" s="19" t="n">
        <v>274</v>
      </c>
      <c r="C1689" s="20" t="n">
        <v>43501</v>
      </c>
      <c r="D1689" s="38" t="s">
        <v>22</v>
      </c>
      <c r="E1689" s="22" t="s">
        <v>369</v>
      </c>
      <c r="F1689" s="34" t="s">
        <v>271</v>
      </c>
      <c r="G1689" s="19" t="n">
        <v>8</v>
      </c>
      <c r="H1689" s="19" t="n">
        <v>43</v>
      </c>
      <c r="I1689" s="19" t="n">
        <v>7</v>
      </c>
      <c r="J1689" s="19" t="n">
        <v>51.09</v>
      </c>
      <c r="K1689" s="39" t="n">
        <v>449000</v>
      </c>
      <c r="L1689" s="39" t="n">
        <f aca="false">K1689/J1689</f>
        <v>8788.4126052065</v>
      </c>
      <c r="M1689" s="34" t="s">
        <v>2463</v>
      </c>
      <c r="N1689" s="40"/>
      <c r="O1689" s="30" t="n">
        <f aca="false">K1689+N1689</f>
        <v>449000</v>
      </c>
      <c r="P1689" s="39" t="n">
        <f aca="false">O1689/J1689</f>
        <v>8788.4126052065</v>
      </c>
      <c r="Q1689" s="19" t="s">
        <v>1340</v>
      </c>
      <c r="R1689" s="22" t="s">
        <v>26</v>
      </c>
      <c r="S1689" s="19" t="s">
        <v>29</v>
      </c>
      <c r="T1689" s="19" t="s">
        <v>30</v>
      </c>
      <c r="U1689" s="19" t="s">
        <v>31</v>
      </c>
      <c r="V1689" s="41" t="n">
        <v>43699</v>
      </c>
      <c r="W1689" s="34" t="s">
        <v>2464</v>
      </c>
      <c r="X1689" s="18"/>
    </row>
    <row r="1690" customFormat="false" ht="13.8" hidden="false" customHeight="false" outlineLevel="0" collapsed="false">
      <c r="A1690" s="34"/>
      <c r="B1690" s="19" t="n">
        <v>627</v>
      </c>
      <c r="C1690" s="20" t="n">
        <v>43501</v>
      </c>
      <c r="D1690" s="38" t="s">
        <v>22</v>
      </c>
      <c r="E1690" s="22" t="s">
        <v>882</v>
      </c>
      <c r="F1690" s="34" t="s">
        <v>1192</v>
      </c>
      <c r="G1690" s="19" t="s">
        <v>752</v>
      </c>
      <c r="H1690" s="19" t="n">
        <v>17</v>
      </c>
      <c r="I1690" s="19" t="n">
        <v>4</v>
      </c>
      <c r="J1690" s="19" t="n">
        <v>93.38</v>
      </c>
      <c r="K1690" s="39" t="n">
        <v>1099000</v>
      </c>
      <c r="L1690" s="39" t="n">
        <f aca="false">K1690/J1690</f>
        <v>11769.1154422789</v>
      </c>
      <c r="M1690" s="34" t="s">
        <v>2465</v>
      </c>
      <c r="N1690" s="40"/>
      <c r="O1690" s="30" t="n">
        <f aca="false">K1690+N1690</f>
        <v>1099000</v>
      </c>
      <c r="P1690" s="39" t="n">
        <f aca="false">O1690/J1690</f>
        <v>11769.1154422789</v>
      </c>
      <c r="Q1690" s="19" t="s">
        <v>2466</v>
      </c>
      <c r="R1690" s="22" t="s">
        <v>49</v>
      </c>
      <c r="S1690" s="19" t="s">
        <v>29</v>
      </c>
      <c r="T1690" s="19" t="s">
        <v>30</v>
      </c>
      <c r="U1690" s="19" t="s">
        <v>31</v>
      </c>
      <c r="V1690" s="41" t="n">
        <v>43698</v>
      </c>
      <c r="W1690" s="34" t="s">
        <v>2467</v>
      </c>
      <c r="X1690" s="18"/>
      <c r="Z1690" s="33"/>
    </row>
    <row r="1691" customFormat="false" ht="13.8" hidden="false" customHeight="false" outlineLevel="0" collapsed="false">
      <c r="A1691" s="34"/>
      <c r="B1691" s="19" t="n">
        <v>838</v>
      </c>
      <c r="C1691" s="20" t="n">
        <v>43501</v>
      </c>
      <c r="D1691" s="38" t="s">
        <v>22</v>
      </c>
      <c r="E1691" s="22" t="s">
        <v>251</v>
      </c>
      <c r="F1691" s="34" t="s">
        <v>127</v>
      </c>
      <c r="G1691" s="19" t="n">
        <v>18</v>
      </c>
      <c r="H1691" s="19" t="n">
        <v>4</v>
      </c>
      <c r="I1691" s="19" t="n">
        <v>2</v>
      </c>
      <c r="J1691" s="19" t="n">
        <v>98.3</v>
      </c>
      <c r="K1691" s="39" t="n">
        <v>1065000</v>
      </c>
      <c r="L1691" s="39" t="n">
        <f aca="false">K1691/J1691</f>
        <v>10834.1810783316</v>
      </c>
      <c r="M1691" s="34" t="s">
        <v>2468</v>
      </c>
      <c r="N1691" s="40"/>
      <c r="O1691" s="30" t="n">
        <f aca="false">K1691+N1691</f>
        <v>1065000</v>
      </c>
      <c r="P1691" s="39" t="n">
        <f aca="false">O1691/J1691</f>
        <v>10834.1810783316</v>
      </c>
      <c r="Q1691" s="19" t="s">
        <v>2469</v>
      </c>
      <c r="R1691" s="22" t="s">
        <v>57</v>
      </c>
      <c r="S1691" s="19" t="s">
        <v>29</v>
      </c>
      <c r="T1691" s="19" t="s">
        <v>30</v>
      </c>
      <c r="U1691" s="19" t="s">
        <v>31</v>
      </c>
      <c r="V1691" s="41" t="n">
        <v>43698</v>
      </c>
      <c r="W1691" s="34" t="s">
        <v>2470</v>
      </c>
      <c r="X1691" s="18"/>
    </row>
    <row r="1692" customFormat="false" ht="13.8" hidden="false" customHeight="false" outlineLevel="0" collapsed="false">
      <c r="A1692" s="18"/>
      <c r="B1692" s="22" t="s">
        <v>2471</v>
      </c>
      <c r="C1692" s="20" t="n">
        <v>43501</v>
      </c>
      <c r="D1692" s="38" t="s">
        <v>22</v>
      </c>
      <c r="E1692" s="22" t="s">
        <v>369</v>
      </c>
      <c r="F1692" s="42" t="s">
        <v>127</v>
      </c>
      <c r="G1692" s="22" t="s">
        <v>120</v>
      </c>
      <c r="H1692" s="22" t="s">
        <v>49</v>
      </c>
      <c r="I1692" s="22" t="n">
        <v>2</v>
      </c>
      <c r="J1692" s="25" t="n">
        <v>94.3</v>
      </c>
      <c r="K1692" s="26" t="n">
        <v>1065000</v>
      </c>
      <c r="L1692" s="39" t="n">
        <f aca="false">K1692/J1692</f>
        <v>11293.7433722163</v>
      </c>
      <c r="M1692" s="34" t="s">
        <v>189</v>
      </c>
      <c r="N1692" s="54"/>
      <c r="O1692" s="30" t="n">
        <f aca="false">K1692+N1692</f>
        <v>1065000</v>
      </c>
      <c r="P1692" s="39" t="n">
        <f aca="false">O1692/J1692</f>
        <v>11293.7433722163</v>
      </c>
      <c r="Q1692" s="58"/>
      <c r="R1692" s="57" t="n">
        <v>2</v>
      </c>
      <c r="S1692" s="19" t="s">
        <v>29</v>
      </c>
      <c r="T1692" s="19" t="s">
        <v>30</v>
      </c>
      <c r="U1692" s="19" t="s">
        <v>31</v>
      </c>
      <c r="V1692" s="22" t="s">
        <v>2184</v>
      </c>
      <c r="W1692" s="22"/>
      <c r="X1692" s="22"/>
    </row>
    <row r="1693" customFormat="false" ht="13.8" hidden="false" customHeight="false" outlineLevel="0" collapsed="false">
      <c r="A1693" s="34"/>
      <c r="B1693" s="19" t="n">
        <v>873</v>
      </c>
      <c r="C1693" s="20" t="n">
        <v>43502</v>
      </c>
      <c r="D1693" s="38" t="s">
        <v>22</v>
      </c>
      <c r="E1693" s="22" t="s">
        <v>308</v>
      </c>
      <c r="F1693" s="34" t="s">
        <v>446</v>
      </c>
      <c r="G1693" s="19" t="n">
        <v>3</v>
      </c>
      <c r="H1693" s="19" t="n">
        <v>33</v>
      </c>
      <c r="I1693" s="19" t="n">
        <v>2</v>
      </c>
      <c r="J1693" s="19" t="n">
        <v>46.73</v>
      </c>
      <c r="K1693" s="39" t="n">
        <v>670000</v>
      </c>
      <c r="L1693" s="39" t="n">
        <f aca="false">K1693/J1693</f>
        <v>14337.6845709394</v>
      </c>
      <c r="M1693" s="34" t="s">
        <v>2472</v>
      </c>
      <c r="N1693" s="40"/>
      <c r="O1693" s="30" t="n">
        <f aca="false">K1693+N1693</f>
        <v>670000</v>
      </c>
      <c r="P1693" s="39" t="n">
        <f aca="false">O1693/J1693</f>
        <v>14337.6845709394</v>
      </c>
      <c r="Q1693" s="19" t="s">
        <v>2473</v>
      </c>
      <c r="R1693" s="22" t="s">
        <v>27</v>
      </c>
      <c r="S1693" s="19" t="s">
        <v>29</v>
      </c>
      <c r="T1693" s="19" t="s">
        <v>30</v>
      </c>
      <c r="U1693" s="19" t="s">
        <v>31</v>
      </c>
      <c r="V1693" s="41" t="n">
        <v>43698</v>
      </c>
      <c r="W1693" s="34" t="s">
        <v>2474</v>
      </c>
      <c r="X1693" s="18"/>
    </row>
    <row r="1694" customFormat="false" ht="13.8" hidden="false" customHeight="false" outlineLevel="0" collapsed="false">
      <c r="A1694" s="34"/>
      <c r="B1694" s="19" t="n">
        <v>434</v>
      </c>
      <c r="C1694" s="20" t="n">
        <v>43502</v>
      </c>
      <c r="D1694" s="38" t="s">
        <v>22</v>
      </c>
      <c r="E1694" s="22" t="s">
        <v>2475</v>
      </c>
      <c r="F1694" s="34" t="s">
        <v>2476</v>
      </c>
      <c r="G1694" s="19" t="n">
        <v>10</v>
      </c>
      <c r="H1694" s="19" t="n">
        <v>94</v>
      </c>
      <c r="I1694" s="19" t="n">
        <v>3</v>
      </c>
      <c r="J1694" s="19" t="n">
        <v>73.6</v>
      </c>
      <c r="K1694" s="39" t="n">
        <v>520000</v>
      </c>
      <c r="L1694" s="39" t="n">
        <f aca="false">K1694/J1694</f>
        <v>7065.21739130435</v>
      </c>
      <c r="M1694" s="18"/>
      <c r="N1694" s="40"/>
      <c r="O1694" s="30" t="n">
        <f aca="false">K1694+N1694</f>
        <v>520000</v>
      </c>
      <c r="P1694" s="39" t="n">
        <f aca="false">O1694/J1694</f>
        <v>7065.21739130435</v>
      </c>
      <c r="Q1694" s="19" t="s">
        <v>2477</v>
      </c>
      <c r="R1694" s="22" t="s">
        <v>36</v>
      </c>
      <c r="S1694" s="19" t="s">
        <v>29</v>
      </c>
      <c r="T1694" s="19" t="s">
        <v>30</v>
      </c>
      <c r="U1694" s="19" t="s">
        <v>31</v>
      </c>
      <c r="V1694" s="41" t="n">
        <v>43698</v>
      </c>
      <c r="W1694" s="34" t="s">
        <v>2478</v>
      </c>
      <c r="X1694" s="18"/>
    </row>
    <row r="1695" customFormat="false" ht="13.8" hidden="false" customHeight="false" outlineLevel="0" collapsed="false">
      <c r="A1695" s="34"/>
      <c r="B1695" s="19" t="s">
        <v>887</v>
      </c>
      <c r="C1695" s="20" t="n">
        <v>43503</v>
      </c>
      <c r="D1695" s="38" t="s">
        <v>22</v>
      </c>
      <c r="E1695" s="22" t="s">
        <v>251</v>
      </c>
      <c r="F1695" s="45" t="s">
        <v>252</v>
      </c>
      <c r="G1695" s="19" t="n">
        <v>4</v>
      </c>
      <c r="H1695" s="19"/>
      <c r="I1695" s="19" t="n">
        <v>9</v>
      </c>
      <c r="J1695" s="25" t="n">
        <v>41.43</v>
      </c>
      <c r="K1695" s="39" t="n">
        <v>330000</v>
      </c>
      <c r="L1695" s="39" t="n">
        <f aca="false">K1695/J1695</f>
        <v>7965.24257784214</v>
      </c>
      <c r="M1695" s="18"/>
      <c r="N1695" s="40"/>
      <c r="O1695" s="30" t="n">
        <f aca="false">K1695+N1695</f>
        <v>330000</v>
      </c>
      <c r="P1695" s="39" t="n">
        <f aca="false">O1695/J1695</f>
        <v>7965.24257784214</v>
      </c>
      <c r="Q1695" s="19" t="s">
        <v>889</v>
      </c>
      <c r="R1695" s="19" t="n">
        <v>3</v>
      </c>
      <c r="S1695" s="19" t="s">
        <v>890</v>
      </c>
      <c r="T1695" s="19"/>
      <c r="U1695" s="19" t="s">
        <v>31</v>
      </c>
      <c r="V1695" s="41" t="n">
        <v>43727</v>
      </c>
      <c r="W1695" s="18"/>
      <c r="X1695" s="18"/>
    </row>
    <row r="1696" customFormat="false" ht="13.8" hidden="false" customHeight="false" outlineLevel="0" collapsed="false">
      <c r="A1696" s="34"/>
      <c r="B1696" s="19" t="s">
        <v>887</v>
      </c>
      <c r="C1696" s="20" t="n">
        <v>43503</v>
      </c>
      <c r="D1696" s="38" t="s">
        <v>22</v>
      </c>
      <c r="E1696" s="22" t="s">
        <v>251</v>
      </c>
      <c r="F1696" s="45" t="s">
        <v>252</v>
      </c>
      <c r="G1696" s="19" t="n">
        <v>4</v>
      </c>
      <c r="H1696" s="19"/>
      <c r="I1696" s="19" t="n">
        <v>9</v>
      </c>
      <c r="J1696" s="25" t="n">
        <v>41.43</v>
      </c>
      <c r="K1696" s="39" t="n">
        <v>350000</v>
      </c>
      <c r="L1696" s="39" t="n">
        <f aca="false">K1696/J1696</f>
        <v>8447.98455225682</v>
      </c>
      <c r="M1696" s="18"/>
      <c r="N1696" s="40"/>
      <c r="O1696" s="30" t="n">
        <f aca="false">K1696+N1696</f>
        <v>350000</v>
      </c>
      <c r="P1696" s="39" t="n">
        <f aca="false">O1696/J1696</f>
        <v>8447.98455225682</v>
      </c>
      <c r="Q1696" s="19" t="s">
        <v>889</v>
      </c>
      <c r="R1696" s="19" t="n">
        <v>3</v>
      </c>
      <c r="S1696" s="19" t="s">
        <v>890</v>
      </c>
      <c r="T1696" s="19"/>
      <c r="U1696" s="19" t="s">
        <v>31</v>
      </c>
      <c r="V1696" s="41" t="n">
        <v>43727</v>
      </c>
      <c r="W1696" s="18"/>
      <c r="X1696" s="18"/>
    </row>
    <row r="1697" customFormat="false" ht="13.8" hidden="false" customHeight="false" outlineLevel="0" collapsed="false">
      <c r="A1697" s="34"/>
      <c r="B1697" s="19" t="n">
        <v>529</v>
      </c>
      <c r="C1697" s="20" t="n">
        <v>43503</v>
      </c>
      <c r="D1697" s="38" t="s">
        <v>22</v>
      </c>
      <c r="E1697" s="22" t="s">
        <v>42</v>
      </c>
      <c r="F1697" s="34" t="s">
        <v>24</v>
      </c>
      <c r="G1697" s="19" t="n">
        <v>7</v>
      </c>
      <c r="H1697" s="19" t="n">
        <v>24</v>
      </c>
      <c r="I1697" s="19" t="n">
        <v>7</v>
      </c>
      <c r="J1697" s="19" t="n">
        <v>57.64</v>
      </c>
      <c r="K1697" s="39" t="n">
        <v>850000</v>
      </c>
      <c r="L1697" s="39" t="n">
        <f aca="false">K1697/J1697</f>
        <v>14746.7036780014</v>
      </c>
      <c r="M1697" s="34" t="s">
        <v>2479</v>
      </c>
      <c r="N1697" s="40"/>
      <c r="O1697" s="30" t="n">
        <f aca="false">K1697+N1697</f>
        <v>850000</v>
      </c>
      <c r="P1697" s="39" t="n">
        <f aca="false">O1697/J1697</f>
        <v>14746.7036780014</v>
      </c>
      <c r="Q1697" s="19" t="s">
        <v>2480</v>
      </c>
      <c r="R1697" s="22" t="s">
        <v>36</v>
      </c>
      <c r="S1697" s="19" t="s">
        <v>29</v>
      </c>
      <c r="T1697" s="19" t="s">
        <v>30</v>
      </c>
      <c r="U1697" s="19" t="s">
        <v>31</v>
      </c>
      <c r="V1697" s="41" t="n">
        <v>43698</v>
      </c>
      <c r="W1697" s="34" t="s">
        <v>2481</v>
      </c>
      <c r="X1697" s="18"/>
    </row>
    <row r="1698" customFormat="false" ht="13.8" hidden="false" customHeight="false" outlineLevel="0" collapsed="false">
      <c r="A1698" s="18"/>
      <c r="B1698" s="19" t="s">
        <v>2482</v>
      </c>
      <c r="C1698" s="20" t="n">
        <v>43503</v>
      </c>
      <c r="D1698" s="38" t="s">
        <v>22</v>
      </c>
      <c r="E1698" s="22" t="s">
        <v>42</v>
      </c>
      <c r="F1698" s="23" t="s">
        <v>24</v>
      </c>
      <c r="G1698" s="22" t="s">
        <v>82</v>
      </c>
      <c r="H1698" s="24" t="s">
        <v>47</v>
      </c>
      <c r="I1698" s="24" t="n">
        <v>7</v>
      </c>
      <c r="J1698" s="25" t="n">
        <v>53.24</v>
      </c>
      <c r="K1698" s="26" t="n">
        <v>810000</v>
      </c>
      <c r="L1698" s="39" t="n">
        <f aca="false">K1698/J1698</f>
        <v>15214.124718257</v>
      </c>
      <c r="M1698" s="34" t="s">
        <v>1739</v>
      </c>
      <c r="N1698" s="54"/>
      <c r="O1698" s="30" t="n">
        <f aca="false">K1698+N1698</f>
        <v>810000</v>
      </c>
      <c r="P1698" s="39" t="n">
        <f aca="false">O1698/J1698</f>
        <v>15214.124718257</v>
      </c>
      <c r="Q1698" s="28"/>
      <c r="R1698" s="55" t="n">
        <v>7</v>
      </c>
      <c r="S1698" s="19" t="s">
        <v>29</v>
      </c>
      <c r="T1698" s="19" t="s">
        <v>30</v>
      </c>
      <c r="U1698" s="19" t="s">
        <v>31</v>
      </c>
      <c r="V1698" s="22" t="s">
        <v>2184</v>
      </c>
      <c r="W1698" s="53"/>
      <c r="X1698" s="25"/>
    </row>
    <row r="1699" customFormat="false" ht="13.8" hidden="false" customHeight="false" outlineLevel="0" collapsed="false">
      <c r="A1699" s="34"/>
      <c r="B1699" s="19" t="n">
        <v>1885</v>
      </c>
      <c r="C1699" s="20" t="n">
        <v>43503</v>
      </c>
      <c r="D1699" s="38" t="s">
        <v>22</v>
      </c>
      <c r="E1699" s="22" t="s">
        <v>190</v>
      </c>
      <c r="F1699" s="34" t="s">
        <v>225</v>
      </c>
      <c r="G1699" s="19" t="n">
        <v>10</v>
      </c>
      <c r="H1699" s="19" t="n">
        <v>13</v>
      </c>
      <c r="I1699" s="19" t="n">
        <v>3</v>
      </c>
      <c r="J1699" s="19" t="n">
        <v>58.1</v>
      </c>
      <c r="K1699" s="39" t="n">
        <v>515000</v>
      </c>
      <c r="L1699" s="39" t="n">
        <f aca="false">K1699/J1699</f>
        <v>8864.02753872633</v>
      </c>
      <c r="M1699" s="18"/>
      <c r="N1699" s="40"/>
      <c r="O1699" s="30" t="n">
        <f aca="false">K1699+N1699</f>
        <v>515000</v>
      </c>
      <c r="P1699" s="39" t="n">
        <f aca="false">O1699/J1699</f>
        <v>8864.02753872633</v>
      </c>
      <c r="Q1699" s="19" t="s">
        <v>1340</v>
      </c>
      <c r="R1699" s="22" t="s">
        <v>26</v>
      </c>
      <c r="S1699" s="19" t="s">
        <v>29</v>
      </c>
      <c r="T1699" s="19" t="s">
        <v>30</v>
      </c>
      <c r="U1699" s="19" t="s">
        <v>31</v>
      </c>
      <c r="V1699" s="41" t="n">
        <v>43698</v>
      </c>
      <c r="W1699" s="34" t="s">
        <v>2483</v>
      </c>
      <c r="X1699" s="18"/>
    </row>
    <row r="1700" customFormat="false" ht="13.8" hidden="false" customHeight="false" outlineLevel="0" collapsed="false">
      <c r="A1700" s="18"/>
      <c r="B1700" s="22" t="s">
        <v>2484</v>
      </c>
      <c r="C1700" s="20" t="n">
        <v>43503</v>
      </c>
      <c r="D1700" s="38" t="s">
        <v>22</v>
      </c>
      <c r="E1700" s="22" t="s">
        <v>190</v>
      </c>
      <c r="F1700" s="42" t="s">
        <v>225</v>
      </c>
      <c r="G1700" s="22" t="s">
        <v>111</v>
      </c>
      <c r="H1700" s="22" t="s">
        <v>294</v>
      </c>
      <c r="I1700" s="22" t="n">
        <v>3</v>
      </c>
      <c r="J1700" s="25" t="n">
        <v>58.1</v>
      </c>
      <c r="K1700" s="26" t="n">
        <v>515000</v>
      </c>
      <c r="L1700" s="39" t="n">
        <f aca="false">K1700/J1700</f>
        <v>8864.02753872633</v>
      </c>
      <c r="M1700" s="18"/>
      <c r="N1700" s="54"/>
      <c r="O1700" s="30" t="n">
        <f aca="false">K1700+N1700</f>
        <v>515000</v>
      </c>
      <c r="P1700" s="39" t="n">
        <f aca="false">O1700/J1700</f>
        <v>8864.02753872633</v>
      </c>
      <c r="Q1700" s="60"/>
      <c r="R1700" s="55" t="n">
        <v>3</v>
      </c>
      <c r="S1700" s="19" t="s">
        <v>29</v>
      </c>
      <c r="T1700" s="19" t="s">
        <v>30</v>
      </c>
      <c r="U1700" s="19" t="s">
        <v>31</v>
      </c>
      <c r="V1700" s="22" t="s">
        <v>2184</v>
      </c>
      <c r="W1700" s="22"/>
      <c r="X1700" s="22"/>
    </row>
    <row r="1701" customFormat="false" ht="13.8" hidden="false" customHeight="false" outlineLevel="0" collapsed="false">
      <c r="A1701" s="34"/>
      <c r="B1701" s="19" t="n">
        <v>2162</v>
      </c>
      <c r="C1701" s="20" t="n">
        <v>43503</v>
      </c>
      <c r="D1701" s="38" t="s">
        <v>22</v>
      </c>
      <c r="E1701" s="22" t="s">
        <v>278</v>
      </c>
      <c r="F1701" s="34" t="s">
        <v>338</v>
      </c>
      <c r="G1701" s="19" t="n">
        <v>59</v>
      </c>
      <c r="H1701" s="19" t="n">
        <v>2</v>
      </c>
      <c r="I1701" s="19" t="n">
        <v>1</v>
      </c>
      <c r="J1701" s="19" t="n">
        <v>44.78</v>
      </c>
      <c r="K1701" s="39" t="n">
        <v>539000</v>
      </c>
      <c r="L1701" s="39" t="n">
        <f aca="false">K1701/J1701</f>
        <v>12036.6234926306</v>
      </c>
      <c r="M1701" s="34" t="s">
        <v>2485</v>
      </c>
      <c r="N1701" s="40"/>
      <c r="O1701" s="30" t="n">
        <f aca="false">K1701+N1701</f>
        <v>539000</v>
      </c>
      <c r="P1701" s="39" t="n">
        <f aca="false">O1701/J1701</f>
        <v>12036.6234926306</v>
      </c>
      <c r="Q1701" s="19" t="s">
        <v>2486</v>
      </c>
      <c r="R1701" s="22" t="s">
        <v>27</v>
      </c>
      <c r="S1701" s="19" t="s">
        <v>29</v>
      </c>
      <c r="T1701" s="19" t="s">
        <v>30</v>
      </c>
      <c r="U1701" s="19" t="s">
        <v>31</v>
      </c>
      <c r="V1701" s="41" t="n">
        <v>43698</v>
      </c>
      <c r="W1701" s="34" t="s">
        <v>2487</v>
      </c>
      <c r="X1701" s="18"/>
    </row>
    <row r="1702" customFormat="false" ht="13.8" hidden="false" customHeight="false" outlineLevel="0" collapsed="false">
      <c r="A1702" s="18"/>
      <c r="B1702" s="22" t="s">
        <v>2488</v>
      </c>
      <c r="C1702" s="20" t="n">
        <v>43503</v>
      </c>
      <c r="D1702" s="38" t="s">
        <v>22</v>
      </c>
      <c r="E1702" s="22" t="s">
        <v>251</v>
      </c>
      <c r="F1702" s="23" t="s">
        <v>1017</v>
      </c>
      <c r="G1702" s="22" t="s">
        <v>49</v>
      </c>
      <c r="H1702" s="22" t="s">
        <v>2489</v>
      </c>
      <c r="I1702" s="22" t="n">
        <v>9</v>
      </c>
      <c r="J1702" s="25" t="n">
        <v>41.43</v>
      </c>
      <c r="K1702" s="26" t="n">
        <v>330000</v>
      </c>
      <c r="L1702" s="39" t="n">
        <f aca="false">K1702/J1702</f>
        <v>7965.24257784214</v>
      </c>
      <c r="M1702" s="34" t="s">
        <v>189</v>
      </c>
      <c r="N1702" s="34"/>
      <c r="O1702" s="30" t="n">
        <f aca="false">K1702+N1702</f>
        <v>330000</v>
      </c>
      <c r="P1702" s="39" t="n">
        <f aca="false">O1702/J1702</f>
        <v>7965.24257784214</v>
      </c>
      <c r="Q1702" s="60"/>
      <c r="R1702" s="55" t="n">
        <v>9</v>
      </c>
      <c r="S1702" s="19" t="s">
        <v>29</v>
      </c>
      <c r="T1702" s="19" t="s">
        <v>30</v>
      </c>
      <c r="U1702" s="19" t="s">
        <v>31</v>
      </c>
      <c r="V1702" s="22" t="s">
        <v>2184</v>
      </c>
      <c r="W1702" s="22"/>
      <c r="X1702" s="22"/>
    </row>
    <row r="1703" customFormat="false" ht="13.8" hidden="false" customHeight="false" outlineLevel="0" collapsed="false">
      <c r="A1703" s="34"/>
      <c r="B1703" s="19" t="n">
        <v>590</v>
      </c>
      <c r="C1703" s="20" t="n">
        <v>43504</v>
      </c>
      <c r="D1703" s="38" t="s">
        <v>22</v>
      </c>
      <c r="E1703" s="22" t="s">
        <v>882</v>
      </c>
      <c r="F1703" s="34" t="s">
        <v>883</v>
      </c>
      <c r="G1703" s="19" t="n">
        <v>10</v>
      </c>
      <c r="H1703" s="19" t="n">
        <v>9</v>
      </c>
      <c r="I1703" s="19" t="n">
        <v>3</v>
      </c>
      <c r="J1703" s="19" t="n">
        <v>58.49</v>
      </c>
      <c r="K1703" s="39" t="n">
        <v>391000</v>
      </c>
      <c r="L1703" s="39" t="n">
        <f aca="false">K1703/J1703</f>
        <v>6684.90340229099</v>
      </c>
      <c r="M1703" s="34" t="s">
        <v>2490</v>
      </c>
      <c r="N1703" s="40"/>
      <c r="O1703" s="30" t="n">
        <f aca="false">K1703+N1703</f>
        <v>391000</v>
      </c>
      <c r="P1703" s="39" t="n">
        <f aca="false">O1703/J1703</f>
        <v>6684.90340229099</v>
      </c>
      <c r="Q1703" s="19" t="s">
        <v>2491</v>
      </c>
      <c r="R1703" s="22" t="s">
        <v>26</v>
      </c>
      <c r="S1703" s="19" t="s">
        <v>29</v>
      </c>
      <c r="T1703" s="19" t="s">
        <v>30</v>
      </c>
      <c r="U1703" s="19" t="s">
        <v>31</v>
      </c>
      <c r="V1703" s="41" t="n">
        <v>43698</v>
      </c>
      <c r="W1703" s="34" t="s">
        <v>2492</v>
      </c>
      <c r="X1703" s="18"/>
    </row>
    <row r="1704" customFormat="false" ht="13.8" hidden="false" customHeight="false" outlineLevel="0" collapsed="false">
      <c r="A1704" s="34"/>
      <c r="B1704" s="19" t="s">
        <v>887</v>
      </c>
      <c r="C1704" s="20" t="n">
        <v>43504</v>
      </c>
      <c r="D1704" s="38" t="s">
        <v>22</v>
      </c>
      <c r="E1704" s="22" t="s">
        <v>251</v>
      </c>
      <c r="F1704" s="45" t="s">
        <v>252</v>
      </c>
      <c r="G1704" s="19" t="n">
        <v>3</v>
      </c>
      <c r="H1704" s="19"/>
      <c r="I1704" s="19" t="n">
        <v>11</v>
      </c>
      <c r="J1704" s="25" t="n">
        <v>53.01</v>
      </c>
      <c r="K1704" s="39" t="n">
        <v>350000</v>
      </c>
      <c r="L1704" s="39" t="n">
        <f aca="false">K1704/J1704</f>
        <v>6602.52782493869</v>
      </c>
      <c r="M1704" s="34"/>
      <c r="N1704" s="40"/>
      <c r="O1704" s="30" t="n">
        <f aca="false">K1704+N1704</f>
        <v>350000</v>
      </c>
      <c r="P1704" s="39" t="n">
        <f aca="false">O1704/J1704</f>
        <v>6602.52782493869</v>
      </c>
      <c r="Q1704" s="19" t="s">
        <v>889</v>
      </c>
      <c r="R1704" s="19" t="n">
        <v>4</v>
      </c>
      <c r="S1704" s="19" t="s">
        <v>1141</v>
      </c>
      <c r="T1704" s="19"/>
      <c r="U1704" s="19" t="s">
        <v>31</v>
      </c>
      <c r="V1704" s="41" t="n">
        <v>43727</v>
      </c>
      <c r="W1704" s="18"/>
      <c r="X1704" s="18"/>
    </row>
    <row r="1705" customFormat="false" ht="13.8" hidden="false" customHeight="false" outlineLevel="0" collapsed="false">
      <c r="A1705" s="34"/>
      <c r="B1705" s="19" t="n">
        <v>438</v>
      </c>
      <c r="C1705" s="20" t="n">
        <v>43504</v>
      </c>
      <c r="D1705" s="38" t="s">
        <v>22</v>
      </c>
      <c r="E1705" s="22" t="s">
        <v>235</v>
      </c>
      <c r="F1705" s="34" t="s">
        <v>191</v>
      </c>
      <c r="G1705" s="19" t="n">
        <v>50</v>
      </c>
      <c r="H1705" s="19" t="n">
        <v>71</v>
      </c>
      <c r="I1705" s="19" t="n">
        <v>4</v>
      </c>
      <c r="J1705" s="19" t="n">
        <v>54</v>
      </c>
      <c r="K1705" s="39" t="n">
        <v>400000</v>
      </c>
      <c r="L1705" s="39" t="n">
        <f aca="false">K1705/J1705</f>
        <v>7407.40740740741</v>
      </c>
      <c r="M1705" s="34"/>
      <c r="N1705" s="40"/>
      <c r="O1705" s="30" t="n">
        <f aca="false">K1705+N1705</f>
        <v>400000</v>
      </c>
      <c r="P1705" s="39" t="n">
        <f aca="false">O1705/J1705</f>
        <v>7407.40740740741</v>
      </c>
      <c r="Q1705" s="19" t="s">
        <v>1486</v>
      </c>
      <c r="R1705" s="22" t="s">
        <v>36</v>
      </c>
      <c r="S1705" s="19" t="s">
        <v>29</v>
      </c>
      <c r="T1705" s="19" t="s">
        <v>30</v>
      </c>
      <c r="U1705" s="19" t="s">
        <v>31</v>
      </c>
      <c r="V1705" s="41" t="n">
        <v>43698</v>
      </c>
      <c r="W1705" s="34" t="s">
        <v>2493</v>
      </c>
      <c r="X1705" s="18"/>
    </row>
    <row r="1706" customFormat="false" ht="13.8" hidden="false" customHeight="false" outlineLevel="0" collapsed="false">
      <c r="A1706" s="18"/>
      <c r="B1706" s="22" t="s">
        <v>2346</v>
      </c>
      <c r="C1706" s="20" t="n">
        <v>43504</v>
      </c>
      <c r="D1706" s="38" t="s">
        <v>22</v>
      </c>
      <c r="E1706" s="22" t="s">
        <v>235</v>
      </c>
      <c r="F1706" s="42" t="s">
        <v>191</v>
      </c>
      <c r="G1706" s="22" t="s">
        <v>778</v>
      </c>
      <c r="H1706" s="22" t="s">
        <v>345</v>
      </c>
      <c r="I1706" s="22" t="n">
        <v>4</v>
      </c>
      <c r="J1706" s="25" t="n">
        <v>54</v>
      </c>
      <c r="K1706" s="30" t="n">
        <v>400000</v>
      </c>
      <c r="L1706" s="39" t="n">
        <f aca="false">K1706/J1706</f>
        <v>7407.40740740741</v>
      </c>
      <c r="M1706" s="34"/>
      <c r="N1706" s="34"/>
      <c r="O1706" s="30" t="n">
        <f aca="false">K1706+N1706</f>
        <v>400000</v>
      </c>
      <c r="P1706" s="39" t="n">
        <f aca="false">O1706/J1706</f>
        <v>7407.40740740741</v>
      </c>
      <c r="Q1706" s="60"/>
      <c r="R1706" s="55" t="n">
        <v>4</v>
      </c>
      <c r="S1706" s="19" t="s">
        <v>29</v>
      </c>
      <c r="T1706" s="19" t="s">
        <v>30</v>
      </c>
      <c r="U1706" s="19" t="s">
        <v>31</v>
      </c>
      <c r="V1706" s="22" t="s">
        <v>2184</v>
      </c>
      <c r="W1706" s="22"/>
      <c r="X1706" s="22"/>
    </row>
    <row r="1707" customFormat="false" ht="13.8" hidden="false" customHeight="false" outlineLevel="0" collapsed="false">
      <c r="A1707" s="34"/>
      <c r="B1707" s="19" t="n">
        <v>1939</v>
      </c>
      <c r="C1707" s="20" t="n">
        <v>43504</v>
      </c>
      <c r="D1707" s="38" t="s">
        <v>22</v>
      </c>
      <c r="E1707" s="22" t="s">
        <v>190</v>
      </c>
      <c r="F1707" s="34" t="s">
        <v>225</v>
      </c>
      <c r="G1707" s="19" t="n">
        <v>10</v>
      </c>
      <c r="H1707" s="19" t="n">
        <v>12</v>
      </c>
      <c r="I1707" s="19" t="n">
        <v>2</v>
      </c>
      <c r="J1707" s="19" t="n">
        <v>37.4</v>
      </c>
      <c r="K1707" s="39" t="n">
        <v>300000</v>
      </c>
      <c r="L1707" s="39" t="n">
        <f aca="false">K1707/J1707</f>
        <v>8021.39037433155</v>
      </c>
      <c r="M1707" s="34"/>
      <c r="N1707" s="40"/>
      <c r="O1707" s="30" t="n">
        <f aca="false">K1707+N1707</f>
        <v>300000</v>
      </c>
      <c r="P1707" s="39" t="n">
        <f aca="false">O1707/J1707</f>
        <v>8021.39037433155</v>
      </c>
      <c r="Q1707" s="19" t="s">
        <v>1320</v>
      </c>
      <c r="R1707" s="22" t="s">
        <v>27</v>
      </c>
      <c r="S1707" s="19" t="s">
        <v>29</v>
      </c>
      <c r="T1707" s="19" t="s">
        <v>30</v>
      </c>
      <c r="U1707" s="19" t="s">
        <v>31</v>
      </c>
      <c r="V1707" s="41" t="n">
        <v>43698</v>
      </c>
      <c r="W1707" s="34" t="s">
        <v>2494</v>
      </c>
      <c r="X1707" s="18"/>
    </row>
    <row r="1708" customFormat="false" ht="13.8" hidden="false" customHeight="false" outlineLevel="0" collapsed="false">
      <c r="A1708" s="18"/>
      <c r="B1708" s="22" t="s">
        <v>2495</v>
      </c>
      <c r="C1708" s="20" t="n">
        <v>43504</v>
      </c>
      <c r="D1708" s="38" t="s">
        <v>22</v>
      </c>
      <c r="E1708" s="22" t="s">
        <v>190</v>
      </c>
      <c r="F1708" s="23" t="s">
        <v>225</v>
      </c>
      <c r="G1708" s="22" t="s">
        <v>111</v>
      </c>
      <c r="H1708" s="22" t="s">
        <v>200</v>
      </c>
      <c r="I1708" s="22" t="n">
        <v>2</v>
      </c>
      <c r="J1708" s="25" t="n">
        <v>37.4</v>
      </c>
      <c r="K1708" s="26" t="n">
        <v>300000</v>
      </c>
      <c r="L1708" s="39" t="n">
        <f aca="false">K1708/J1708</f>
        <v>8021.39037433155</v>
      </c>
      <c r="M1708" s="34"/>
      <c r="N1708" s="34"/>
      <c r="O1708" s="30" t="n">
        <f aca="false">K1708+N1708</f>
        <v>300000</v>
      </c>
      <c r="P1708" s="39" t="n">
        <f aca="false">O1708/J1708</f>
        <v>8021.39037433155</v>
      </c>
      <c r="Q1708" s="60"/>
      <c r="R1708" s="55" t="n">
        <v>2</v>
      </c>
      <c r="S1708" s="19" t="s">
        <v>29</v>
      </c>
      <c r="T1708" s="19" t="s">
        <v>30</v>
      </c>
      <c r="U1708" s="19" t="s">
        <v>31</v>
      </c>
      <c r="V1708" s="22" t="s">
        <v>2184</v>
      </c>
      <c r="W1708" s="22"/>
      <c r="X1708" s="22"/>
    </row>
    <row r="1709" customFormat="false" ht="13.8" hidden="false" customHeight="false" outlineLevel="0" collapsed="false">
      <c r="A1709" s="34"/>
      <c r="B1709" s="19" t="n">
        <v>309</v>
      </c>
      <c r="C1709" s="20" t="n">
        <v>43504</v>
      </c>
      <c r="D1709" s="38" t="s">
        <v>22</v>
      </c>
      <c r="E1709" s="22" t="s">
        <v>118</v>
      </c>
      <c r="F1709" s="34" t="s">
        <v>347</v>
      </c>
      <c r="G1709" s="19" t="n">
        <v>5</v>
      </c>
      <c r="H1709" s="19" t="n">
        <v>26</v>
      </c>
      <c r="I1709" s="19" t="n">
        <v>2</v>
      </c>
      <c r="J1709" s="19" t="n">
        <v>49.93</v>
      </c>
      <c r="K1709" s="39" t="n">
        <v>357000</v>
      </c>
      <c r="L1709" s="39" t="n">
        <f aca="false">K1709/J1709</f>
        <v>7150.01001401963</v>
      </c>
      <c r="M1709" s="34" t="s">
        <v>2496</v>
      </c>
      <c r="N1709" s="40"/>
      <c r="O1709" s="30" t="n">
        <f aca="false">K1709+N1709</f>
        <v>357000</v>
      </c>
      <c r="P1709" s="39" t="n">
        <f aca="false">O1709/J1709</f>
        <v>7150.01001401963</v>
      </c>
      <c r="Q1709" s="19" t="s">
        <v>1486</v>
      </c>
      <c r="R1709" s="22" t="s">
        <v>36</v>
      </c>
      <c r="S1709" s="19" t="s">
        <v>29</v>
      </c>
      <c r="T1709" s="19" t="s">
        <v>30</v>
      </c>
      <c r="U1709" s="19" t="s">
        <v>31</v>
      </c>
      <c r="V1709" s="41" t="n">
        <v>43699</v>
      </c>
      <c r="W1709" s="34" t="s">
        <v>2497</v>
      </c>
      <c r="X1709" s="18"/>
    </row>
    <row r="1710" customFormat="false" ht="13.8" hidden="false" customHeight="false" outlineLevel="0" collapsed="false">
      <c r="A1710" s="34"/>
      <c r="B1710" s="19" t="n">
        <v>444</v>
      </c>
      <c r="C1710" s="20" t="n">
        <v>43507</v>
      </c>
      <c r="D1710" s="38" t="s">
        <v>22</v>
      </c>
      <c r="E1710" s="22" t="s">
        <v>75</v>
      </c>
      <c r="F1710" s="34" t="s">
        <v>2240</v>
      </c>
      <c r="G1710" s="19" t="n">
        <v>93</v>
      </c>
      <c r="H1710" s="19" t="n">
        <v>10</v>
      </c>
      <c r="I1710" s="19" t="n">
        <v>3</v>
      </c>
      <c r="J1710" s="19" t="n">
        <v>78.4</v>
      </c>
      <c r="K1710" s="39" t="n">
        <v>820000</v>
      </c>
      <c r="L1710" s="39" t="n">
        <f aca="false">K1710/J1710</f>
        <v>10459.1836734694</v>
      </c>
      <c r="M1710" s="34" t="s">
        <v>2498</v>
      </c>
      <c r="N1710" s="40"/>
      <c r="O1710" s="30" t="n">
        <f aca="false">K1710+N1710</f>
        <v>820000</v>
      </c>
      <c r="P1710" s="39" t="n">
        <f aca="false">O1710/J1710</f>
        <v>10459.1836734694</v>
      </c>
      <c r="Q1710" s="19" t="s">
        <v>2499</v>
      </c>
      <c r="R1710" s="22" t="s">
        <v>26</v>
      </c>
      <c r="S1710" s="19" t="s">
        <v>29</v>
      </c>
      <c r="T1710" s="19" t="s">
        <v>30</v>
      </c>
      <c r="U1710" s="19" t="s">
        <v>31</v>
      </c>
      <c r="V1710" s="41" t="n">
        <v>43699</v>
      </c>
      <c r="W1710" s="34" t="s">
        <v>2500</v>
      </c>
      <c r="X1710" s="18"/>
    </row>
    <row r="1711" customFormat="false" ht="13.8" hidden="false" customHeight="false" outlineLevel="0" collapsed="false">
      <c r="A1711" s="34"/>
      <c r="B1711" s="19" t="n">
        <v>935</v>
      </c>
      <c r="C1711" s="20" t="n">
        <v>43507</v>
      </c>
      <c r="D1711" s="38" t="s">
        <v>22</v>
      </c>
      <c r="E1711" s="22" t="s">
        <v>190</v>
      </c>
      <c r="F1711" s="34" t="s">
        <v>191</v>
      </c>
      <c r="G1711" s="19" t="s">
        <v>417</v>
      </c>
      <c r="H1711" s="19" t="n">
        <v>10</v>
      </c>
      <c r="I1711" s="19" t="n">
        <v>3</v>
      </c>
      <c r="J1711" s="19" t="n">
        <v>28.84</v>
      </c>
      <c r="K1711" s="39" t="n">
        <v>276000</v>
      </c>
      <c r="L1711" s="39" t="n">
        <f aca="false">K1711/J1711</f>
        <v>9570.04160887656</v>
      </c>
      <c r="M1711" s="34"/>
      <c r="N1711" s="40"/>
      <c r="O1711" s="30" t="n">
        <f aca="false">K1711+N1711</f>
        <v>276000</v>
      </c>
      <c r="P1711" s="39" t="n">
        <f aca="false">O1711/J1711</f>
        <v>9570.04160887656</v>
      </c>
      <c r="Q1711" s="19" t="s">
        <v>1320</v>
      </c>
      <c r="R1711" s="22" t="s">
        <v>27</v>
      </c>
      <c r="S1711" s="19" t="s">
        <v>29</v>
      </c>
      <c r="T1711" s="19" t="s">
        <v>30</v>
      </c>
      <c r="U1711" s="19" t="s">
        <v>31</v>
      </c>
      <c r="V1711" s="41" t="n">
        <v>43698</v>
      </c>
      <c r="W1711" s="34" t="s">
        <v>2501</v>
      </c>
      <c r="X1711" s="18"/>
    </row>
    <row r="1712" customFormat="false" ht="13.8" hidden="false" customHeight="false" outlineLevel="0" collapsed="false">
      <c r="A1712" s="18"/>
      <c r="B1712" s="22" t="s">
        <v>2502</v>
      </c>
      <c r="C1712" s="20" t="n">
        <v>43507</v>
      </c>
      <c r="D1712" s="38" t="s">
        <v>22</v>
      </c>
      <c r="E1712" s="22" t="s">
        <v>190</v>
      </c>
      <c r="F1712" s="42" t="s">
        <v>191</v>
      </c>
      <c r="G1712" s="22" t="s">
        <v>417</v>
      </c>
      <c r="H1712" s="22" t="s">
        <v>111</v>
      </c>
      <c r="I1712" s="22" t="n">
        <v>3</v>
      </c>
      <c r="J1712" s="25" t="n">
        <v>28.84</v>
      </c>
      <c r="K1712" s="26" t="n">
        <v>276000</v>
      </c>
      <c r="L1712" s="39" t="n">
        <f aca="false">K1712/J1712</f>
        <v>9570.04160887656</v>
      </c>
      <c r="M1712" s="34"/>
      <c r="N1712" s="34"/>
      <c r="O1712" s="30" t="n">
        <f aca="false">K1712+N1712</f>
        <v>276000</v>
      </c>
      <c r="P1712" s="39" t="n">
        <f aca="false">O1712/J1712</f>
        <v>9570.04160887656</v>
      </c>
      <c r="Q1712" s="60"/>
      <c r="R1712" s="55" t="n">
        <v>3</v>
      </c>
      <c r="S1712" s="19" t="s">
        <v>29</v>
      </c>
      <c r="T1712" s="19" t="s">
        <v>30</v>
      </c>
      <c r="U1712" s="19" t="s">
        <v>31</v>
      </c>
      <c r="V1712" s="22" t="s">
        <v>2184</v>
      </c>
      <c r="W1712" s="22"/>
      <c r="X1712" s="22"/>
    </row>
    <row r="1713" customFormat="false" ht="13.8" hidden="false" customHeight="false" outlineLevel="0" collapsed="false">
      <c r="A1713" s="34"/>
      <c r="B1713" s="19" t="n">
        <v>1592</v>
      </c>
      <c r="C1713" s="20" t="n">
        <v>43507</v>
      </c>
      <c r="D1713" s="38" t="s">
        <v>22</v>
      </c>
      <c r="E1713" s="22" t="s">
        <v>37</v>
      </c>
      <c r="F1713" s="34" t="s">
        <v>108</v>
      </c>
      <c r="G1713" s="19" t="n">
        <v>36</v>
      </c>
      <c r="H1713" s="19" t="n">
        <v>44</v>
      </c>
      <c r="I1713" s="19" t="n">
        <v>2</v>
      </c>
      <c r="J1713" s="19" t="n">
        <v>49.87</v>
      </c>
      <c r="K1713" s="39" t="n">
        <v>325000</v>
      </c>
      <c r="L1713" s="39" t="n">
        <f aca="false">K1713/J1713</f>
        <v>6516.94405454181</v>
      </c>
      <c r="M1713" s="18"/>
      <c r="N1713" s="40"/>
      <c r="O1713" s="30" t="n">
        <f aca="false">K1713+N1713</f>
        <v>325000</v>
      </c>
      <c r="P1713" s="39" t="n">
        <f aca="false">O1713/J1713</f>
        <v>6516.94405454181</v>
      </c>
      <c r="Q1713" s="19" t="s">
        <v>1486</v>
      </c>
      <c r="R1713" s="22" t="s">
        <v>36</v>
      </c>
      <c r="S1713" s="19" t="s">
        <v>29</v>
      </c>
      <c r="T1713" s="19" t="s">
        <v>30</v>
      </c>
      <c r="U1713" s="19" t="s">
        <v>31</v>
      </c>
      <c r="V1713" s="41" t="n">
        <v>43699</v>
      </c>
      <c r="W1713" s="34" t="s">
        <v>2503</v>
      </c>
      <c r="X1713" s="18"/>
    </row>
    <row r="1714" customFormat="false" ht="13.8" hidden="false" customHeight="false" outlineLevel="0" collapsed="false">
      <c r="A1714" s="34"/>
      <c r="B1714" s="19" t="n">
        <v>864</v>
      </c>
      <c r="C1714" s="20" t="n">
        <v>43507</v>
      </c>
      <c r="D1714" s="38" t="s">
        <v>22</v>
      </c>
      <c r="E1714" s="22" t="s">
        <v>343</v>
      </c>
      <c r="F1714" s="34" t="s">
        <v>1190</v>
      </c>
      <c r="G1714" s="19" t="s">
        <v>455</v>
      </c>
      <c r="H1714" s="19" t="n">
        <v>1</v>
      </c>
      <c r="I1714" s="19" t="n">
        <v>1</v>
      </c>
      <c r="J1714" s="19" t="n">
        <v>55</v>
      </c>
      <c r="K1714" s="39" t="n">
        <v>460000</v>
      </c>
      <c r="L1714" s="39" t="n">
        <f aca="false">K1714/J1714</f>
        <v>8363.63636363636</v>
      </c>
      <c r="M1714" s="34" t="s">
        <v>2504</v>
      </c>
      <c r="N1714" s="40"/>
      <c r="O1714" s="30" t="n">
        <f aca="false">K1714+N1714</f>
        <v>460000</v>
      </c>
      <c r="P1714" s="39" t="n">
        <f aca="false">O1714/J1714</f>
        <v>8363.63636363636</v>
      </c>
      <c r="Q1714" s="19" t="s">
        <v>2505</v>
      </c>
      <c r="R1714" s="22" t="s">
        <v>36</v>
      </c>
      <c r="S1714" s="19" t="s">
        <v>29</v>
      </c>
      <c r="T1714" s="19" t="s">
        <v>30</v>
      </c>
      <c r="U1714" s="19" t="s">
        <v>31</v>
      </c>
      <c r="V1714" s="41" t="n">
        <v>43699</v>
      </c>
      <c r="W1714" s="34" t="s">
        <v>2506</v>
      </c>
      <c r="X1714" s="18"/>
    </row>
    <row r="1715" customFormat="false" ht="13.8" hidden="false" customHeight="false" outlineLevel="0" collapsed="false">
      <c r="A1715" s="34"/>
      <c r="B1715" s="19" t="n">
        <v>418</v>
      </c>
      <c r="C1715" s="20" t="n">
        <v>43507</v>
      </c>
      <c r="D1715" s="38" t="s">
        <v>22</v>
      </c>
      <c r="E1715" s="22" t="s">
        <v>53</v>
      </c>
      <c r="F1715" s="34" t="s">
        <v>54</v>
      </c>
      <c r="G1715" s="19" t="n">
        <v>15</v>
      </c>
      <c r="H1715" s="19" t="n">
        <v>1127</v>
      </c>
      <c r="I1715" s="19" t="n">
        <v>11</v>
      </c>
      <c r="J1715" s="19" t="n">
        <f aca="false">61.5-3.1</f>
        <v>58.4</v>
      </c>
      <c r="K1715" s="39" t="n">
        <v>445000</v>
      </c>
      <c r="L1715" s="39" t="n">
        <f aca="false">K1715/J1715</f>
        <v>7619.86301369863</v>
      </c>
      <c r="M1715" s="34" t="s">
        <v>2507</v>
      </c>
      <c r="N1715" s="40"/>
      <c r="O1715" s="30" t="n">
        <f aca="false">K1715+N1715</f>
        <v>445000</v>
      </c>
      <c r="P1715" s="39" t="n">
        <f aca="false">O1715/J1715</f>
        <v>7619.86301369863</v>
      </c>
      <c r="Q1715" s="19" t="s">
        <v>2508</v>
      </c>
      <c r="R1715" s="22" t="s">
        <v>26</v>
      </c>
      <c r="S1715" s="19" t="s">
        <v>29</v>
      </c>
      <c r="T1715" s="19" t="s">
        <v>30</v>
      </c>
      <c r="U1715" s="19" t="s">
        <v>31</v>
      </c>
      <c r="V1715" s="41" t="n">
        <v>43703</v>
      </c>
      <c r="W1715" s="34" t="s">
        <v>2509</v>
      </c>
      <c r="X1715" s="18"/>
    </row>
    <row r="1716" customFormat="false" ht="13.8" hidden="false" customHeight="false" outlineLevel="0" collapsed="false">
      <c r="A1716" s="34"/>
      <c r="B1716" s="19" t="n">
        <v>878</v>
      </c>
      <c r="C1716" s="20" t="n">
        <v>43508</v>
      </c>
      <c r="D1716" s="38" t="s">
        <v>22</v>
      </c>
      <c r="E1716" s="22" t="s">
        <v>42</v>
      </c>
      <c r="F1716" s="34" t="s">
        <v>628</v>
      </c>
      <c r="G1716" s="19" t="n">
        <v>7</v>
      </c>
      <c r="H1716" s="19" t="n">
        <v>8</v>
      </c>
      <c r="I1716" s="19" t="n">
        <v>3</v>
      </c>
      <c r="J1716" s="19" t="n">
        <v>50.24</v>
      </c>
      <c r="K1716" s="39" t="n">
        <v>300000</v>
      </c>
      <c r="L1716" s="39" t="n">
        <f aca="false">K1716/J1716</f>
        <v>5971.33757961784</v>
      </c>
      <c r="M1716" s="18"/>
      <c r="N1716" s="40"/>
      <c r="O1716" s="30" t="n">
        <f aca="false">K1716+N1716</f>
        <v>300000</v>
      </c>
      <c r="P1716" s="39" t="n">
        <f aca="false">O1716/J1716</f>
        <v>5971.33757961784</v>
      </c>
      <c r="Q1716" s="19" t="s">
        <v>1486</v>
      </c>
      <c r="R1716" s="22" t="s">
        <v>36</v>
      </c>
      <c r="S1716" s="19" t="s">
        <v>29</v>
      </c>
      <c r="T1716" s="19" t="s">
        <v>30</v>
      </c>
      <c r="U1716" s="19" t="s">
        <v>31</v>
      </c>
      <c r="V1716" s="41" t="n">
        <v>43699</v>
      </c>
      <c r="W1716" s="34" t="s">
        <v>2510</v>
      </c>
      <c r="X1716" s="18"/>
    </row>
    <row r="1717" customFormat="false" ht="13.8" hidden="false" customHeight="false" outlineLevel="0" collapsed="false">
      <c r="A1717" s="34"/>
      <c r="B1717" s="19" t="n">
        <v>264</v>
      </c>
      <c r="C1717" s="20" t="n">
        <v>43508</v>
      </c>
      <c r="D1717" s="38" t="s">
        <v>22</v>
      </c>
      <c r="E1717" s="22" t="s">
        <v>284</v>
      </c>
      <c r="F1717" s="34" t="s">
        <v>404</v>
      </c>
      <c r="G1717" s="22" t="s">
        <v>2348</v>
      </c>
      <c r="H1717" s="19" t="n">
        <v>37</v>
      </c>
      <c r="I1717" s="19" t="n">
        <v>4</v>
      </c>
      <c r="J1717" s="19" t="n">
        <v>14.35</v>
      </c>
      <c r="K1717" s="39" t="n">
        <v>170000</v>
      </c>
      <c r="L1717" s="39" t="n">
        <f aca="false">K1717/J1717</f>
        <v>11846.6898954704</v>
      </c>
      <c r="M1717" s="18"/>
      <c r="N1717" s="40"/>
      <c r="O1717" s="30" t="n">
        <f aca="false">K1717+N1717</f>
        <v>170000</v>
      </c>
      <c r="P1717" s="39" t="n">
        <f aca="false">O1717/J1717</f>
        <v>11846.6898954704</v>
      </c>
      <c r="Q1717" s="19" t="s">
        <v>2511</v>
      </c>
      <c r="R1717" s="22" t="s">
        <v>27</v>
      </c>
      <c r="S1717" s="19" t="s">
        <v>29</v>
      </c>
      <c r="T1717" s="19" t="s">
        <v>30</v>
      </c>
      <c r="U1717" s="19" t="s">
        <v>31</v>
      </c>
      <c r="V1717" s="41" t="n">
        <v>43698</v>
      </c>
      <c r="W1717" s="34" t="s">
        <v>2512</v>
      </c>
      <c r="X1717" s="18"/>
    </row>
    <row r="1718" customFormat="false" ht="13.8" hidden="false" customHeight="false" outlineLevel="0" collapsed="false">
      <c r="A1718" s="34"/>
      <c r="B1718" s="19" t="n">
        <v>160</v>
      </c>
      <c r="C1718" s="20" t="n">
        <v>43508</v>
      </c>
      <c r="D1718" s="38" t="s">
        <v>22</v>
      </c>
      <c r="E1718" s="22" t="s">
        <v>125</v>
      </c>
      <c r="F1718" s="34" t="s">
        <v>73</v>
      </c>
      <c r="G1718" s="19" t="s">
        <v>600</v>
      </c>
      <c r="H1718" s="19" t="n">
        <v>18</v>
      </c>
      <c r="I1718" s="19" t="n">
        <v>4</v>
      </c>
      <c r="J1718" s="19" t="n">
        <v>47.7</v>
      </c>
      <c r="K1718" s="39" t="n">
        <v>420000</v>
      </c>
      <c r="L1718" s="39" t="n">
        <f aca="false">K1718/J1718</f>
        <v>8805.03144654088</v>
      </c>
      <c r="M1718" s="18"/>
      <c r="N1718" s="40"/>
      <c r="O1718" s="30" t="n">
        <f aca="false">K1718+N1718</f>
        <v>420000</v>
      </c>
      <c r="P1718" s="39" t="n">
        <f aca="false">O1718/J1718</f>
        <v>8805.03144654088</v>
      </c>
      <c r="Q1718" s="19" t="s">
        <v>2513</v>
      </c>
      <c r="R1718" s="22" t="s">
        <v>36</v>
      </c>
      <c r="S1718" s="19" t="s">
        <v>29</v>
      </c>
      <c r="T1718" s="19" t="s">
        <v>30</v>
      </c>
      <c r="U1718" s="19" t="s">
        <v>31</v>
      </c>
      <c r="V1718" s="41" t="n">
        <v>43699</v>
      </c>
      <c r="W1718" s="34" t="s">
        <v>2514</v>
      </c>
      <c r="X1718" s="18"/>
    </row>
    <row r="1719" customFormat="false" ht="13.8" hidden="false" customHeight="false" outlineLevel="0" collapsed="false">
      <c r="A1719" s="34"/>
      <c r="B1719" s="19" t="n">
        <v>2280</v>
      </c>
      <c r="C1719" s="20" t="n">
        <v>43509</v>
      </c>
      <c r="D1719" s="38" t="s">
        <v>22</v>
      </c>
      <c r="E1719" s="22" t="s">
        <v>156</v>
      </c>
      <c r="F1719" s="34" t="s">
        <v>392</v>
      </c>
      <c r="G1719" s="19" t="s">
        <v>393</v>
      </c>
      <c r="H1719" s="19" t="n">
        <v>4</v>
      </c>
      <c r="I1719" s="19" t="n">
        <v>2</v>
      </c>
      <c r="J1719" s="19" t="n">
        <v>64.58</v>
      </c>
      <c r="K1719" s="39" t="n">
        <v>650000</v>
      </c>
      <c r="L1719" s="39" t="n">
        <f aca="false">K1719/J1719</f>
        <v>10065.0356147414</v>
      </c>
      <c r="M1719" s="18"/>
      <c r="N1719" s="40"/>
      <c r="O1719" s="30" t="n">
        <f aca="false">K1719+N1719</f>
        <v>650000</v>
      </c>
      <c r="P1719" s="39" t="n">
        <f aca="false">O1719/J1719</f>
        <v>10065.0356147414</v>
      </c>
      <c r="Q1719" s="19" t="s">
        <v>2515</v>
      </c>
      <c r="R1719" s="22" t="s">
        <v>26</v>
      </c>
      <c r="S1719" s="19" t="s">
        <v>29</v>
      </c>
      <c r="T1719" s="19" t="s">
        <v>30</v>
      </c>
      <c r="U1719" s="19" t="s">
        <v>31</v>
      </c>
      <c r="V1719" s="41" t="n">
        <v>43698</v>
      </c>
      <c r="W1719" s="34" t="s">
        <v>2516</v>
      </c>
      <c r="X1719" s="18"/>
    </row>
    <row r="1720" customFormat="false" ht="13.8" hidden="false" customHeight="false" outlineLevel="0" collapsed="false">
      <c r="A1720" s="34"/>
      <c r="B1720" s="19" t="n">
        <v>666</v>
      </c>
      <c r="C1720" s="20" t="n">
        <v>43509</v>
      </c>
      <c r="D1720" s="38" t="s">
        <v>22</v>
      </c>
      <c r="E1720" s="22" t="s">
        <v>369</v>
      </c>
      <c r="F1720" s="34" t="s">
        <v>1041</v>
      </c>
      <c r="G1720" s="19" t="n">
        <v>3</v>
      </c>
      <c r="H1720" s="19" t="n">
        <v>15</v>
      </c>
      <c r="I1720" s="19" t="n">
        <v>2</v>
      </c>
      <c r="J1720" s="19" t="n">
        <v>46.83</v>
      </c>
      <c r="K1720" s="39" t="n">
        <v>421470</v>
      </c>
      <c r="L1720" s="39" t="n">
        <f aca="false">K1720/J1720</f>
        <v>9000</v>
      </c>
      <c r="M1720" s="18"/>
      <c r="N1720" s="40"/>
      <c r="O1720" s="30" t="n">
        <f aca="false">K1720+N1720</f>
        <v>421470</v>
      </c>
      <c r="P1720" s="39" t="n">
        <f aca="false">O1720/J1720</f>
        <v>9000</v>
      </c>
      <c r="Q1720" s="19" t="s">
        <v>2517</v>
      </c>
      <c r="R1720" s="22" t="s">
        <v>36</v>
      </c>
      <c r="S1720" s="19" t="s">
        <v>29</v>
      </c>
      <c r="T1720" s="19" t="s">
        <v>30</v>
      </c>
      <c r="U1720" s="19" t="s">
        <v>31</v>
      </c>
      <c r="V1720" s="41" t="n">
        <v>43699</v>
      </c>
      <c r="W1720" s="34" t="s">
        <v>2518</v>
      </c>
      <c r="X1720" s="18"/>
      <c r="AMJ1720" s="32"/>
    </row>
    <row r="1721" s="32" customFormat="true" ht="13.8" hidden="false" customHeight="false" outlineLevel="0" collapsed="false">
      <c r="A1721" s="34"/>
      <c r="B1721" s="19" t="n">
        <v>223</v>
      </c>
      <c r="C1721" s="20" t="n">
        <v>43509</v>
      </c>
      <c r="D1721" s="38" t="s">
        <v>22</v>
      </c>
      <c r="E1721" s="22" t="s">
        <v>37</v>
      </c>
      <c r="F1721" s="34" t="s">
        <v>386</v>
      </c>
      <c r="G1721" s="19" t="n">
        <v>10</v>
      </c>
      <c r="H1721" s="19" t="n">
        <v>51</v>
      </c>
      <c r="I1721" s="19" t="n">
        <v>3</v>
      </c>
      <c r="J1721" s="19" t="n">
        <v>49.87</v>
      </c>
      <c r="K1721" s="39" t="n">
        <v>350000</v>
      </c>
      <c r="L1721" s="39" t="n">
        <f aca="false">K1721/J1721</f>
        <v>7018.24744335272</v>
      </c>
      <c r="M1721" s="34"/>
      <c r="N1721" s="40"/>
      <c r="O1721" s="30" t="n">
        <f aca="false">K1721+N1721</f>
        <v>350000</v>
      </c>
      <c r="P1721" s="39" t="n">
        <f aca="false">O1721/J1721</f>
        <v>7018.24744335272</v>
      </c>
      <c r="Q1721" s="19" t="s">
        <v>1486</v>
      </c>
      <c r="R1721" s="22" t="s">
        <v>36</v>
      </c>
      <c r="S1721" s="19" t="s">
        <v>29</v>
      </c>
      <c r="T1721" s="19" t="s">
        <v>30</v>
      </c>
      <c r="U1721" s="19" t="s">
        <v>31</v>
      </c>
      <c r="V1721" s="41" t="n">
        <v>43703</v>
      </c>
      <c r="W1721" s="34" t="s">
        <v>2519</v>
      </c>
      <c r="X1721" s="34"/>
      <c r="Y1721" s="35"/>
      <c r="Z1721" s="36"/>
    </row>
    <row r="1722" customFormat="false" ht="13.8" hidden="false" customHeight="false" outlineLevel="0" collapsed="false">
      <c r="A1722" s="18"/>
      <c r="B1722" s="22" t="s">
        <v>2520</v>
      </c>
      <c r="C1722" s="20" t="n">
        <v>43509</v>
      </c>
      <c r="D1722" s="38" t="s">
        <v>22</v>
      </c>
      <c r="E1722" s="22" t="s">
        <v>369</v>
      </c>
      <c r="F1722" s="23" t="s">
        <v>401</v>
      </c>
      <c r="G1722" s="22" t="s">
        <v>26</v>
      </c>
      <c r="H1722" s="22" t="s">
        <v>55</v>
      </c>
      <c r="I1722" s="22" t="n">
        <v>2</v>
      </c>
      <c r="J1722" s="25" t="n">
        <v>46.83</v>
      </c>
      <c r="K1722" s="26" t="n">
        <v>421470</v>
      </c>
      <c r="L1722" s="39" t="n">
        <f aca="false">K1722/J1722</f>
        <v>9000</v>
      </c>
      <c r="M1722" s="34"/>
      <c r="N1722" s="34"/>
      <c r="O1722" s="30" t="n">
        <f aca="false">K1722+N1722</f>
        <v>421470</v>
      </c>
      <c r="P1722" s="39" t="n">
        <f aca="false">O1722/J1722</f>
        <v>9000</v>
      </c>
      <c r="Q1722" s="59"/>
      <c r="R1722" s="57" t="n">
        <v>2</v>
      </c>
      <c r="S1722" s="19" t="s">
        <v>29</v>
      </c>
      <c r="T1722" s="19" t="s">
        <v>30</v>
      </c>
      <c r="U1722" s="19" t="s">
        <v>31</v>
      </c>
      <c r="V1722" s="22" t="s">
        <v>2184</v>
      </c>
      <c r="W1722" s="22"/>
      <c r="X1722" s="22"/>
    </row>
    <row r="1723" customFormat="false" ht="13.8" hidden="false" customHeight="false" outlineLevel="0" collapsed="false">
      <c r="A1723" s="34"/>
      <c r="B1723" s="19" t="n">
        <v>643</v>
      </c>
      <c r="C1723" s="20" t="n">
        <v>43509</v>
      </c>
      <c r="D1723" s="38" t="s">
        <v>22</v>
      </c>
      <c r="E1723" s="22" t="s">
        <v>86</v>
      </c>
      <c r="F1723" s="34" t="s">
        <v>695</v>
      </c>
      <c r="G1723" s="19" t="n">
        <v>6</v>
      </c>
      <c r="H1723" s="19" t="n">
        <v>37</v>
      </c>
      <c r="I1723" s="19" t="n">
        <v>3</v>
      </c>
      <c r="J1723" s="19" t="n">
        <v>37.3</v>
      </c>
      <c r="K1723" s="39" t="n">
        <v>278500</v>
      </c>
      <c r="L1723" s="39" t="n">
        <f aca="false">K1723/J1723</f>
        <v>7466.48793565684</v>
      </c>
      <c r="M1723" s="34"/>
      <c r="N1723" s="40"/>
      <c r="O1723" s="30" t="n">
        <f aca="false">K1723+N1723</f>
        <v>278500</v>
      </c>
      <c r="P1723" s="39" t="n">
        <f aca="false">O1723/J1723</f>
        <v>7466.48793565684</v>
      </c>
      <c r="Q1723" s="19" t="s">
        <v>1486</v>
      </c>
      <c r="R1723" s="22" t="s">
        <v>36</v>
      </c>
      <c r="S1723" s="19" t="s">
        <v>29</v>
      </c>
      <c r="T1723" s="19" t="s">
        <v>30</v>
      </c>
      <c r="U1723" s="19" t="s">
        <v>31</v>
      </c>
      <c r="V1723" s="41" t="n">
        <v>43698</v>
      </c>
      <c r="W1723" s="34" t="s">
        <v>2521</v>
      </c>
      <c r="X1723" s="34"/>
    </row>
    <row r="1724" customFormat="false" ht="13.8" hidden="false" customHeight="false" outlineLevel="0" collapsed="false">
      <c r="A1724" s="34"/>
      <c r="B1724" s="19" t="n">
        <v>712</v>
      </c>
      <c r="C1724" s="20" t="n">
        <v>43509</v>
      </c>
      <c r="D1724" s="38" t="s">
        <v>22</v>
      </c>
      <c r="E1724" s="22" t="s">
        <v>369</v>
      </c>
      <c r="F1724" s="34" t="s">
        <v>370</v>
      </c>
      <c r="G1724" s="19" t="n">
        <v>7</v>
      </c>
      <c r="H1724" s="19" t="n">
        <v>4</v>
      </c>
      <c r="I1724" s="19" t="n">
        <v>2</v>
      </c>
      <c r="J1724" s="19" t="n">
        <v>49.95</v>
      </c>
      <c r="K1724" s="39" t="n">
        <v>580000</v>
      </c>
      <c r="L1724" s="39" t="n">
        <f aca="false">K1724/J1724</f>
        <v>11611.6116116116</v>
      </c>
      <c r="M1724" s="34"/>
      <c r="N1724" s="40"/>
      <c r="O1724" s="30" t="n">
        <f aca="false">K1724+N1724</f>
        <v>580000</v>
      </c>
      <c r="P1724" s="39" t="n">
        <f aca="false">O1724/J1724</f>
        <v>11611.6116116116</v>
      </c>
      <c r="Q1724" s="19" t="s">
        <v>1486</v>
      </c>
      <c r="R1724" s="22" t="s">
        <v>36</v>
      </c>
      <c r="S1724" s="19" t="s">
        <v>29</v>
      </c>
      <c r="T1724" s="19" t="s">
        <v>30</v>
      </c>
      <c r="U1724" s="19" t="s">
        <v>31</v>
      </c>
      <c r="V1724" s="41" t="n">
        <v>43698</v>
      </c>
      <c r="W1724" s="34" t="s">
        <v>2522</v>
      </c>
      <c r="X1724" s="18"/>
      <c r="Z1724" s="33"/>
    </row>
    <row r="1725" customFormat="false" ht="13.8" hidden="false" customHeight="false" outlineLevel="0" collapsed="false">
      <c r="A1725" s="34"/>
      <c r="B1725" s="19" t="n">
        <v>840</v>
      </c>
      <c r="C1725" s="20" t="n">
        <v>43510</v>
      </c>
      <c r="D1725" s="38" t="s">
        <v>22</v>
      </c>
      <c r="E1725" s="22" t="s">
        <v>72</v>
      </c>
      <c r="F1725" s="34" t="s">
        <v>94</v>
      </c>
      <c r="G1725" s="19" t="s">
        <v>1268</v>
      </c>
      <c r="H1725" s="19" t="n">
        <v>73</v>
      </c>
      <c r="I1725" s="19" t="n">
        <v>5</v>
      </c>
      <c r="J1725" s="19" t="n">
        <v>39.54</v>
      </c>
      <c r="K1725" s="39" t="n">
        <v>380000</v>
      </c>
      <c r="L1725" s="39" t="n">
        <f aca="false">K1725/J1725</f>
        <v>9610.52099140111</v>
      </c>
      <c r="M1725" s="34"/>
      <c r="N1725" s="40"/>
      <c r="O1725" s="30" t="n">
        <f aca="false">K1725+N1725</f>
        <v>380000</v>
      </c>
      <c r="P1725" s="39" t="n">
        <f aca="false">O1725/J1725</f>
        <v>9610.52099140111</v>
      </c>
      <c r="Q1725" s="19" t="s">
        <v>1486</v>
      </c>
      <c r="R1725" s="22" t="s">
        <v>36</v>
      </c>
      <c r="S1725" s="19" t="s">
        <v>29</v>
      </c>
      <c r="T1725" s="19" t="s">
        <v>30</v>
      </c>
      <c r="U1725" s="19" t="s">
        <v>31</v>
      </c>
      <c r="V1725" s="41" t="n">
        <v>43699</v>
      </c>
      <c r="W1725" s="34" t="s">
        <v>2523</v>
      </c>
      <c r="X1725" s="18"/>
    </row>
    <row r="1726" customFormat="false" ht="13.8" hidden="false" customHeight="false" outlineLevel="0" collapsed="false">
      <c r="A1726" s="34"/>
      <c r="B1726" s="19" t="n">
        <v>1542</v>
      </c>
      <c r="C1726" s="20" t="n">
        <v>43510</v>
      </c>
      <c r="D1726" s="38" t="s">
        <v>22</v>
      </c>
      <c r="E1726" s="22" t="s">
        <v>65</v>
      </c>
      <c r="F1726" s="34" t="s">
        <v>764</v>
      </c>
      <c r="G1726" s="19" t="n">
        <v>17</v>
      </c>
      <c r="H1726" s="19" t="n">
        <v>31</v>
      </c>
      <c r="I1726" s="19" t="n">
        <v>8</v>
      </c>
      <c r="J1726" s="19" t="n">
        <v>51.1</v>
      </c>
      <c r="K1726" s="39" t="n">
        <v>650000</v>
      </c>
      <c r="L1726" s="39" t="n">
        <f aca="false">K1726/J1726</f>
        <v>12720.156555773</v>
      </c>
      <c r="M1726" s="34" t="s">
        <v>2524</v>
      </c>
      <c r="N1726" s="40" t="n">
        <v>40000</v>
      </c>
      <c r="O1726" s="30" t="n">
        <f aca="false">K1726+N1726</f>
        <v>690000</v>
      </c>
      <c r="P1726" s="39" t="n">
        <f aca="false">O1726/J1726</f>
        <v>13502.9354207436</v>
      </c>
      <c r="Q1726" s="19" t="s">
        <v>2525</v>
      </c>
      <c r="R1726" s="22" t="s">
        <v>36</v>
      </c>
      <c r="S1726" s="19" t="s">
        <v>29</v>
      </c>
      <c r="T1726" s="19" t="s">
        <v>30</v>
      </c>
      <c r="U1726" s="19" t="s">
        <v>31</v>
      </c>
      <c r="V1726" s="41" t="n">
        <v>43699</v>
      </c>
      <c r="W1726" s="34" t="s">
        <v>2526</v>
      </c>
      <c r="X1726" s="18"/>
    </row>
    <row r="1727" customFormat="false" ht="13.8" hidden="false" customHeight="false" outlineLevel="0" collapsed="false">
      <c r="A1727" s="34"/>
      <c r="B1727" s="19" t="n">
        <v>1099</v>
      </c>
      <c r="C1727" s="20" t="n">
        <v>43510</v>
      </c>
      <c r="D1727" s="38" t="s">
        <v>22</v>
      </c>
      <c r="E1727" s="22" t="s">
        <v>144</v>
      </c>
      <c r="F1727" s="34" t="s">
        <v>145</v>
      </c>
      <c r="G1727" s="19" t="s">
        <v>445</v>
      </c>
      <c r="H1727" s="19" t="s">
        <v>2527</v>
      </c>
      <c r="I1727" s="19" t="n">
        <v>5</v>
      </c>
      <c r="J1727" s="19" t="n">
        <v>94.49</v>
      </c>
      <c r="K1727" s="39" t="n">
        <v>1100000</v>
      </c>
      <c r="L1727" s="39" t="n">
        <f aca="false">K1727/J1727</f>
        <v>11641.4435389988</v>
      </c>
      <c r="M1727" s="34"/>
      <c r="N1727" s="40"/>
      <c r="O1727" s="30" t="n">
        <f aca="false">K1727+N1727</f>
        <v>1100000</v>
      </c>
      <c r="P1727" s="39" t="n">
        <f aca="false">O1727/J1727</f>
        <v>11641.4435389988</v>
      </c>
      <c r="Q1727" s="19" t="s">
        <v>2528</v>
      </c>
      <c r="R1727" s="22" t="s">
        <v>36</v>
      </c>
      <c r="S1727" s="19" t="s">
        <v>29</v>
      </c>
      <c r="T1727" s="19" t="s">
        <v>30</v>
      </c>
      <c r="U1727" s="19" t="s">
        <v>31</v>
      </c>
      <c r="V1727" s="41" t="n">
        <v>43699</v>
      </c>
      <c r="W1727" s="34" t="s">
        <v>2529</v>
      </c>
      <c r="X1727" s="18"/>
    </row>
    <row r="1728" customFormat="false" ht="13.8" hidden="false" customHeight="false" outlineLevel="0" collapsed="false">
      <c r="A1728" s="34"/>
      <c r="B1728" s="19" t="n">
        <v>1000</v>
      </c>
      <c r="C1728" s="20" t="n">
        <v>43510</v>
      </c>
      <c r="D1728" s="38" t="s">
        <v>22</v>
      </c>
      <c r="E1728" s="22" t="s">
        <v>287</v>
      </c>
      <c r="F1728" s="34" t="s">
        <v>290</v>
      </c>
      <c r="G1728" s="19" t="n">
        <v>10</v>
      </c>
      <c r="H1728" s="19" t="n">
        <v>35</v>
      </c>
      <c r="I1728" s="19" t="n">
        <v>5</v>
      </c>
      <c r="J1728" s="19" t="n">
        <v>79</v>
      </c>
      <c r="K1728" s="39" t="n">
        <v>1080000</v>
      </c>
      <c r="L1728" s="39" t="n">
        <f aca="false">K1728/J1728</f>
        <v>13670.8860759494</v>
      </c>
      <c r="M1728" s="34" t="s">
        <v>987</v>
      </c>
      <c r="N1728" s="40" t="n">
        <v>40000</v>
      </c>
      <c r="O1728" s="30" t="n">
        <f aca="false">K1728+N1728</f>
        <v>1120000</v>
      </c>
      <c r="P1728" s="39" t="n">
        <f aca="false">O1728/J1728</f>
        <v>14177.2151898734</v>
      </c>
      <c r="Q1728" s="19" t="s">
        <v>2530</v>
      </c>
      <c r="R1728" s="22" t="s">
        <v>36</v>
      </c>
      <c r="S1728" s="19" t="s">
        <v>29</v>
      </c>
      <c r="T1728" s="19" t="s">
        <v>30</v>
      </c>
      <c r="U1728" s="19" t="s">
        <v>31</v>
      </c>
      <c r="V1728" s="41" t="n">
        <v>43699</v>
      </c>
      <c r="W1728" s="34" t="s">
        <v>2531</v>
      </c>
      <c r="X1728" s="18"/>
    </row>
    <row r="1729" customFormat="false" ht="13.8" hidden="false" customHeight="false" outlineLevel="0" collapsed="false">
      <c r="A1729" s="18"/>
      <c r="B1729" s="22" t="s">
        <v>2532</v>
      </c>
      <c r="C1729" s="20" t="n">
        <v>43510</v>
      </c>
      <c r="D1729" s="38" t="s">
        <v>22</v>
      </c>
      <c r="E1729" s="22" t="s">
        <v>72</v>
      </c>
      <c r="F1729" s="23" t="s">
        <v>1881</v>
      </c>
      <c r="G1729" s="22" t="s">
        <v>1268</v>
      </c>
      <c r="H1729" s="22" t="s">
        <v>102</v>
      </c>
      <c r="I1729" s="22" t="n">
        <v>5</v>
      </c>
      <c r="J1729" s="25" t="n">
        <v>39.54</v>
      </c>
      <c r="K1729" s="26" t="n">
        <v>380000</v>
      </c>
      <c r="L1729" s="39" t="n">
        <f aca="false">K1729/J1729</f>
        <v>9610.52099140111</v>
      </c>
      <c r="M1729" s="58"/>
      <c r="N1729" s="71"/>
      <c r="O1729" s="30" t="n">
        <f aca="false">K1729+N1729</f>
        <v>380000</v>
      </c>
      <c r="P1729" s="39" t="n">
        <f aca="false">O1729/J1729</f>
        <v>9610.52099140111</v>
      </c>
      <c r="Q1729" s="58"/>
      <c r="R1729" s="57" t="n">
        <v>5</v>
      </c>
      <c r="S1729" s="19" t="s">
        <v>29</v>
      </c>
      <c r="T1729" s="19" t="s">
        <v>30</v>
      </c>
      <c r="U1729" s="19" t="s">
        <v>31</v>
      </c>
      <c r="V1729" s="22" t="s">
        <v>2184</v>
      </c>
      <c r="W1729" s="22"/>
      <c r="X1729" s="22"/>
    </row>
    <row r="1730" customFormat="false" ht="13.8" hidden="false" customHeight="false" outlineLevel="0" collapsed="false">
      <c r="A1730" s="34"/>
      <c r="B1730" s="19" t="n">
        <v>698</v>
      </c>
      <c r="C1730" s="20" t="n">
        <v>43510</v>
      </c>
      <c r="D1730" s="38" t="s">
        <v>22</v>
      </c>
      <c r="E1730" s="22" t="s">
        <v>375</v>
      </c>
      <c r="F1730" s="34" t="s">
        <v>544</v>
      </c>
      <c r="G1730" s="19" t="n">
        <v>59</v>
      </c>
      <c r="H1730" s="19" t="n">
        <v>8</v>
      </c>
      <c r="I1730" s="19" t="n">
        <v>4</v>
      </c>
      <c r="J1730" s="19" t="n">
        <v>92.08</v>
      </c>
      <c r="K1730" s="39" t="n">
        <v>899000</v>
      </c>
      <c r="L1730" s="39" t="n">
        <f aca="false">K1730/J1730</f>
        <v>9763.2493483927</v>
      </c>
      <c r="M1730" s="34"/>
      <c r="N1730" s="40"/>
      <c r="O1730" s="30" t="n">
        <f aca="false">K1730+N1730</f>
        <v>899000</v>
      </c>
      <c r="P1730" s="39" t="n">
        <f aca="false">O1730/J1730</f>
        <v>9763.2493483927</v>
      </c>
      <c r="Q1730" s="19" t="s">
        <v>2533</v>
      </c>
      <c r="R1730" s="22" t="s">
        <v>26</v>
      </c>
      <c r="S1730" s="19" t="s">
        <v>29</v>
      </c>
      <c r="T1730" s="19" t="s">
        <v>30</v>
      </c>
      <c r="U1730" s="19" t="s">
        <v>31</v>
      </c>
      <c r="V1730" s="41" t="n">
        <v>43699</v>
      </c>
      <c r="W1730" s="34" t="s">
        <v>2534</v>
      </c>
      <c r="X1730" s="18"/>
    </row>
    <row r="1731" customFormat="false" ht="13.8" hidden="false" customHeight="false" outlineLevel="0" collapsed="false">
      <c r="A1731" s="34"/>
      <c r="B1731" s="19" t="n">
        <v>868</v>
      </c>
      <c r="C1731" s="20" t="n">
        <v>43510</v>
      </c>
      <c r="D1731" s="38" t="s">
        <v>22</v>
      </c>
      <c r="E1731" s="22" t="s">
        <v>276</v>
      </c>
      <c r="F1731" s="34" t="s">
        <v>2535</v>
      </c>
      <c r="G1731" s="19" t="n">
        <v>1</v>
      </c>
      <c r="H1731" s="19" t="n">
        <v>11</v>
      </c>
      <c r="I1731" s="19" t="n">
        <v>3</v>
      </c>
      <c r="J1731" s="19" t="n">
        <v>92.5</v>
      </c>
      <c r="K1731" s="39" t="n">
        <v>600000</v>
      </c>
      <c r="L1731" s="39" t="n">
        <f aca="false">K1731/J1731</f>
        <v>6486.48648648649</v>
      </c>
      <c r="M1731" s="34"/>
      <c r="N1731" s="40"/>
      <c r="O1731" s="30" t="n">
        <f aca="false">K1731+N1731</f>
        <v>600000</v>
      </c>
      <c r="P1731" s="39" t="n">
        <f aca="false">O1731/J1731</f>
        <v>6486.48648648649</v>
      </c>
      <c r="Q1731" s="19" t="s">
        <v>1440</v>
      </c>
      <c r="R1731" s="22" t="s">
        <v>49</v>
      </c>
      <c r="S1731" s="19" t="s">
        <v>29</v>
      </c>
      <c r="T1731" s="19" t="s">
        <v>30</v>
      </c>
      <c r="U1731" s="19" t="s">
        <v>31</v>
      </c>
      <c r="V1731" s="41" t="n">
        <v>43698</v>
      </c>
      <c r="W1731" s="34" t="s">
        <v>2536</v>
      </c>
      <c r="X1731" s="18"/>
    </row>
    <row r="1732" customFormat="false" ht="13.8" hidden="false" customHeight="false" outlineLevel="0" collapsed="false">
      <c r="A1732" s="34"/>
      <c r="B1732" s="19" t="n">
        <v>2379</v>
      </c>
      <c r="C1732" s="20" t="n">
        <v>43511</v>
      </c>
      <c r="D1732" s="38" t="s">
        <v>22</v>
      </c>
      <c r="E1732" s="22" t="s">
        <v>75</v>
      </c>
      <c r="F1732" s="34" t="s">
        <v>528</v>
      </c>
      <c r="G1732" s="19" t="n">
        <v>115</v>
      </c>
      <c r="H1732" s="19" t="n">
        <v>7</v>
      </c>
      <c r="I1732" s="19" t="n">
        <v>4</v>
      </c>
      <c r="J1732" s="19" t="n">
        <v>99.3</v>
      </c>
      <c r="K1732" s="39" t="n">
        <v>710000</v>
      </c>
      <c r="L1732" s="39" t="n">
        <f aca="false">K1732/J1732</f>
        <v>7150.05035246727</v>
      </c>
      <c r="M1732" s="34" t="s">
        <v>2537</v>
      </c>
      <c r="N1732" s="40"/>
      <c r="O1732" s="30" t="n">
        <f aca="false">K1732+N1732</f>
        <v>710000</v>
      </c>
      <c r="P1732" s="39" t="n">
        <f aca="false">O1732/J1732</f>
        <v>7150.05035246727</v>
      </c>
      <c r="Q1732" s="19" t="s">
        <v>2538</v>
      </c>
      <c r="R1732" s="22" t="s">
        <v>26</v>
      </c>
      <c r="S1732" s="19" t="s">
        <v>29</v>
      </c>
      <c r="T1732" s="19" t="s">
        <v>30</v>
      </c>
      <c r="U1732" s="19" t="s">
        <v>31</v>
      </c>
      <c r="V1732" s="41" t="n">
        <v>43703</v>
      </c>
      <c r="W1732" s="34" t="s">
        <v>2539</v>
      </c>
      <c r="X1732" s="18"/>
    </row>
    <row r="1733" customFormat="false" ht="13.8" hidden="false" customHeight="false" outlineLevel="0" collapsed="false">
      <c r="A1733" s="34"/>
      <c r="B1733" s="19" t="n">
        <v>3700</v>
      </c>
      <c r="C1733" s="20" t="n">
        <v>43511</v>
      </c>
      <c r="D1733" s="38" t="s">
        <v>22</v>
      </c>
      <c r="E1733" s="22" t="s">
        <v>2540</v>
      </c>
      <c r="F1733" s="34" t="s">
        <v>528</v>
      </c>
      <c r="G1733" s="19" t="n">
        <v>93</v>
      </c>
      <c r="H1733" s="19" t="n">
        <v>4</v>
      </c>
      <c r="I1733" s="19" t="n">
        <v>1</v>
      </c>
      <c r="J1733" s="19" t="n">
        <v>41.4</v>
      </c>
      <c r="K1733" s="39" t="n">
        <v>415000</v>
      </c>
      <c r="L1733" s="39" t="n">
        <f aca="false">K1733/J1733</f>
        <v>10024.154589372</v>
      </c>
      <c r="M1733" s="34"/>
      <c r="N1733" s="40"/>
      <c r="O1733" s="30" t="n">
        <f aca="false">K1733+N1733</f>
        <v>415000</v>
      </c>
      <c r="P1733" s="39" t="n">
        <f aca="false">O1733/J1733</f>
        <v>10024.154589372</v>
      </c>
      <c r="Q1733" s="19" t="s">
        <v>1320</v>
      </c>
      <c r="R1733" s="22" t="s">
        <v>27</v>
      </c>
      <c r="S1733" s="19" t="s">
        <v>29</v>
      </c>
      <c r="T1733" s="19" t="s">
        <v>30</v>
      </c>
      <c r="U1733" s="19" t="s">
        <v>31</v>
      </c>
      <c r="V1733" s="41" t="n">
        <v>43703</v>
      </c>
      <c r="W1733" s="34" t="s">
        <v>2541</v>
      </c>
      <c r="X1733" s="18"/>
    </row>
    <row r="1734" customFormat="false" ht="13.8" hidden="false" customHeight="false" outlineLevel="0" collapsed="false">
      <c r="A1734" s="34"/>
      <c r="B1734" s="19" t="n">
        <v>2300</v>
      </c>
      <c r="C1734" s="20" t="n">
        <v>43511</v>
      </c>
      <c r="D1734" s="38" t="s">
        <v>22</v>
      </c>
      <c r="E1734" s="22" t="s">
        <v>308</v>
      </c>
      <c r="F1734" s="34" t="s">
        <v>309</v>
      </c>
      <c r="G1734" s="19" t="n">
        <v>31</v>
      </c>
      <c r="H1734" s="19" t="n">
        <v>15</v>
      </c>
      <c r="I1734" s="19" t="n">
        <v>1</v>
      </c>
      <c r="J1734" s="19" t="n">
        <v>91.33</v>
      </c>
      <c r="K1734" s="39" t="n">
        <v>877900</v>
      </c>
      <c r="L1734" s="39" t="n">
        <f aca="false">K1734/J1734</f>
        <v>9612.39461294208</v>
      </c>
      <c r="M1734" s="34"/>
      <c r="N1734" s="40"/>
      <c r="O1734" s="30" t="n">
        <f aca="false">K1734+N1734</f>
        <v>877900</v>
      </c>
      <c r="P1734" s="39" t="n">
        <f aca="false">O1734/J1734</f>
        <v>9612.39461294208</v>
      </c>
      <c r="Q1734" s="19" t="s">
        <v>1471</v>
      </c>
      <c r="R1734" s="22" t="s">
        <v>26</v>
      </c>
      <c r="S1734" s="19" t="s">
        <v>29</v>
      </c>
      <c r="T1734" s="19" t="s">
        <v>30</v>
      </c>
      <c r="U1734" s="19" t="s">
        <v>31</v>
      </c>
      <c r="V1734" s="41" t="n">
        <v>43703</v>
      </c>
      <c r="W1734" s="34" t="s">
        <v>2542</v>
      </c>
      <c r="X1734" s="18"/>
      <c r="Y1734" s="35"/>
      <c r="Z1734" s="36"/>
    </row>
    <row r="1735" customFormat="false" ht="13.8" hidden="false" customHeight="false" outlineLevel="0" collapsed="false">
      <c r="A1735" s="34"/>
      <c r="B1735" s="19" t="n">
        <v>5705</v>
      </c>
      <c r="C1735" s="20" t="n">
        <v>43511</v>
      </c>
      <c r="D1735" s="38" t="s">
        <v>22</v>
      </c>
      <c r="E1735" s="22" t="s">
        <v>113</v>
      </c>
      <c r="F1735" s="34" t="s">
        <v>2543</v>
      </c>
      <c r="G1735" s="19" t="n">
        <v>40</v>
      </c>
      <c r="H1735" s="19" t="n">
        <v>15</v>
      </c>
      <c r="I1735" s="19" t="n">
        <v>2</v>
      </c>
      <c r="J1735" s="19" t="n">
        <v>29</v>
      </c>
      <c r="K1735" s="39" t="n">
        <v>230000</v>
      </c>
      <c r="L1735" s="39" t="n">
        <f aca="false">K1735/J1735</f>
        <v>7931.03448275862</v>
      </c>
      <c r="M1735" s="34" t="s">
        <v>2544</v>
      </c>
      <c r="N1735" s="40"/>
      <c r="O1735" s="30" t="n">
        <f aca="false">K1735+N1735</f>
        <v>230000</v>
      </c>
      <c r="P1735" s="39" t="n">
        <f aca="false">O1735/J1735</f>
        <v>7931.03448275862</v>
      </c>
      <c r="Q1735" s="19" t="s">
        <v>2545</v>
      </c>
      <c r="R1735" s="22" t="s">
        <v>27</v>
      </c>
      <c r="S1735" s="19" t="s">
        <v>29</v>
      </c>
      <c r="T1735" s="19" t="s">
        <v>30</v>
      </c>
      <c r="U1735" s="19" t="s">
        <v>31</v>
      </c>
      <c r="V1735" s="41" t="n">
        <v>43699</v>
      </c>
      <c r="W1735" s="34" t="s">
        <v>2546</v>
      </c>
      <c r="X1735" s="18"/>
    </row>
    <row r="1736" customFormat="false" ht="13.8" hidden="false" customHeight="false" outlineLevel="0" collapsed="false">
      <c r="A1736" s="34"/>
      <c r="B1736" s="19" t="n">
        <v>1100</v>
      </c>
      <c r="C1736" s="20" t="n">
        <v>43511</v>
      </c>
      <c r="D1736" s="38" t="s">
        <v>22</v>
      </c>
      <c r="E1736" s="22" t="s">
        <v>42</v>
      </c>
      <c r="F1736" s="34" t="s">
        <v>263</v>
      </c>
      <c r="G1736" s="19" t="n">
        <v>4</v>
      </c>
      <c r="H1736" s="19" t="n">
        <v>50</v>
      </c>
      <c r="I1736" s="19" t="n">
        <v>1</v>
      </c>
      <c r="J1736" s="19" t="n">
        <v>39.6</v>
      </c>
      <c r="K1736" s="39" t="n">
        <v>370000</v>
      </c>
      <c r="L1736" s="39" t="n">
        <f aca="false">K1736/J1736</f>
        <v>9343.43434343434</v>
      </c>
      <c r="M1736" s="34"/>
      <c r="N1736" s="40"/>
      <c r="O1736" s="30" t="n">
        <f aca="false">K1736+N1736</f>
        <v>370000</v>
      </c>
      <c r="P1736" s="39" t="n">
        <f aca="false">O1736/J1736</f>
        <v>9343.43434343434</v>
      </c>
      <c r="Q1736" s="19" t="s">
        <v>1486</v>
      </c>
      <c r="R1736" s="22" t="s">
        <v>36</v>
      </c>
      <c r="S1736" s="19" t="s">
        <v>29</v>
      </c>
      <c r="T1736" s="19" t="s">
        <v>30</v>
      </c>
      <c r="U1736" s="19" t="s">
        <v>31</v>
      </c>
      <c r="V1736" s="41" t="n">
        <v>43703</v>
      </c>
      <c r="W1736" s="34" t="s">
        <v>2547</v>
      </c>
      <c r="X1736" s="18"/>
    </row>
    <row r="1737" customFormat="false" ht="13.8" hidden="false" customHeight="false" outlineLevel="0" collapsed="false">
      <c r="A1737" s="34"/>
      <c r="B1737" s="19" t="n">
        <v>314</v>
      </c>
      <c r="C1737" s="20" t="n">
        <v>43511</v>
      </c>
      <c r="D1737" s="38" t="s">
        <v>22</v>
      </c>
      <c r="E1737" s="22" t="s">
        <v>343</v>
      </c>
      <c r="F1737" s="34" t="s">
        <v>1190</v>
      </c>
      <c r="G1737" s="19" t="n">
        <v>31</v>
      </c>
      <c r="H1737" s="19" t="n">
        <v>17</v>
      </c>
      <c r="I1737" s="19" t="n">
        <v>2</v>
      </c>
      <c r="J1737" s="19" t="n">
        <v>47.3</v>
      </c>
      <c r="K1737" s="39" t="n">
        <v>420000</v>
      </c>
      <c r="L1737" s="39" t="n">
        <f aca="false">K1737/J1737</f>
        <v>8879.49260042283</v>
      </c>
      <c r="M1737" s="34" t="s">
        <v>2548</v>
      </c>
      <c r="N1737" s="40"/>
      <c r="O1737" s="30" t="n">
        <f aca="false">K1737+N1737</f>
        <v>420000</v>
      </c>
      <c r="P1737" s="39" t="n">
        <f aca="false">O1737/J1737</f>
        <v>8879.49260042283</v>
      </c>
      <c r="Q1737" s="19" t="s">
        <v>1660</v>
      </c>
      <c r="R1737" s="22" t="s">
        <v>36</v>
      </c>
      <c r="S1737" s="19" t="s">
        <v>29</v>
      </c>
      <c r="T1737" s="19" t="s">
        <v>30</v>
      </c>
      <c r="U1737" s="19" t="s">
        <v>31</v>
      </c>
      <c r="V1737" s="41" t="n">
        <v>43699</v>
      </c>
      <c r="W1737" s="34" t="s">
        <v>2549</v>
      </c>
      <c r="X1737" s="18"/>
      <c r="AMJ1737" s="32"/>
    </row>
    <row r="1738" s="32" customFormat="true" ht="13.8" hidden="false" customHeight="false" outlineLevel="0" collapsed="false">
      <c r="A1738" s="34"/>
      <c r="B1738" s="19" t="n">
        <v>549</v>
      </c>
      <c r="C1738" s="20" t="n">
        <v>43511</v>
      </c>
      <c r="D1738" s="38" t="s">
        <v>22</v>
      </c>
      <c r="E1738" s="22" t="s">
        <v>37</v>
      </c>
      <c r="F1738" s="34" t="s">
        <v>152</v>
      </c>
      <c r="G1738" s="19" t="n">
        <v>16</v>
      </c>
      <c r="H1738" s="19" t="n">
        <v>14</v>
      </c>
      <c r="I1738" s="19" t="n">
        <v>2</v>
      </c>
      <c r="J1738" s="19" t="n">
        <v>31.5</v>
      </c>
      <c r="K1738" s="39" t="n">
        <v>341000</v>
      </c>
      <c r="L1738" s="39" t="n">
        <f aca="false">K1738/J1738</f>
        <v>10825.3968253968</v>
      </c>
      <c r="M1738" s="34"/>
      <c r="N1738" s="40"/>
      <c r="O1738" s="30" t="n">
        <f aca="false">K1738+N1738</f>
        <v>341000</v>
      </c>
      <c r="P1738" s="39" t="n">
        <f aca="false">O1738/J1738</f>
        <v>10825.3968253968</v>
      </c>
      <c r="Q1738" s="19" t="s">
        <v>1320</v>
      </c>
      <c r="R1738" s="22" t="s">
        <v>27</v>
      </c>
      <c r="S1738" s="19" t="s">
        <v>29</v>
      </c>
      <c r="T1738" s="19" t="s">
        <v>30</v>
      </c>
      <c r="U1738" s="19" t="s">
        <v>31</v>
      </c>
      <c r="V1738" s="41" t="n">
        <v>43699</v>
      </c>
      <c r="W1738" s="34" t="s">
        <v>2550</v>
      </c>
      <c r="X1738" s="18"/>
    </row>
    <row r="1739" s="32" customFormat="true" ht="13.8" hidden="false" customHeight="false" outlineLevel="0" collapsed="false">
      <c r="A1739" s="34"/>
      <c r="B1739" s="19" t="n">
        <v>2644</v>
      </c>
      <c r="C1739" s="20" t="n">
        <v>43511</v>
      </c>
      <c r="D1739" s="38" t="s">
        <v>22</v>
      </c>
      <c r="E1739" s="22" t="s">
        <v>399</v>
      </c>
      <c r="F1739" s="34" t="s">
        <v>272</v>
      </c>
      <c r="G1739" s="19" t="n">
        <v>76</v>
      </c>
      <c r="H1739" s="19" t="n">
        <v>52</v>
      </c>
      <c r="I1739" s="19" t="n">
        <v>4</v>
      </c>
      <c r="J1739" s="19" t="n">
        <v>104.9</v>
      </c>
      <c r="K1739" s="39" t="n">
        <v>920000</v>
      </c>
      <c r="L1739" s="39" t="n">
        <f aca="false">K1739/J1739</f>
        <v>8770.25738798856</v>
      </c>
      <c r="M1739" s="34" t="s">
        <v>2034</v>
      </c>
      <c r="N1739" s="40"/>
      <c r="O1739" s="30" t="n">
        <f aca="false">K1739+N1739</f>
        <v>920000</v>
      </c>
      <c r="P1739" s="39" t="n">
        <f aca="false">O1739/J1739</f>
        <v>8770.25738798856</v>
      </c>
      <c r="Q1739" s="19" t="s">
        <v>2551</v>
      </c>
      <c r="R1739" s="22" t="s">
        <v>26</v>
      </c>
      <c r="S1739" s="19" t="s">
        <v>29</v>
      </c>
      <c r="T1739" s="19" t="s">
        <v>30</v>
      </c>
      <c r="U1739" s="19" t="s">
        <v>31</v>
      </c>
      <c r="V1739" s="41" t="n">
        <v>43699</v>
      </c>
      <c r="W1739" s="34" t="s">
        <v>2552</v>
      </c>
      <c r="X1739" s="18"/>
    </row>
    <row r="1740" s="32" customFormat="true" ht="13.8" hidden="false" customHeight="false" outlineLevel="0" collapsed="false">
      <c r="A1740" s="34"/>
      <c r="B1740" s="19" t="n">
        <v>2467</v>
      </c>
      <c r="C1740" s="20" t="n">
        <v>43511</v>
      </c>
      <c r="D1740" s="38" t="s">
        <v>22</v>
      </c>
      <c r="E1740" s="22" t="s">
        <v>372</v>
      </c>
      <c r="F1740" s="34" t="s">
        <v>272</v>
      </c>
      <c r="G1740" s="19" t="s">
        <v>2553</v>
      </c>
      <c r="H1740" s="19" t="n">
        <v>98</v>
      </c>
      <c r="I1740" s="19" t="n">
        <v>12</v>
      </c>
      <c r="J1740" s="19" t="n">
        <v>101.8</v>
      </c>
      <c r="K1740" s="39" t="n">
        <v>1125000</v>
      </c>
      <c r="L1740" s="39" t="n">
        <f aca="false">K1740/J1740</f>
        <v>11051.0805500982</v>
      </c>
      <c r="M1740" s="34" t="s">
        <v>2554</v>
      </c>
      <c r="N1740" s="40"/>
      <c r="O1740" s="30" t="n">
        <f aca="false">K1740+N1740</f>
        <v>1125000</v>
      </c>
      <c r="P1740" s="39" t="n">
        <f aca="false">O1740/J1740</f>
        <v>11051.0805500982</v>
      </c>
      <c r="Q1740" s="19" t="s">
        <v>2555</v>
      </c>
      <c r="R1740" s="22" t="s">
        <v>49</v>
      </c>
      <c r="S1740" s="19" t="s">
        <v>29</v>
      </c>
      <c r="T1740" s="19" t="s">
        <v>30</v>
      </c>
      <c r="U1740" s="19" t="s">
        <v>31</v>
      </c>
      <c r="V1740" s="41" t="n">
        <v>43699</v>
      </c>
      <c r="W1740" s="34" t="s">
        <v>2556</v>
      </c>
      <c r="X1740" s="18"/>
    </row>
    <row r="1741" customFormat="false" ht="13.8" hidden="false" customHeight="false" outlineLevel="0" collapsed="false">
      <c r="A1741" s="34"/>
      <c r="B1741" s="19" t="n">
        <v>2004</v>
      </c>
      <c r="C1741" s="20" t="n">
        <v>43511</v>
      </c>
      <c r="D1741" s="38" t="s">
        <v>22</v>
      </c>
      <c r="E1741" s="22" t="s">
        <v>372</v>
      </c>
      <c r="F1741" s="34" t="s">
        <v>272</v>
      </c>
      <c r="G1741" s="19" t="n">
        <v>31</v>
      </c>
      <c r="H1741" s="19" t="n">
        <v>93</v>
      </c>
      <c r="I1741" s="19" t="n">
        <v>8.9</v>
      </c>
      <c r="J1741" s="19" t="n">
        <v>83.84</v>
      </c>
      <c r="K1741" s="39" t="n">
        <v>1039300.46</v>
      </c>
      <c r="L1741" s="39" t="n">
        <f aca="false">K1741/J1741</f>
        <v>12396.2364026718</v>
      </c>
      <c r="M1741" s="34" t="s">
        <v>2557</v>
      </c>
      <c r="N1741" s="40" t="n">
        <v>24000</v>
      </c>
      <c r="O1741" s="30" t="n">
        <f aca="false">K1741+N1741</f>
        <v>1063300.46</v>
      </c>
      <c r="P1741" s="39" t="n">
        <f aca="false">O1741/J1741</f>
        <v>12682.4959446565</v>
      </c>
      <c r="Q1741" s="19" t="s">
        <v>2558</v>
      </c>
      <c r="R1741" s="22" t="s">
        <v>26</v>
      </c>
      <c r="S1741" s="19" t="s">
        <v>29</v>
      </c>
      <c r="T1741" s="19" t="s">
        <v>30</v>
      </c>
      <c r="U1741" s="19" t="s">
        <v>31</v>
      </c>
      <c r="V1741" s="41" t="n">
        <v>43699</v>
      </c>
      <c r="W1741" s="34" t="s">
        <v>2559</v>
      </c>
      <c r="X1741" s="18"/>
    </row>
    <row r="1742" customFormat="false" ht="13.8" hidden="false" customHeight="false" outlineLevel="0" collapsed="false">
      <c r="A1742" s="34"/>
      <c r="B1742" s="19" t="n">
        <v>952</v>
      </c>
      <c r="C1742" s="20" t="n">
        <v>43514</v>
      </c>
      <c r="D1742" s="38" t="s">
        <v>22</v>
      </c>
      <c r="E1742" s="22" t="s">
        <v>75</v>
      </c>
      <c r="F1742" s="34" t="s">
        <v>2240</v>
      </c>
      <c r="G1742" s="19" t="n">
        <v>105</v>
      </c>
      <c r="H1742" s="19" t="n">
        <v>11</v>
      </c>
      <c r="I1742" s="19" t="n">
        <v>3</v>
      </c>
      <c r="J1742" s="19" t="n">
        <v>105.57</v>
      </c>
      <c r="K1742" s="39" t="n">
        <v>650000</v>
      </c>
      <c r="L1742" s="39" t="n">
        <f aca="false">K1742/J1742</f>
        <v>6157.05219285782</v>
      </c>
      <c r="M1742" s="34" t="s">
        <v>2560</v>
      </c>
      <c r="N1742" s="40"/>
      <c r="O1742" s="30" t="n">
        <f aca="false">K1742+N1742</f>
        <v>650000</v>
      </c>
      <c r="P1742" s="39" t="n">
        <f aca="false">O1742/J1742</f>
        <v>6157.05219285782</v>
      </c>
      <c r="Q1742" s="19" t="s">
        <v>2561</v>
      </c>
      <c r="R1742" s="22" t="s">
        <v>49</v>
      </c>
      <c r="S1742" s="19" t="s">
        <v>29</v>
      </c>
      <c r="T1742" s="19" t="s">
        <v>30</v>
      </c>
      <c r="U1742" s="19" t="s">
        <v>31</v>
      </c>
      <c r="V1742" s="41" t="n">
        <v>43703</v>
      </c>
      <c r="W1742" s="34" t="s">
        <v>2562</v>
      </c>
      <c r="X1742" s="34"/>
    </row>
    <row r="1743" customFormat="false" ht="13.8" hidden="false" customHeight="false" outlineLevel="0" collapsed="false">
      <c r="A1743" s="34"/>
      <c r="B1743" s="19" t="n">
        <v>1312</v>
      </c>
      <c r="C1743" s="20" t="n">
        <v>43514</v>
      </c>
      <c r="D1743" s="38" t="s">
        <v>22</v>
      </c>
      <c r="E1743" s="22" t="s">
        <v>61</v>
      </c>
      <c r="F1743" s="34" t="s">
        <v>62</v>
      </c>
      <c r="G1743" s="19" t="n">
        <v>1</v>
      </c>
      <c r="H1743" s="19" t="n">
        <v>44</v>
      </c>
      <c r="I1743" s="19" t="n">
        <v>8</v>
      </c>
      <c r="J1743" s="19" t="n">
        <v>53.31</v>
      </c>
      <c r="K1743" s="39" t="n">
        <v>395000</v>
      </c>
      <c r="L1743" s="39" t="n">
        <f aca="false">K1743/J1743</f>
        <v>7409.49165259801</v>
      </c>
      <c r="M1743" s="18"/>
      <c r="N1743" s="40"/>
      <c r="O1743" s="30" t="n">
        <f aca="false">K1743+N1743</f>
        <v>395000</v>
      </c>
      <c r="P1743" s="39" t="n">
        <f aca="false">O1743/J1743</f>
        <v>7409.49165259801</v>
      </c>
      <c r="Q1743" s="19" t="s">
        <v>2173</v>
      </c>
      <c r="R1743" s="22" t="s">
        <v>49</v>
      </c>
      <c r="S1743" s="19" t="s">
        <v>29</v>
      </c>
      <c r="T1743" s="19" t="s">
        <v>30</v>
      </c>
      <c r="U1743" s="19" t="s">
        <v>31</v>
      </c>
      <c r="V1743" s="41" t="n">
        <v>43703</v>
      </c>
      <c r="W1743" s="34" t="s">
        <v>2563</v>
      </c>
      <c r="X1743" s="34"/>
    </row>
    <row r="1744" customFormat="false" ht="13.8" hidden="false" customHeight="false" outlineLevel="0" collapsed="false">
      <c r="A1744" s="34"/>
      <c r="B1744" s="19" t="n">
        <v>332</v>
      </c>
      <c r="C1744" s="20" t="n">
        <v>43514</v>
      </c>
      <c r="D1744" s="38" t="s">
        <v>22</v>
      </c>
      <c r="E1744" s="22" t="s">
        <v>42</v>
      </c>
      <c r="F1744" s="34" t="s">
        <v>740</v>
      </c>
      <c r="G1744" s="19" t="n">
        <v>1</v>
      </c>
      <c r="H1744" s="19" t="n">
        <v>2</v>
      </c>
      <c r="I1744" s="19" t="n">
        <v>1</v>
      </c>
      <c r="J1744" s="19" t="n">
        <v>36.6</v>
      </c>
      <c r="K1744" s="39" t="n">
        <v>360000</v>
      </c>
      <c r="L1744" s="39" t="n">
        <f aca="false">K1744/J1744</f>
        <v>9836.06557377049</v>
      </c>
      <c r="M1744" s="34" t="s">
        <v>2564</v>
      </c>
      <c r="N1744" s="40"/>
      <c r="O1744" s="30" t="n">
        <f aca="false">K1744+N1744</f>
        <v>360000</v>
      </c>
      <c r="P1744" s="39" t="n">
        <f aca="false">O1744/J1744</f>
        <v>9836.06557377049</v>
      </c>
      <c r="Q1744" s="19" t="s">
        <v>1320</v>
      </c>
      <c r="R1744" s="22" t="s">
        <v>27</v>
      </c>
      <c r="S1744" s="19" t="s">
        <v>29</v>
      </c>
      <c r="T1744" s="19" t="s">
        <v>30</v>
      </c>
      <c r="U1744" s="19" t="s">
        <v>31</v>
      </c>
      <c r="V1744" s="41" t="n">
        <v>43698</v>
      </c>
      <c r="W1744" s="34" t="s">
        <v>2565</v>
      </c>
      <c r="X1744" s="18"/>
    </row>
    <row r="1745" customFormat="false" ht="13.8" hidden="false" customHeight="false" outlineLevel="0" collapsed="false">
      <c r="A1745" s="34"/>
      <c r="B1745" s="19" t="n">
        <v>2454</v>
      </c>
      <c r="C1745" s="20" t="n">
        <v>43514</v>
      </c>
      <c r="D1745" s="38" t="s">
        <v>22</v>
      </c>
      <c r="E1745" s="22" t="s">
        <v>109</v>
      </c>
      <c r="F1745" s="34" t="s">
        <v>1303</v>
      </c>
      <c r="G1745" s="22" t="s">
        <v>192</v>
      </c>
      <c r="H1745" s="19" t="n">
        <v>10</v>
      </c>
      <c r="I1745" s="19" t="n">
        <v>1</v>
      </c>
      <c r="J1745" s="19" t="n">
        <v>48.9</v>
      </c>
      <c r="K1745" s="39" t="n">
        <v>440000</v>
      </c>
      <c r="L1745" s="39" t="n">
        <v>8997</v>
      </c>
      <c r="M1745" s="18"/>
      <c r="N1745" s="40"/>
      <c r="O1745" s="30" t="n">
        <f aca="false">K1745+N1745</f>
        <v>440000</v>
      </c>
      <c r="P1745" s="39" t="n">
        <f aca="false">O1745/J1745</f>
        <v>8997.95501022495</v>
      </c>
      <c r="Q1745" s="19" t="s">
        <v>1486</v>
      </c>
      <c r="R1745" s="22" t="s">
        <v>36</v>
      </c>
      <c r="S1745" s="19" t="s">
        <v>29</v>
      </c>
      <c r="T1745" s="19" t="s">
        <v>30</v>
      </c>
      <c r="U1745" s="19" t="s">
        <v>31</v>
      </c>
      <c r="V1745" s="41" t="n">
        <v>43703</v>
      </c>
      <c r="W1745" s="34" t="s">
        <v>2566</v>
      </c>
      <c r="X1745" s="18"/>
    </row>
    <row r="1746" customFormat="false" ht="13.8" hidden="false" customHeight="false" outlineLevel="0" collapsed="false">
      <c r="A1746" s="34"/>
      <c r="B1746" s="19" t="n">
        <v>2035</v>
      </c>
      <c r="C1746" s="20" t="n">
        <v>43515</v>
      </c>
      <c r="D1746" s="38" t="s">
        <v>22</v>
      </c>
      <c r="E1746" s="22" t="s">
        <v>178</v>
      </c>
      <c r="F1746" s="34" t="s">
        <v>220</v>
      </c>
      <c r="G1746" s="19" t="n">
        <v>6</v>
      </c>
      <c r="H1746" s="19" t="n">
        <v>43</v>
      </c>
      <c r="I1746" s="19" t="n">
        <v>1</v>
      </c>
      <c r="J1746" s="19" t="n">
        <v>38.2</v>
      </c>
      <c r="K1746" s="39" t="n">
        <v>355000</v>
      </c>
      <c r="L1746" s="39" t="n">
        <f aca="false">K1746/J1746</f>
        <v>9293.19371727749</v>
      </c>
      <c r="M1746" s="18"/>
      <c r="N1746" s="40"/>
      <c r="O1746" s="30" t="n">
        <f aca="false">K1746+N1746</f>
        <v>355000</v>
      </c>
      <c r="P1746" s="39" t="n">
        <f aca="false">O1746/J1746</f>
        <v>9293.19371727749</v>
      </c>
      <c r="Q1746" s="19" t="s">
        <v>1320</v>
      </c>
      <c r="R1746" s="22" t="s">
        <v>27</v>
      </c>
      <c r="S1746" s="19" t="s">
        <v>29</v>
      </c>
      <c r="T1746" s="19" t="s">
        <v>30</v>
      </c>
      <c r="U1746" s="19" t="s">
        <v>31</v>
      </c>
      <c r="V1746" s="41" t="n">
        <v>43699</v>
      </c>
      <c r="W1746" s="34" t="s">
        <v>2567</v>
      </c>
      <c r="X1746" s="18"/>
    </row>
    <row r="1747" customFormat="false" ht="13.8" hidden="false" customHeight="false" outlineLevel="0" collapsed="false">
      <c r="A1747" s="34"/>
      <c r="B1747" s="19" t="n">
        <v>220</v>
      </c>
      <c r="C1747" s="20" t="n">
        <v>43515</v>
      </c>
      <c r="D1747" s="38" t="s">
        <v>22</v>
      </c>
      <c r="E1747" s="22" t="s">
        <v>665</v>
      </c>
      <c r="F1747" s="34" t="s">
        <v>666</v>
      </c>
      <c r="G1747" s="19" t="n">
        <v>9</v>
      </c>
      <c r="H1747" s="19" t="n">
        <v>22</v>
      </c>
      <c r="I1747" s="19" t="n">
        <v>4</v>
      </c>
      <c r="J1747" s="19" t="n">
        <v>40.6</v>
      </c>
      <c r="K1747" s="39" t="n">
        <f aca="false">360000+180000</f>
        <v>540000</v>
      </c>
      <c r="L1747" s="39" t="n">
        <f aca="false">K1747/J1747</f>
        <v>13300.4926108374</v>
      </c>
      <c r="M1747" s="18"/>
      <c r="N1747" s="40"/>
      <c r="O1747" s="30" t="n">
        <f aca="false">K1747+N1747</f>
        <v>540000</v>
      </c>
      <c r="P1747" s="39" t="n">
        <f aca="false">O1747/J1747</f>
        <v>13300.4926108374</v>
      </c>
      <c r="Q1747" s="19" t="s">
        <v>1683</v>
      </c>
      <c r="R1747" s="22" t="s">
        <v>36</v>
      </c>
      <c r="S1747" s="19" t="s">
        <v>29</v>
      </c>
      <c r="T1747" s="19" t="s">
        <v>30</v>
      </c>
      <c r="U1747" s="19" t="s">
        <v>31</v>
      </c>
      <c r="V1747" s="41" t="n">
        <v>43703</v>
      </c>
      <c r="W1747" s="34" t="s">
        <v>2568</v>
      </c>
      <c r="X1747" s="18"/>
    </row>
    <row r="1748" customFormat="false" ht="13.8" hidden="false" customHeight="false" outlineLevel="0" collapsed="false">
      <c r="A1748" s="34"/>
      <c r="B1748" s="19" t="n">
        <v>770</v>
      </c>
      <c r="C1748" s="20" t="n">
        <v>43515</v>
      </c>
      <c r="D1748" s="38" t="s">
        <v>22</v>
      </c>
      <c r="E1748" s="22" t="s">
        <v>235</v>
      </c>
      <c r="F1748" s="34" t="s">
        <v>236</v>
      </c>
      <c r="G1748" s="19" t="s">
        <v>384</v>
      </c>
      <c r="H1748" s="19" t="n">
        <v>15</v>
      </c>
      <c r="I1748" s="19" t="n">
        <v>3</v>
      </c>
      <c r="J1748" s="19" t="n">
        <v>69.29</v>
      </c>
      <c r="K1748" s="39" t="n">
        <v>540000</v>
      </c>
      <c r="L1748" s="39" t="n">
        <f aca="false">K1748/J1748</f>
        <v>7793.33237119353</v>
      </c>
      <c r="M1748" s="18"/>
      <c r="N1748" s="40"/>
      <c r="O1748" s="30" t="n">
        <f aca="false">K1748+N1748</f>
        <v>540000</v>
      </c>
      <c r="P1748" s="39" t="n">
        <f aca="false">O1748/J1748</f>
        <v>7793.33237119353</v>
      </c>
      <c r="Q1748" s="19" t="s">
        <v>1486</v>
      </c>
      <c r="R1748" s="22" t="s">
        <v>36</v>
      </c>
      <c r="S1748" s="19" t="s">
        <v>29</v>
      </c>
      <c r="T1748" s="19" t="s">
        <v>30</v>
      </c>
      <c r="U1748" s="19" t="s">
        <v>31</v>
      </c>
      <c r="V1748" s="41" t="n">
        <v>43699</v>
      </c>
      <c r="W1748" s="34" t="s">
        <v>2569</v>
      </c>
      <c r="X1748" s="18"/>
    </row>
    <row r="1749" customFormat="false" ht="13.8" hidden="false" customHeight="false" outlineLevel="0" collapsed="false">
      <c r="A1749" s="34"/>
      <c r="B1749" s="19" t="n">
        <v>518</v>
      </c>
      <c r="C1749" s="20" t="n">
        <v>43515</v>
      </c>
      <c r="D1749" s="38" t="s">
        <v>22</v>
      </c>
      <c r="E1749" s="22" t="s">
        <v>122</v>
      </c>
      <c r="F1749" s="34" t="s">
        <v>723</v>
      </c>
      <c r="G1749" s="19" t="n">
        <v>3</v>
      </c>
      <c r="H1749" s="19" t="n">
        <v>87</v>
      </c>
      <c r="I1749" s="19" t="n">
        <v>15</v>
      </c>
      <c r="J1749" s="19" t="n">
        <v>56.45</v>
      </c>
      <c r="K1749" s="39" t="n">
        <v>450000</v>
      </c>
      <c r="L1749" s="39" t="n">
        <f aca="false">K1749/J1749</f>
        <v>7971.65633303809</v>
      </c>
      <c r="M1749" s="34" t="s">
        <v>2570</v>
      </c>
      <c r="N1749" s="40"/>
      <c r="O1749" s="30" t="n">
        <f aca="false">K1749+N1749</f>
        <v>450000</v>
      </c>
      <c r="P1749" s="39" t="n">
        <f aca="false">O1749/J1749</f>
        <v>7971.65633303809</v>
      </c>
      <c r="Q1749" s="19" t="s">
        <v>1471</v>
      </c>
      <c r="R1749" s="22" t="s">
        <v>26</v>
      </c>
      <c r="S1749" s="19" t="s">
        <v>29</v>
      </c>
      <c r="T1749" s="19" t="s">
        <v>30</v>
      </c>
      <c r="U1749" s="19" t="s">
        <v>31</v>
      </c>
      <c r="V1749" s="41" t="n">
        <v>43698</v>
      </c>
      <c r="W1749" s="34" t="s">
        <v>2571</v>
      </c>
      <c r="X1749" s="18"/>
    </row>
    <row r="1750" customFormat="false" ht="13.8" hidden="false" customHeight="false" outlineLevel="0" collapsed="false">
      <c r="A1750" s="34"/>
      <c r="B1750" s="19" t="n">
        <v>1850</v>
      </c>
      <c r="C1750" s="20" t="n">
        <v>43515</v>
      </c>
      <c r="D1750" s="38" t="s">
        <v>22</v>
      </c>
      <c r="E1750" s="22" t="s">
        <v>122</v>
      </c>
      <c r="F1750" s="34" t="s">
        <v>723</v>
      </c>
      <c r="G1750" s="19" t="n">
        <v>3</v>
      </c>
      <c r="H1750" s="19" t="n">
        <v>28</v>
      </c>
      <c r="I1750" s="19" t="n">
        <v>5</v>
      </c>
      <c r="J1750" s="19" t="n">
        <v>56.4</v>
      </c>
      <c r="K1750" s="39" t="n">
        <v>610000</v>
      </c>
      <c r="L1750" s="39" t="n">
        <f aca="false">K1750/J1750</f>
        <v>10815.6028368794</v>
      </c>
      <c r="M1750" s="18"/>
      <c r="N1750" s="40"/>
      <c r="O1750" s="30" t="n">
        <f aca="false">K1750+N1750</f>
        <v>610000</v>
      </c>
      <c r="P1750" s="39" t="n">
        <f aca="false">O1750/J1750</f>
        <v>10815.6028368794</v>
      </c>
      <c r="Q1750" s="19" t="s">
        <v>2572</v>
      </c>
      <c r="R1750" s="22" t="s">
        <v>26</v>
      </c>
      <c r="S1750" s="19" t="s">
        <v>29</v>
      </c>
      <c r="T1750" s="19" t="s">
        <v>30</v>
      </c>
      <c r="U1750" s="19" t="s">
        <v>31</v>
      </c>
      <c r="V1750" s="41" t="n">
        <v>43703</v>
      </c>
      <c r="W1750" s="34" t="s">
        <v>2573</v>
      </c>
      <c r="X1750" s="18"/>
    </row>
    <row r="1751" customFormat="false" ht="13.8" hidden="false" customHeight="false" outlineLevel="0" collapsed="false">
      <c r="A1751" s="34"/>
      <c r="B1751" s="19" t="n">
        <v>992</v>
      </c>
      <c r="C1751" s="20" t="n">
        <v>43515</v>
      </c>
      <c r="D1751" s="38" t="s">
        <v>22</v>
      </c>
      <c r="E1751" s="22" t="s">
        <v>375</v>
      </c>
      <c r="F1751" s="34" t="s">
        <v>544</v>
      </c>
      <c r="G1751" s="19" t="s">
        <v>1759</v>
      </c>
      <c r="H1751" s="19" t="n">
        <v>2</v>
      </c>
      <c r="I1751" s="19" t="n">
        <v>1</v>
      </c>
      <c r="J1751" s="19" t="n">
        <v>77.46</v>
      </c>
      <c r="K1751" s="39" t="n">
        <v>980000</v>
      </c>
      <c r="L1751" s="39" t="n">
        <f aca="false">K1751/J1751</f>
        <v>12651.6911954557</v>
      </c>
      <c r="M1751" s="18"/>
      <c r="N1751" s="40"/>
      <c r="O1751" s="30" t="n">
        <f aca="false">K1751+N1751</f>
        <v>980000</v>
      </c>
      <c r="P1751" s="39" t="n">
        <f aca="false">O1751/J1751</f>
        <v>12651.6911954557</v>
      </c>
      <c r="Q1751" s="19" t="s">
        <v>2574</v>
      </c>
      <c r="R1751" s="22" t="s">
        <v>26</v>
      </c>
      <c r="S1751" s="19" t="s">
        <v>29</v>
      </c>
      <c r="T1751" s="19" t="s">
        <v>30</v>
      </c>
      <c r="U1751" s="19" t="s">
        <v>31</v>
      </c>
      <c r="V1751" s="41" t="n">
        <v>43699</v>
      </c>
      <c r="W1751" s="34" t="s">
        <v>2575</v>
      </c>
      <c r="X1751" s="18"/>
    </row>
    <row r="1752" customFormat="false" ht="13.8" hidden="false" customHeight="false" outlineLevel="0" collapsed="false">
      <c r="A1752" s="34"/>
      <c r="B1752" s="19" t="s">
        <v>887</v>
      </c>
      <c r="C1752" s="20" t="n">
        <v>43515</v>
      </c>
      <c r="D1752" s="38" t="s">
        <v>22</v>
      </c>
      <c r="E1752" s="22" t="s">
        <v>934</v>
      </c>
      <c r="F1752" s="45" t="s">
        <v>486</v>
      </c>
      <c r="G1752" s="19" t="n">
        <v>12</v>
      </c>
      <c r="H1752" s="19"/>
      <c r="I1752" s="19" t="n">
        <v>1</v>
      </c>
      <c r="J1752" s="25" t="n">
        <v>23.5</v>
      </c>
      <c r="K1752" s="39" t="n">
        <v>265000</v>
      </c>
      <c r="L1752" s="39" t="n">
        <f aca="false">K1752/J1752</f>
        <v>11276.5957446809</v>
      </c>
      <c r="M1752" s="34" t="s">
        <v>2576</v>
      </c>
      <c r="N1752" s="40"/>
      <c r="O1752" s="30" t="n">
        <f aca="false">K1752+N1752</f>
        <v>265000</v>
      </c>
      <c r="P1752" s="39" t="n">
        <f aca="false">O1752/J1752</f>
        <v>11276.5957446809</v>
      </c>
      <c r="Q1752" s="19" t="s">
        <v>889</v>
      </c>
      <c r="R1752" s="19" t="n">
        <v>2</v>
      </c>
      <c r="S1752" s="19" t="s">
        <v>1141</v>
      </c>
      <c r="T1752" s="19"/>
      <c r="U1752" s="19" t="s">
        <v>31</v>
      </c>
      <c r="V1752" s="41" t="n">
        <v>43727</v>
      </c>
      <c r="W1752" s="18"/>
      <c r="X1752" s="18"/>
      <c r="Z1752" s="33"/>
      <c r="AB1752" s="37"/>
    </row>
    <row r="1753" customFormat="false" ht="13.8" hidden="false" customHeight="false" outlineLevel="0" collapsed="false">
      <c r="A1753" s="34"/>
      <c r="B1753" s="19" t="n">
        <v>916</v>
      </c>
      <c r="C1753" s="20" t="n">
        <v>43516</v>
      </c>
      <c r="D1753" s="38" t="s">
        <v>22</v>
      </c>
      <c r="E1753" s="22" t="s">
        <v>53</v>
      </c>
      <c r="F1753" s="34" t="s">
        <v>614</v>
      </c>
      <c r="G1753" s="19" t="n">
        <v>7</v>
      </c>
      <c r="H1753" s="19" t="n">
        <v>610</v>
      </c>
      <c r="I1753" s="19" t="n">
        <v>6</v>
      </c>
      <c r="J1753" s="19" t="n">
        <v>47.6</v>
      </c>
      <c r="K1753" s="39" t="n">
        <v>415000</v>
      </c>
      <c r="L1753" s="39" t="n">
        <f aca="false">K1753/J1753</f>
        <v>8718.48739495798</v>
      </c>
      <c r="M1753" s="34" t="s">
        <v>2577</v>
      </c>
      <c r="N1753" s="40"/>
      <c r="O1753" s="30" t="n">
        <f aca="false">K1753+N1753</f>
        <v>415000</v>
      </c>
      <c r="P1753" s="39" t="n">
        <f aca="false">O1753/J1753</f>
        <v>8718.48739495798</v>
      </c>
      <c r="Q1753" s="19" t="s">
        <v>2578</v>
      </c>
      <c r="R1753" s="22" t="s">
        <v>36</v>
      </c>
      <c r="S1753" s="19" t="s">
        <v>29</v>
      </c>
      <c r="T1753" s="19" t="s">
        <v>30</v>
      </c>
      <c r="U1753" s="19" t="s">
        <v>31</v>
      </c>
      <c r="V1753" s="41" t="n">
        <v>43699</v>
      </c>
      <c r="W1753" s="34" t="s">
        <v>2579</v>
      </c>
      <c r="X1753" s="18"/>
    </row>
    <row r="1754" customFormat="false" ht="13.8" hidden="false" customHeight="false" outlineLevel="0" collapsed="false">
      <c r="A1754" s="34"/>
      <c r="B1754" s="19" t="n">
        <v>659</v>
      </c>
      <c r="C1754" s="20" t="n">
        <v>43516</v>
      </c>
      <c r="D1754" s="38" t="s">
        <v>22</v>
      </c>
      <c r="E1754" s="22" t="s">
        <v>308</v>
      </c>
      <c r="F1754" s="34" t="s">
        <v>309</v>
      </c>
      <c r="G1754" s="19" t="s">
        <v>304</v>
      </c>
      <c r="H1754" s="19" t="n">
        <v>13</v>
      </c>
      <c r="I1754" s="19" t="n">
        <v>2</v>
      </c>
      <c r="J1754" s="19" t="n">
        <v>54.03</v>
      </c>
      <c r="K1754" s="39" t="n">
        <v>500000</v>
      </c>
      <c r="L1754" s="39" t="n">
        <f aca="false">K1754/J1754</f>
        <v>9254.11808254673</v>
      </c>
      <c r="M1754" s="34" t="s">
        <v>2580</v>
      </c>
      <c r="N1754" s="40" t="n">
        <v>30000</v>
      </c>
      <c r="O1754" s="30" t="n">
        <f aca="false">K1754+N1754</f>
        <v>530000</v>
      </c>
      <c r="P1754" s="39" t="n">
        <f aca="false">O1754/J1754</f>
        <v>9809.36516749954</v>
      </c>
      <c r="Q1754" s="19" t="s">
        <v>2581</v>
      </c>
      <c r="R1754" s="22" t="s">
        <v>27</v>
      </c>
      <c r="S1754" s="19" t="s">
        <v>29</v>
      </c>
      <c r="T1754" s="19" t="s">
        <v>30</v>
      </c>
      <c r="U1754" s="19" t="s">
        <v>31</v>
      </c>
      <c r="V1754" s="41" t="n">
        <v>43703</v>
      </c>
      <c r="W1754" s="34" t="s">
        <v>2582</v>
      </c>
      <c r="X1754" s="18"/>
    </row>
    <row r="1755" customFormat="false" ht="13.8" hidden="false" customHeight="false" outlineLevel="0" collapsed="false">
      <c r="A1755" s="34"/>
      <c r="B1755" s="19" t="n">
        <v>1408</v>
      </c>
      <c r="C1755" s="20" t="n">
        <v>43516</v>
      </c>
      <c r="D1755" s="38" t="s">
        <v>22</v>
      </c>
      <c r="E1755" s="22" t="s">
        <v>287</v>
      </c>
      <c r="F1755" s="34" t="s">
        <v>288</v>
      </c>
      <c r="G1755" s="19" t="n">
        <v>20</v>
      </c>
      <c r="H1755" s="19" t="n">
        <v>29</v>
      </c>
      <c r="I1755" s="19" t="n">
        <v>5</v>
      </c>
      <c r="J1755" s="19" t="n">
        <v>54.05</v>
      </c>
      <c r="K1755" s="39" t="n">
        <v>628000</v>
      </c>
      <c r="L1755" s="39" t="n">
        <f aca="false">K1755/J1755</f>
        <v>11618.8714153562</v>
      </c>
      <c r="M1755" s="18"/>
      <c r="N1755" s="40"/>
      <c r="O1755" s="30" t="n">
        <f aca="false">K1755+N1755</f>
        <v>628000</v>
      </c>
      <c r="P1755" s="39" t="n">
        <f aca="false">O1755/J1755</f>
        <v>11618.8714153562</v>
      </c>
      <c r="Q1755" s="19" t="s">
        <v>2583</v>
      </c>
      <c r="R1755" s="22" t="s">
        <v>36</v>
      </c>
      <c r="S1755" s="19" t="s">
        <v>29</v>
      </c>
      <c r="T1755" s="19" t="s">
        <v>30</v>
      </c>
      <c r="U1755" s="19" t="s">
        <v>31</v>
      </c>
      <c r="V1755" s="41" t="n">
        <v>43699</v>
      </c>
      <c r="W1755" s="34" t="s">
        <v>2584</v>
      </c>
      <c r="X1755" s="18"/>
    </row>
    <row r="1756" customFormat="false" ht="13.8" hidden="false" customHeight="false" outlineLevel="0" collapsed="false">
      <c r="A1756" s="34"/>
      <c r="B1756" s="19" t="n">
        <v>1008</v>
      </c>
      <c r="C1756" s="20" t="n">
        <v>43516</v>
      </c>
      <c r="D1756" s="38" t="s">
        <v>22</v>
      </c>
      <c r="E1756" s="22" t="s">
        <v>235</v>
      </c>
      <c r="F1756" s="34" t="s">
        <v>236</v>
      </c>
      <c r="G1756" s="19" t="s">
        <v>708</v>
      </c>
      <c r="H1756" s="19" t="n">
        <v>26</v>
      </c>
      <c r="I1756" s="19" t="n">
        <v>2</v>
      </c>
      <c r="J1756" s="19" t="n">
        <v>51.4</v>
      </c>
      <c r="K1756" s="39" t="n">
        <v>440000</v>
      </c>
      <c r="L1756" s="39" t="n">
        <f aca="false">K1756/J1756</f>
        <v>8560.31128404669</v>
      </c>
      <c r="M1756" s="18"/>
      <c r="N1756" s="40"/>
      <c r="O1756" s="30" t="n">
        <f aca="false">K1756+N1756</f>
        <v>440000</v>
      </c>
      <c r="P1756" s="39" t="n">
        <f aca="false">O1756/J1756</f>
        <v>8560.31128404669</v>
      </c>
      <c r="Q1756" s="19" t="s">
        <v>1486</v>
      </c>
      <c r="R1756" s="22" t="s">
        <v>36</v>
      </c>
      <c r="S1756" s="19" t="s">
        <v>29</v>
      </c>
      <c r="T1756" s="19" t="s">
        <v>30</v>
      </c>
      <c r="U1756" s="19" t="s">
        <v>31</v>
      </c>
      <c r="V1756" s="41" t="n">
        <v>43703</v>
      </c>
      <c r="W1756" s="34" t="s">
        <v>2585</v>
      </c>
      <c r="X1756" s="18"/>
      <c r="Y1756" s="35"/>
      <c r="Z1756" s="36"/>
      <c r="AMJ1756" s="32"/>
    </row>
    <row r="1757" s="32" customFormat="true" ht="13.8" hidden="false" customHeight="false" outlineLevel="0" collapsed="false">
      <c r="A1757" s="34"/>
      <c r="B1757" s="19" t="n">
        <v>811</v>
      </c>
      <c r="C1757" s="20" t="n">
        <v>43516</v>
      </c>
      <c r="D1757" s="38" t="s">
        <v>22</v>
      </c>
      <c r="E1757" s="22" t="s">
        <v>175</v>
      </c>
      <c r="F1757" s="34" t="s">
        <v>603</v>
      </c>
      <c r="G1757" s="19" t="n">
        <v>23</v>
      </c>
      <c r="H1757" s="19" t="n">
        <v>51</v>
      </c>
      <c r="I1757" s="19" t="n">
        <v>6</v>
      </c>
      <c r="J1757" s="19" t="n">
        <v>33.57</v>
      </c>
      <c r="K1757" s="39" t="n">
        <v>332000</v>
      </c>
      <c r="L1757" s="39" t="n">
        <f aca="false">K1757/J1757</f>
        <v>9889.78254393804</v>
      </c>
      <c r="M1757" s="34" t="s">
        <v>2586</v>
      </c>
      <c r="N1757" s="40"/>
      <c r="O1757" s="30" t="n">
        <f aca="false">K1757+N1757</f>
        <v>332000</v>
      </c>
      <c r="P1757" s="39" t="n">
        <f aca="false">O1757/J1757</f>
        <v>9889.78254393804</v>
      </c>
      <c r="Q1757" s="19" t="s">
        <v>1320</v>
      </c>
      <c r="R1757" s="22" t="s">
        <v>27</v>
      </c>
      <c r="S1757" s="19" t="s">
        <v>29</v>
      </c>
      <c r="T1757" s="19" t="s">
        <v>30</v>
      </c>
      <c r="U1757" s="19" t="s">
        <v>31</v>
      </c>
      <c r="V1757" s="41" t="n">
        <v>43699</v>
      </c>
      <c r="W1757" s="34" t="s">
        <v>2587</v>
      </c>
      <c r="X1757" s="18"/>
    </row>
    <row r="1758" s="32" customFormat="true" ht="13.8" hidden="false" customHeight="false" outlineLevel="0" collapsed="false">
      <c r="A1758" s="34"/>
      <c r="B1758" s="19" t="n">
        <v>2603</v>
      </c>
      <c r="C1758" s="20" t="n">
        <v>43516</v>
      </c>
      <c r="D1758" s="38" t="s">
        <v>22</v>
      </c>
      <c r="E1758" s="22" t="s">
        <v>175</v>
      </c>
      <c r="F1758" s="34" t="s">
        <v>485</v>
      </c>
      <c r="G1758" s="19" t="n">
        <v>47</v>
      </c>
      <c r="H1758" s="19" t="n">
        <v>17</v>
      </c>
      <c r="I1758" s="19" t="n">
        <v>2</v>
      </c>
      <c r="J1758" s="19" t="n">
        <v>59.46</v>
      </c>
      <c r="K1758" s="39" t="n">
        <f aca="false">290000+290000</f>
        <v>580000</v>
      </c>
      <c r="L1758" s="39" t="n">
        <f aca="false">K1758/J1758</f>
        <v>9754.45677766566</v>
      </c>
      <c r="M1758" s="34"/>
      <c r="N1758" s="40"/>
      <c r="O1758" s="30" t="n">
        <f aca="false">K1758+N1758</f>
        <v>580000</v>
      </c>
      <c r="P1758" s="39" t="n">
        <f aca="false">O1758/J1758</f>
        <v>9754.45677766566</v>
      </c>
      <c r="Q1758" s="19" t="s">
        <v>1486</v>
      </c>
      <c r="R1758" s="22" t="s">
        <v>36</v>
      </c>
      <c r="S1758" s="19" t="s">
        <v>29</v>
      </c>
      <c r="T1758" s="19" t="s">
        <v>30</v>
      </c>
      <c r="U1758" s="19" t="s">
        <v>31</v>
      </c>
      <c r="V1758" s="41" t="n">
        <v>43703</v>
      </c>
      <c r="W1758" s="34" t="s">
        <v>2588</v>
      </c>
      <c r="X1758" s="34"/>
    </row>
    <row r="1759" customFormat="false" ht="13.8" hidden="false" customHeight="false" outlineLevel="0" collapsed="false">
      <c r="A1759" s="34"/>
      <c r="B1759" s="19" t="n">
        <v>725</v>
      </c>
      <c r="C1759" s="20" t="n">
        <v>43516</v>
      </c>
      <c r="D1759" s="38" t="s">
        <v>22</v>
      </c>
      <c r="E1759" s="22" t="s">
        <v>399</v>
      </c>
      <c r="F1759" s="34" t="s">
        <v>617</v>
      </c>
      <c r="G1759" s="19" t="n">
        <v>2</v>
      </c>
      <c r="H1759" s="19" t="n">
        <v>59</v>
      </c>
      <c r="I1759" s="19" t="n">
        <v>7</v>
      </c>
      <c r="J1759" s="19" t="n">
        <v>73.8</v>
      </c>
      <c r="K1759" s="39" t="n">
        <v>780000</v>
      </c>
      <c r="L1759" s="39" t="n">
        <f aca="false">K1759/J1759</f>
        <v>10569.1056910569</v>
      </c>
      <c r="M1759" s="34" t="s">
        <v>987</v>
      </c>
      <c r="N1759" s="40" t="n">
        <v>35000</v>
      </c>
      <c r="O1759" s="30" t="n">
        <f aca="false">K1759+N1759</f>
        <v>815000</v>
      </c>
      <c r="P1759" s="39" t="n">
        <f aca="false">O1759/J1759</f>
        <v>11043.3604336043</v>
      </c>
      <c r="Q1759" s="19" t="s">
        <v>2589</v>
      </c>
      <c r="R1759" s="22" t="s">
        <v>26</v>
      </c>
      <c r="S1759" s="19" t="s">
        <v>29</v>
      </c>
      <c r="T1759" s="19" t="s">
        <v>30</v>
      </c>
      <c r="U1759" s="19" t="s">
        <v>31</v>
      </c>
      <c r="V1759" s="41" t="n">
        <v>43699</v>
      </c>
      <c r="W1759" s="34" t="s">
        <v>2590</v>
      </c>
      <c r="X1759" s="18"/>
    </row>
    <row r="1760" customFormat="false" ht="13.8" hidden="false" customHeight="false" outlineLevel="0" collapsed="false">
      <c r="A1760" s="34"/>
      <c r="B1760" s="19" t="n">
        <v>348</v>
      </c>
      <c r="C1760" s="20" t="n">
        <v>43516</v>
      </c>
      <c r="D1760" s="38" t="s">
        <v>22</v>
      </c>
      <c r="E1760" s="22" t="s">
        <v>652</v>
      </c>
      <c r="F1760" s="34" t="s">
        <v>653</v>
      </c>
      <c r="G1760" s="19" t="n">
        <v>179</v>
      </c>
      <c r="H1760" s="19" t="n">
        <v>30</v>
      </c>
      <c r="I1760" s="19" t="n">
        <v>4</v>
      </c>
      <c r="J1760" s="19" t="n">
        <v>44.6</v>
      </c>
      <c r="K1760" s="39" t="n">
        <v>580000</v>
      </c>
      <c r="L1760" s="39" t="n">
        <f aca="false">K1760/J1760</f>
        <v>13004.4843049327</v>
      </c>
      <c r="M1760" s="34" t="s">
        <v>2591</v>
      </c>
      <c r="N1760" s="40" t="n">
        <v>25000</v>
      </c>
      <c r="O1760" s="30" t="n">
        <f aca="false">K1760+N1760</f>
        <v>605000</v>
      </c>
      <c r="P1760" s="39" t="n">
        <f aca="false">O1760/J1760</f>
        <v>13565.0224215247</v>
      </c>
      <c r="Q1760" s="19" t="s">
        <v>2592</v>
      </c>
      <c r="R1760" s="22" t="s">
        <v>36</v>
      </c>
      <c r="S1760" s="19" t="s">
        <v>29</v>
      </c>
      <c r="T1760" s="19" t="s">
        <v>30</v>
      </c>
      <c r="U1760" s="19" t="s">
        <v>31</v>
      </c>
      <c r="V1760" s="41" t="n">
        <v>43703</v>
      </c>
      <c r="W1760" s="34" t="s">
        <v>2593</v>
      </c>
      <c r="X1760" s="18"/>
    </row>
    <row r="1761" customFormat="false" ht="13.8" hidden="false" customHeight="false" outlineLevel="0" collapsed="false">
      <c r="A1761" s="34"/>
      <c r="B1761" s="19" t="n">
        <v>2877</v>
      </c>
      <c r="C1761" s="20" t="n">
        <v>43517</v>
      </c>
      <c r="D1761" s="38" t="s">
        <v>22</v>
      </c>
      <c r="E1761" s="22" t="s">
        <v>235</v>
      </c>
      <c r="F1761" s="34" t="s">
        <v>854</v>
      </c>
      <c r="G1761" s="19" t="n">
        <v>4</v>
      </c>
      <c r="H1761" s="19" t="n">
        <v>24</v>
      </c>
      <c r="I1761" s="19" t="n">
        <v>6</v>
      </c>
      <c r="J1761" s="19" t="n">
        <v>74.76</v>
      </c>
      <c r="K1761" s="39" t="n">
        <v>632000</v>
      </c>
      <c r="L1761" s="39" t="n">
        <f aca="false">K1761/J1761</f>
        <v>8453.71856607812</v>
      </c>
      <c r="M1761" s="34"/>
      <c r="N1761" s="40"/>
      <c r="O1761" s="30" t="n">
        <f aca="false">K1761+N1761</f>
        <v>632000</v>
      </c>
      <c r="P1761" s="39" t="n">
        <f aca="false">O1761/J1761</f>
        <v>8453.71856607812</v>
      </c>
      <c r="Q1761" s="19" t="s">
        <v>2594</v>
      </c>
      <c r="R1761" s="22" t="s">
        <v>26</v>
      </c>
      <c r="S1761" s="19" t="s">
        <v>29</v>
      </c>
      <c r="T1761" s="19" t="s">
        <v>30</v>
      </c>
      <c r="U1761" s="19" t="s">
        <v>31</v>
      </c>
      <c r="V1761" s="41" t="n">
        <v>43699</v>
      </c>
      <c r="W1761" s="34" t="s">
        <v>2595</v>
      </c>
      <c r="X1761" s="18"/>
    </row>
    <row r="1762" customFormat="false" ht="13.8" hidden="false" customHeight="false" outlineLevel="0" collapsed="false">
      <c r="A1762" s="34"/>
      <c r="B1762" s="19" t="n">
        <v>188</v>
      </c>
      <c r="C1762" s="20" t="n">
        <v>43517</v>
      </c>
      <c r="D1762" s="38" t="s">
        <v>22</v>
      </c>
      <c r="E1762" s="22" t="s">
        <v>251</v>
      </c>
      <c r="F1762" s="34" t="s">
        <v>252</v>
      </c>
      <c r="G1762" s="19" t="n">
        <v>10</v>
      </c>
      <c r="H1762" s="19" t="n">
        <v>111</v>
      </c>
      <c r="I1762" s="19" t="n">
        <v>10</v>
      </c>
      <c r="J1762" s="19" t="n">
        <v>63.2</v>
      </c>
      <c r="K1762" s="39" t="n">
        <v>450000</v>
      </c>
      <c r="L1762" s="39" t="n">
        <f aca="false">K1762/J1762</f>
        <v>7120.25316455696</v>
      </c>
      <c r="M1762" s="34" t="s">
        <v>2596</v>
      </c>
      <c r="N1762" s="40"/>
      <c r="O1762" s="30" t="n">
        <f aca="false">K1762+N1762</f>
        <v>450000</v>
      </c>
      <c r="P1762" s="39" t="n">
        <f aca="false">O1762/J1762</f>
        <v>7120.25316455696</v>
      </c>
      <c r="Q1762" s="19" t="s">
        <v>1471</v>
      </c>
      <c r="R1762" s="22" t="s">
        <v>26</v>
      </c>
      <c r="S1762" s="19" t="s">
        <v>29</v>
      </c>
      <c r="T1762" s="19" t="s">
        <v>30</v>
      </c>
      <c r="U1762" s="19" t="s">
        <v>31</v>
      </c>
      <c r="V1762" s="41" t="n">
        <v>43699</v>
      </c>
      <c r="W1762" s="34" t="s">
        <v>2597</v>
      </c>
      <c r="X1762" s="18"/>
    </row>
    <row r="1763" customFormat="false" ht="13.8" hidden="false" customHeight="false" outlineLevel="0" collapsed="false">
      <c r="A1763" s="34"/>
      <c r="B1763" s="19" t="n">
        <v>447</v>
      </c>
      <c r="C1763" s="20" t="n">
        <v>43517</v>
      </c>
      <c r="D1763" s="38" t="s">
        <v>22</v>
      </c>
      <c r="E1763" s="22" t="s">
        <v>302</v>
      </c>
      <c r="F1763" s="34" t="s">
        <v>485</v>
      </c>
      <c r="G1763" s="19" t="s">
        <v>2598</v>
      </c>
      <c r="H1763" s="19" t="n">
        <v>5</v>
      </c>
      <c r="I1763" s="19" t="n">
        <v>3</v>
      </c>
      <c r="J1763" s="19" t="n">
        <v>65.24</v>
      </c>
      <c r="K1763" s="39" t="n">
        <v>500000</v>
      </c>
      <c r="L1763" s="39" t="n">
        <f aca="false">K1763/J1763</f>
        <v>7664.00980993256</v>
      </c>
      <c r="M1763" s="34"/>
      <c r="N1763" s="40"/>
      <c r="O1763" s="30" t="n">
        <f aca="false">K1763+N1763</f>
        <v>500000</v>
      </c>
      <c r="P1763" s="39" t="n">
        <f aca="false">O1763/J1763</f>
        <v>7664.00980993256</v>
      </c>
      <c r="Q1763" s="19" t="s">
        <v>2599</v>
      </c>
      <c r="R1763" s="22" t="s">
        <v>36</v>
      </c>
      <c r="S1763" s="19" t="s">
        <v>29</v>
      </c>
      <c r="T1763" s="19" t="s">
        <v>30</v>
      </c>
      <c r="U1763" s="19" t="s">
        <v>31</v>
      </c>
      <c r="V1763" s="41" t="n">
        <v>43703</v>
      </c>
      <c r="W1763" s="34" t="s">
        <v>2600</v>
      </c>
      <c r="X1763" s="18"/>
    </row>
    <row r="1764" customFormat="false" ht="13.8" hidden="false" customHeight="false" outlineLevel="0" collapsed="false">
      <c r="A1764" s="34"/>
      <c r="B1764" s="19" t="n">
        <v>3312</v>
      </c>
      <c r="C1764" s="20" t="n">
        <v>43518</v>
      </c>
      <c r="D1764" s="38" t="s">
        <v>22</v>
      </c>
      <c r="E1764" s="22" t="s">
        <v>178</v>
      </c>
      <c r="F1764" s="34" t="s">
        <v>513</v>
      </c>
      <c r="G1764" s="19" t="n">
        <v>4</v>
      </c>
      <c r="H1764" s="19" t="n">
        <v>52</v>
      </c>
      <c r="I1764" s="19" t="n">
        <v>3</v>
      </c>
      <c r="J1764" s="19" t="n">
        <v>35.04</v>
      </c>
      <c r="K1764" s="39" t="n">
        <v>337000</v>
      </c>
      <c r="L1764" s="39" t="n">
        <f aca="false">K1764/J1764</f>
        <v>9617.5799086758</v>
      </c>
      <c r="M1764" s="34"/>
      <c r="N1764" s="40"/>
      <c r="O1764" s="30" t="n">
        <f aca="false">K1764+N1764</f>
        <v>337000</v>
      </c>
      <c r="P1764" s="39" t="n">
        <f aca="false">O1764/J1764</f>
        <v>9617.5799086758</v>
      </c>
      <c r="Q1764" s="19" t="s">
        <v>1320</v>
      </c>
      <c r="R1764" s="22" t="s">
        <v>27</v>
      </c>
      <c r="S1764" s="19" t="s">
        <v>29</v>
      </c>
      <c r="T1764" s="19" t="s">
        <v>30</v>
      </c>
      <c r="U1764" s="19" t="s">
        <v>31</v>
      </c>
      <c r="V1764" s="41" t="n">
        <v>43699</v>
      </c>
      <c r="W1764" s="34" t="s">
        <v>2601</v>
      </c>
      <c r="X1764" s="18"/>
    </row>
    <row r="1765" customFormat="false" ht="13.8" hidden="false" customHeight="false" outlineLevel="0" collapsed="false">
      <c r="A1765" s="34"/>
      <c r="B1765" s="19" t="n">
        <v>482</v>
      </c>
      <c r="C1765" s="20" t="n">
        <v>43518</v>
      </c>
      <c r="D1765" s="38" t="s">
        <v>22</v>
      </c>
      <c r="E1765" s="22" t="s">
        <v>140</v>
      </c>
      <c r="F1765" s="34" t="s">
        <v>138</v>
      </c>
      <c r="G1765" s="19" t="s">
        <v>417</v>
      </c>
      <c r="H1765" s="19" t="n">
        <v>11</v>
      </c>
      <c r="I1765" s="19" t="n">
        <v>6</v>
      </c>
      <c r="J1765" s="19" t="n">
        <v>85.2</v>
      </c>
      <c r="K1765" s="39" t="n">
        <v>750000</v>
      </c>
      <c r="L1765" s="39" t="n">
        <f aca="false">K1765/J1765</f>
        <v>8802.81690140845</v>
      </c>
      <c r="M1765" s="34" t="s">
        <v>2602</v>
      </c>
      <c r="N1765" s="40"/>
      <c r="O1765" s="30" t="n">
        <f aca="false">K1765+N1765</f>
        <v>750000</v>
      </c>
      <c r="P1765" s="39" t="n">
        <f aca="false">O1765/J1765</f>
        <v>8802.81690140845</v>
      </c>
      <c r="Q1765" s="19" t="s">
        <v>1352</v>
      </c>
      <c r="R1765" s="22" t="s">
        <v>26</v>
      </c>
      <c r="S1765" s="19" t="s">
        <v>29</v>
      </c>
      <c r="T1765" s="19" t="s">
        <v>30</v>
      </c>
      <c r="U1765" s="19" t="s">
        <v>31</v>
      </c>
      <c r="V1765" s="41" t="n">
        <v>43699</v>
      </c>
      <c r="W1765" s="34" t="s">
        <v>2603</v>
      </c>
      <c r="X1765" s="18"/>
      <c r="Y1765" s="35"/>
      <c r="Z1765" s="36"/>
    </row>
    <row r="1766" customFormat="false" ht="13.8" hidden="false" customHeight="false" outlineLevel="0" collapsed="false">
      <c r="A1766" s="34"/>
      <c r="B1766" s="19" t="n">
        <v>1688</v>
      </c>
      <c r="C1766" s="20" t="n">
        <v>43518</v>
      </c>
      <c r="D1766" s="38" t="s">
        <v>22</v>
      </c>
      <c r="E1766" s="22" t="s">
        <v>354</v>
      </c>
      <c r="F1766" s="34" t="s">
        <v>191</v>
      </c>
      <c r="G1766" s="19" t="s">
        <v>802</v>
      </c>
      <c r="H1766" s="19" t="n">
        <v>16</v>
      </c>
      <c r="I1766" s="19" t="n">
        <v>2</v>
      </c>
      <c r="J1766" s="19" t="n">
        <v>35.53</v>
      </c>
      <c r="K1766" s="39" t="n">
        <v>220000</v>
      </c>
      <c r="L1766" s="39" t="n">
        <f aca="false">K1766/J1766</f>
        <v>6191.95046439628</v>
      </c>
      <c r="M1766" s="18"/>
      <c r="N1766" s="40"/>
      <c r="O1766" s="30" t="n">
        <f aca="false">K1766+N1766</f>
        <v>220000</v>
      </c>
      <c r="P1766" s="39" t="n">
        <f aca="false">O1766/J1766</f>
        <v>6191.95046439628</v>
      </c>
      <c r="Q1766" s="19" t="s">
        <v>1320</v>
      </c>
      <c r="R1766" s="22" t="s">
        <v>27</v>
      </c>
      <c r="S1766" s="19" t="s">
        <v>29</v>
      </c>
      <c r="T1766" s="19" t="s">
        <v>30</v>
      </c>
      <c r="U1766" s="19" t="s">
        <v>31</v>
      </c>
      <c r="V1766" s="41" t="n">
        <v>43703</v>
      </c>
      <c r="W1766" s="34" t="s">
        <v>2604</v>
      </c>
      <c r="X1766" s="34"/>
    </row>
    <row r="1767" customFormat="false" ht="13.8" hidden="false" customHeight="false" outlineLevel="0" collapsed="false">
      <c r="A1767" s="34"/>
      <c r="B1767" s="19" t="n">
        <v>294</v>
      </c>
      <c r="C1767" s="20" t="n">
        <v>43518</v>
      </c>
      <c r="D1767" s="38" t="s">
        <v>22</v>
      </c>
      <c r="E1767" s="22" t="s">
        <v>265</v>
      </c>
      <c r="F1767" s="34" t="s">
        <v>108</v>
      </c>
      <c r="G1767" s="19" t="s">
        <v>559</v>
      </c>
      <c r="H1767" s="19" t="n">
        <v>109</v>
      </c>
      <c r="I1767" s="19" t="n">
        <v>2</v>
      </c>
      <c r="J1767" s="19" t="n">
        <v>57.35</v>
      </c>
      <c r="K1767" s="39" t="n">
        <v>516000</v>
      </c>
      <c r="L1767" s="39" t="n">
        <f aca="false">K1767/J1767</f>
        <v>8997.38448125545</v>
      </c>
      <c r="M1767" s="18"/>
      <c r="N1767" s="40"/>
      <c r="O1767" s="30" t="n">
        <f aca="false">K1767+N1767</f>
        <v>516000</v>
      </c>
      <c r="P1767" s="39" t="n">
        <f aca="false">O1767/J1767</f>
        <v>8997.38448125545</v>
      </c>
      <c r="Q1767" s="19" t="s">
        <v>1486</v>
      </c>
      <c r="R1767" s="22" t="s">
        <v>36</v>
      </c>
      <c r="S1767" s="19" t="s">
        <v>29</v>
      </c>
      <c r="T1767" s="19" t="s">
        <v>30</v>
      </c>
      <c r="U1767" s="19" t="s">
        <v>31</v>
      </c>
      <c r="V1767" s="41" t="n">
        <v>43699</v>
      </c>
      <c r="W1767" s="34" t="s">
        <v>2605</v>
      </c>
      <c r="X1767" s="34"/>
    </row>
    <row r="1768" customFormat="false" ht="13.8" hidden="false" customHeight="false" outlineLevel="0" collapsed="false">
      <c r="A1768" s="34"/>
      <c r="B1768" s="19" t="n">
        <v>440</v>
      </c>
      <c r="C1768" s="20" t="n">
        <v>43518</v>
      </c>
      <c r="D1768" s="38" t="s">
        <v>22</v>
      </c>
      <c r="E1768" s="22" t="s">
        <v>65</v>
      </c>
      <c r="F1768" s="34" t="s">
        <v>2606</v>
      </c>
      <c r="G1768" s="19" t="n">
        <v>5</v>
      </c>
      <c r="H1768" s="19" t="n">
        <v>2</v>
      </c>
      <c r="I1768" s="19" t="n">
        <v>2</v>
      </c>
      <c r="J1768" s="19" t="n">
        <v>30.9</v>
      </c>
      <c r="K1768" s="39" t="n">
        <v>270000</v>
      </c>
      <c r="L1768" s="39" t="n">
        <f aca="false">K1768/J1768</f>
        <v>8737.8640776699</v>
      </c>
      <c r="M1768" s="18"/>
      <c r="N1768" s="40"/>
      <c r="O1768" s="30" t="n">
        <f aca="false">K1768+N1768</f>
        <v>270000</v>
      </c>
      <c r="P1768" s="39" t="n">
        <f aca="false">O1768/J1768</f>
        <v>8737.8640776699</v>
      </c>
      <c r="Q1768" s="19" t="s">
        <v>1320</v>
      </c>
      <c r="R1768" s="22" t="s">
        <v>27</v>
      </c>
      <c r="S1768" s="19" t="s">
        <v>29</v>
      </c>
      <c r="T1768" s="19" t="s">
        <v>30</v>
      </c>
      <c r="U1768" s="19" t="s">
        <v>31</v>
      </c>
      <c r="V1768" s="41" t="n">
        <v>43703</v>
      </c>
      <c r="W1768" s="34" t="s">
        <v>2607</v>
      </c>
      <c r="X1768" s="34"/>
    </row>
    <row r="1769" customFormat="false" ht="13.8" hidden="false" customHeight="false" outlineLevel="0" collapsed="false">
      <c r="A1769" s="34"/>
      <c r="B1769" s="19" t="n">
        <v>824</v>
      </c>
      <c r="C1769" s="20" t="n">
        <v>43518</v>
      </c>
      <c r="D1769" s="38" t="s">
        <v>22</v>
      </c>
      <c r="E1769" s="22" t="s">
        <v>122</v>
      </c>
      <c r="F1769" s="34" t="s">
        <v>723</v>
      </c>
      <c r="G1769" s="19" t="n">
        <v>3</v>
      </c>
      <c r="H1769" s="19" t="n">
        <v>86</v>
      </c>
      <c r="I1769" s="19" t="n">
        <v>15</v>
      </c>
      <c r="J1769" s="19" t="n">
        <v>43.55</v>
      </c>
      <c r="K1769" s="39" t="n">
        <v>380000</v>
      </c>
      <c r="L1769" s="39" t="n">
        <f aca="false">K1769/J1769</f>
        <v>8725.6027554535</v>
      </c>
      <c r="M1769" s="18"/>
      <c r="N1769" s="40"/>
      <c r="O1769" s="30" t="n">
        <f aca="false">K1769+N1769</f>
        <v>380000</v>
      </c>
      <c r="P1769" s="39" t="n">
        <f aca="false">O1769/J1769</f>
        <v>8725.6027554535</v>
      </c>
      <c r="Q1769" s="19" t="s">
        <v>1486</v>
      </c>
      <c r="R1769" s="22" t="s">
        <v>36</v>
      </c>
      <c r="S1769" s="19" t="s">
        <v>29</v>
      </c>
      <c r="T1769" s="19" t="s">
        <v>30</v>
      </c>
      <c r="U1769" s="19" t="s">
        <v>31</v>
      </c>
      <c r="V1769" s="41" t="n">
        <v>43703</v>
      </c>
      <c r="W1769" s="34" t="s">
        <v>2608</v>
      </c>
      <c r="X1769" s="34"/>
      <c r="Y1769" s="35"/>
      <c r="Z1769" s="36"/>
    </row>
    <row r="1770" customFormat="false" ht="13.8" hidden="false" customHeight="false" outlineLevel="0" collapsed="false">
      <c r="A1770" s="34"/>
      <c r="B1770" s="19" t="n">
        <v>815</v>
      </c>
      <c r="C1770" s="20" t="n">
        <v>43518</v>
      </c>
      <c r="D1770" s="38" t="s">
        <v>22</v>
      </c>
      <c r="E1770" s="22" t="s">
        <v>350</v>
      </c>
      <c r="F1770" s="34" t="s">
        <v>351</v>
      </c>
      <c r="G1770" s="19" t="s">
        <v>498</v>
      </c>
      <c r="H1770" s="19" t="n">
        <v>129</v>
      </c>
      <c r="I1770" s="19" t="n">
        <v>5</v>
      </c>
      <c r="J1770" s="19" t="n">
        <v>56.32</v>
      </c>
      <c r="K1770" s="39" t="n">
        <v>635000</v>
      </c>
      <c r="L1770" s="39" t="n">
        <f aca="false">K1770/J1770</f>
        <v>11274.8579545455</v>
      </c>
      <c r="M1770" s="34" t="s">
        <v>2609</v>
      </c>
      <c r="N1770" s="40" t="n">
        <v>35000</v>
      </c>
      <c r="O1770" s="30" t="n">
        <f aca="false">K1770+N1770</f>
        <v>670000</v>
      </c>
      <c r="P1770" s="39" t="n">
        <f aca="false">O1770/J1770</f>
        <v>11896.3068181818</v>
      </c>
      <c r="Q1770" s="19" t="s">
        <v>2610</v>
      </c>
      <c r="R1770" s="22" t="s">
        <v>26</v>
      </c>
      <c r="S1770" s="19" t="s">
        <v>29</v>
      </c>
      <c r="T1770" s="19" t="s">
        <v>30</v>
      </c>
      <c r="U1770" s="19" t="s">
        <v>31</v>
      </c>
      <c r="V1770" s="41" t="n">
        <v>43703</v>
      </c>
      <c r="W1770" s="34" t="s">
        <v>2611</v>
      </c>
      <c r="X1770" s="34"/>
    </row>
    <row r="1771" customFormat="false" ht="13.8" hidden="false" customHeight="false" outlineLevel="0" collapsed="false">
      <c r="A1771" s="34"/>
      <c r="B1771" s="19" t="n">
        <v>710</v>
      </c>
      <c r="C1771" s="20" t="n">
        <v>43518</v>
      </c>
      <c r="D1771" s="38" t="s">
        <v>22</v>
      </c>
      <c r="E1771" s="22" t="s">
        <v>517</v>
      </c>
      <c r="F1771" s="34" t="s">
        <v>240</v>
      </c>
      <c r="G1771" s="19" t="n">
        <v>72</v>
      </c>
      <c r="H1771" s="19" t="n">
        <v>8</v>
      </c>
      <c r="I1771" s="19" t="n">
        <v>4</v>
      </c>
      <c r="J1771" s="19" t="n">
        <v>55.6</v>
      </c>
      <c r="K1771" s="39" t="n">
        <v>410000</v>
      </c>
      <c r="L1771" s="39" t="n">
        <f aca="false">K1771/J1771</f>
        <v>7374.10071942446</v>
      </c>
      <c r="M1771" s="18"/>
      <c r="N1771" s="40"/>
      <c r="O1771" s="30" t="n">
        <f aca="false">K1771+N1771</f>
        <v>410000</v>
      </c>
      <c r="P1771" s="39" t="n">
        <f aca="false">O1771/J1771</f>
        <v>7374.10071942446</v>
      </c>
      <c r="Q1771" s="19" t="s">
        <v>2043</v>
      </c>
      <c r="R1771" s="22" t="s">
        <v>49</v>
      </c>
      <c r="S1771" s="19" t="s">
        <v>29</v>
      </c>
      <c r="T1771" s="19" t="s">
        <v>30</v>
      </c>
      <c r="U1771" s="19" t="s">
        <v>31</v>
      </c>
      <c r="V1771" s="41" t="n">
        <v>43699</v>
      </c>
      <c r="W1771" s="34" t="s">
        <v>2612</v>
      </c>
      <c r="X1771" s="34"/>
      <c r="AMJ1771" s="32"/>
    </row>
    <row r="1772" s="32" customFormat="true" ht="13.8" hidden="false" customHeight="false" outlineLevel="0" collapsed="false">
      <c r="A1772" s="34"/>
      <c r="B1772" s="19" t="n">
        <v>1262</v>
      </c>
      <c r="C1772" s="20" t="n">
        <v>43518</v>
      </c>
      <c r="D1772" s="38" t="s">
        <v>22</v>
      </c>
      <c r="E1772" s="22" t="s">
        <v>2613</v>
      </c>
      <c r="F1772" s="34" t="s">
        <v>2614</v>
      </c>
      <c r="G1772" s="19" t="s">
        <v>2615</v>
      </c>
      <c r="H1772" s="19" t="n">
        <v>57</v>
      </c>
      <c r="I1772" s="19" t="n">
        <v>1</v>
      </c>
      <c r="J1772" s="19" t="n">
        <v>56.38</v>
      </c>
      <c r="K1772" s="39" t="n">
        <v>400000</v>
      </c>
      <c r="L1772" s="39" t="n">
        <f aca="false">K1772/J1772</f>
        <v>7094.71443774388</v>
      </c>
      <c r="M1772" s="34" t="s">
        <v>2616</v>
      </c>
      <c r="N1772" s="40"/>
      <c r="O1772" s="30" t="n">
        <f aca="false">K1772+N1772</f>
        <v>400000</v>
      </c>
      <c r="P1772" s="39" t="n">
        <f aca="false">O1772/J1772</f>
        <v>7094.71443774388</v>
      </c>
      <c r="Q1772" s="19" t="s">
        <v>2617</v>
      </c>
      <c r="R1772" s="22" t="s">
        <v>36</v>
      </c>
      <c r="S1772" s="19" t="s">
        <v>29</v>
      </c>
      <c r="T1772" s="19" t="s">
        <v>30</v>
      </c>
      <c r="U1772" s="19" t="s">
        <v>31</v>
      </c>
      <c r="V1772" s="41" t="n">
        <v>43703</v>
      </c>
      <c r="W1772" s="34" t="s">
        <v>2618</v>
      </c>
      <c r="X1772" s="34"/>
    </row>
    <row r="1773" customFormat="false" ht="13.8" hidden="false" customHeight="false" outlineLevel="0" collapsed="false">
      <c r="A1773" s="34"/>
      <c r="B1773" s="19" t="n">
        <v>591</v>
      </c>
      <c r="C1773" s="20" t="n">
        <v>43518</v>
      </c>
      <c r="D1773" s="38" t="s">
        <v>22</v>
      </c>
      <c r="E1773" s="22" t="s">
        <v>372</v>
      </c>
      <c r="F1773" s="34" t="s">
        <v>272</v>
      </c>
      <c r="G1773" s="19" t="n">
        <v>31</v>
      </c>
      <c r="H1773" s="19" t="n">
        <v>344</v>
      </c>
      <c r="I1773" s="19" t="n">
        <v>6</v>
      </c>
      <c r="J1773" s="19" t="n">
        <f aca="false">65.82-4.29</f>
        <v>61.53</v>
      </c>
      <c r="K1773" s="39" t="n">
        <v>705000</v>
      </c>
      <c r="L1773" s="39" t="n">
        <f aca="false">K1773/J1773</f>
        <v>11457.8254509995</v>
      </c>
      <c r="M1773" s="34" t="s">
        <v>2619</v>
      </c>
      <c r="N1773" s="40" t="n">
        <v>40000</v>
      </c>
      <c r="O1773" s="30" t="n">
        <f aca="false">K1773+N1773</f>
        <v>745000</v>
      </c>
      <c r="P1773" s="39" t="n">
        <f aca="false">O1773/J1773</f>
        <v>12107.9148382903</v>
      </c>
      <c r="Q1773" s="19" t="s">
        <v>2620</v>
      </c>
      <c r="R1773" s="22" t="s">
        <v>36</v>
      </c>
      <c r="S1773" s="19" t="s">
        <v>29</v>
      </c>
      <c r="T1773" s="19" t="s">
        <v>30</v>
      </c>
      <c r="U1773" s="19" t="s">
        <v>31</v>
      </c>
      <c r="V1773" s="41" t="n">
        <v>43699</v>
      </c>
      <c r="W1773" s="34" t="s">
        <v>2621</v>
      </c>
      <c r="X1773" s="34"/>
    </row>
    <row r="1774" customFormat="false" ht="13.8" hidden="false" customHeight="false" outlineLevel="0" collapsed="false">
      <c r="A1774" s="34"/>
      <c r="B1774" s="19" t="n">
        <v>1834</v>
      </c>
      <c r="C1774" s="20" t="n">
        <v>43521</v>
      </c>
      <c r="D1774" s="38" t="s">
        <v>22</v>
      </c>
      <c r="E1774" s="22" t="s">
        <v>354</v>
      </c>
      <c r="F1774" s="34" t="s">
        <v>108</v>
      </c>
      <c r="G1774" s="19" t="n">
        <v>8</v>
      </c>
      <c r="H1774" s="19" t="n">
        <v>58</v>
      </c>
      <c r="I1774" s="19" t="n">
        <v>5</v>
      </c>
      <c r="J1774" s="19" t="n">
        <v>21.27</v>
      </c>
      <c r="K1774" s="39" t="n">
        <v>255000</v>
      </c>
      <c r="L1774" s="39" t="n">
        <f aca="false">K1774/J1774</f>
        <v>11988.7165021157</v>
      </c>
      <c r="M1774" s="18"/>
      <c r="N1774" s="40"/>
      <c r="O1774" s="30" t="n">
        <f aca="false">K1774+N1774</f>
        <v>255000</v>
      </c>
      <c r="P1774" s="39" t="n">
        <f aca="false">O1774/J1774</f>
        <v>11988.7165021157</v>
      </c>
      <c r="Q1774" s="19" t="s">
        <v>2622</v>
      </c>
      <c r="R1774" s="22" t="s">
        <v>27</v>
      </c>
      <c r="S1774" s="19" t="s">
        <v>29</v>
      </c>
      <c r="T1774" s="19" t="s">
        <v>30</v>
      </c>
      <c r="U1774" s="19" t="s">
        <v>31</v>
      </c>
      <c r="V1774" s="41" t="n">
        <v>43699</v>
      </c>
      <c r="W1774" s="34" t="s">
        <v>2623</v>
      </c>
      <c r="X1774" s="34"/>
    </row>
    <row r="1775" customFormat="false" ht="13.8" hidden="false" customHeight="false" outlineLevel="0" collapsed="false">
      <c r="A1775" s="34"/>
      <c r="B1775" s="19" t="n">
        <v>1463</v>
      </c>
      <c r="C1775" s="20" t="n">
        <v>43521</v>
      </c>
      <c r="D1775" s="38" t="s">
        <v>22</v>
      </c>
      <c r="E1775" s="22" t="s">
        <v>302</v>
      </c>
      <c r="F1775" s="34" t="s">
        <v>485</v>
      </c>
      <c r="G1775" s="19" t="n">
        <v>20</v>
      </c>
      <c r="H1775" s="19" t="n">
        <v>44</v>
      </c>
      <c r="I1775" s="19" t="n">
        <v>3</v>
      </c>
      <c r="J1775" s="19" t="n">
        <v>93.03</v>
      </c>
      <c r="K1775" s="39" t="n">
        <v>940000</v>
      </c>
      <c r="L1775" s="39" t="n">
        <f aca="false">K1775/J1775</f>
        <v>10104.2674406106</v>
      </c>
      <c r="M1775" s="18"/>
      <c r="N1775" s="40"/>
      <c r="O1775" s="30" t="n">
        <f aca="false">K1775+N1775</f>
        <v>940000</v>
      </c>
      <c r="P1775" s="39" t="n">
        <f aca="false">O1775/J1775</f>
        <v>10104.2674406106</v>
      </c>
      <c r="Q1775" s="19" t="s">
        <v>1340</v>
      </c>
      <c r="R1775" s="22" t="s">
        <v>26</v>
      </c>
      <c r="S1775" s="19" t="s">
        <v>29</v>
      </c>
      <c r="T1775" s="19" t="s">
        <v>30</v>
      </c>
      <c r="U1775" s="19" t="s">
        <v>31</v>
      </c>
      <c r="V1775" s="41" t="n">
        <v>43699</v>
      </c>
      <c r="W1775" s="34" t="s">
        <v>2624</v>
      </c>
      <c r="X1775" s="18"/>
    </row>
    <row r="1776" customFormat="false" ht="13.8" hidden="false" customHeight="false" outlineLevel="0" collapsed="false">
      <c r="A1776" s="34"/>
      <c r="B1776" s="19" t="n">
        <v>1269</v>
      </c>
      <c r="C1776" s="20" t="n">
        <v>43521</v>
      </c>
      <c r="D1776" s="38" t="s">
        <v>22</v>
      </c>
      <c r="E1776" s="22" t="s">
        <v>399</v>
      </c>
      <c r="F1776" s="34" t="s">
        <v>549</v>
      </c>
      <c r="G1776" s="19" t="n">
        <v>3</v>
      </c>
      <c r="H1776" s="19" t="n">
        <v>30</v>
      </c>
      <c r="I1776" s="19" t="n">
        <v>4</v>
      </c>
      <c r="J1776" s="19" t="n">
        <v>33.3</v>
      </c>
      <c r="K1776" s="39" t="n">
        <v>333000</v>
      </c>
      <c r="L1776" s="39" t="n">
        <f aca="false">K1776/J1776</f>
        <v>10000</v>
      </c>
      <c r="M1776" s="18"/>
      <c r="N1776" s="40"/>
      <c r="O1776" s="30" t="n">
        <f aca="false">K1776+N1776</f>
        <v>333000</v>
      </c>
      <c r="P1776" s="39" t="n">
        <f aca="false">O1776/J1776</f>
        <v>10000</v>
      </c>
      <c r="Q1776" s="19" t="s">
        <v>2625</v>
      </c>
      <c r="R1776" s="22" t="s">
        <v>27</v>
      </c>
      <c r="S1776" s="19" t="s">
        <v>29</v>
      </c>
      <c r="T1776" s="19" t="s">
        <v>30</v>
      </c>
      <c r="U1776" s="19" t="s">
        <v>31</v>
      </c>
      <c r="V1776" s="41" t="n">
        <v>43703</v>
      </c>
      <c r="W1776" s="34" t="s">
        <v>2626</v>
      </c>
      <c r="X1776" s="18"/>
    </row>
    <row r="1777" s="73" customFormat="true" ht="13.8" hidden="false" customHeight="false" outlineLevel="0" collapsed="false">
      <c r="A1777" s="34"/>
      <c r="B1777" s="19" t="n">
        <v>295</v>
      </c>
      <c r="C1777" s="20" t="n">
        <v>43521</v>
      </c>
      <c r="D1777" s="38" t="s">
        <v>22</v>
      </c>
      <c r="E1777" s="22" t="s">
        <v>399</v>
      </c>
      <c r="F1777" s="34" t="s">
        <v>549</v>
      </c>
      <c r="G1777" s="19" t="n">
        <v>5</v>
      </c>
      <c r="H1777" s="19" t="n">
        <v>20</v>
      </c>
      <c r="I1777" s="19" t="n">
        <v>8</v>
      </c>
      <c r="J1777" s="19" t="n">
        <v>69.43</v>
      </c>
      <c r="K1777" s="39" t="n">
        <v>850000</v>
      </c>
      <c r="L1777" s="39" t="n">
        <f aca="false">K1777/J1777</f>
        <v>12242.5464496615</v>
      </c>
      <c r="M1777" s="34" t="s">
        <v>2627</v>
      </c>
      <c r="N1777" s="40"/>
      <c r="O1777" s="30" t="n">
        <f aca="false">K1777+N1777</f>
        <v>850000</v>
      </c>
      <c r="P1777" s="39" t="n">
        <f aca="false">O1777/J1777</f>
        <v>12242.5464496615</v>
      </c>
      <c r="Q1777" s="19" t="s">
        <v>1471</v>
      </c>
      <c r="R1777" s="22" t="s">
        <v>26</v>
      </c>
      <c r="S1777" s="19" t="s">
        <v>29</v>
      </c>
      <c r="T1777" s="19" t="s">
        <v>30</v>
      </c>
      <c r="U1777" s="19" t="s">
        <v>31</v>
      </c>
      <c r="V1777" s="41" t="n">
        <v>43703</v>
      </c>
      <c r="W1777" s="34" t="s">
        <v>1689</v>
      </c>
      <c r="X1777" s="34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72"/>
      <c r="EC1777" s="47"/>
      <c r="ED1777" s="47"/>
      <c r="EE1777" s="74"/>
      <c r="EF1777" s="75"/>
      <c r="EG1777" s="76"/>
      <c r="EH1777" s="77"/>
      <c r="EI1777" s="78"/>
      <c r="EJ1777" s="78"/>
      <c r="EK1777" s="78"/>
      <c r="EL1777" s="74"/>
      <c r="EN1777" s="79"/>
      <c r="EO1777" s="74"/>
      <c r="EP1777" s="35"/>
      <c r="EQ1777" s="36"/>
      <c r="ER1777" s="80"/>
      <c r="ES1777" s="43"/>
      <c r="EV1777" s="72"/>
      <c r="EX1777" s="47"/>
      <c r="EY1777" s="47"/>
      <c r="EZ1777" s="74"/>
      <c r="FA1777" s="75"/>
      <c r="FB1777" s="76"/>
      <c r="FC1777" s="77"/>
      <c r="FD1777" s="78"/>
      <c r="FE1777" s="78"/>
      <c r="FF1777" s="78"/>
      <c r="FG1777" s="74"/>
      <c r="FI1777" s="79"/>
      <c r="FJ1777" s="74"/>
      <c r="FK1777" s="35"/>
      <c r="FL1777" s="36"/>
      <c r="FM1777" s="80"/>
      <c r="FN1777" s="43"/>
      <c r="FQ1777" s="72"/>
      <c r="FS1777" s="47"/>
      <c r="FT1777" s="47"/>
      <c r="FU1777" s="74"/>
      <c r="FV1777" s="75"/>
      <c r="FW1777" s="76"/>
      <c r="FX1777" s="77"/>
      <c r="FY1777" s="78"/>
      <c r="FZ1777" s="78"/>
      <c r="GA1777" s="78"/>
      <c r="GB1777" s="74"/>
      <c r="GD1777" s="79"/>
      <c r="GE1777" s="74"/>
      <c r="GF1777" s="35"/>
      <c r="GG1777" s="36"/>
      <c r="GH1777" s="80"/>
      <c r="GI1777" s="43"/>
      <c r="GL1777" s="72"/>
      <c r="GN1777" s="47"/>
      <c r="GO1777" s="47"/>
      <c r="GP1777" s="74"/>
      <c r="GQ1777" s="75"/>
      <c r="GR1777" s="76"/>
      <c r="GS1777" s="77"/>
      <c r="GT1777" s="78"/>
      <c r="GU1777" s="78"/>
      <c r="GV1777" s="78"/>
      <c r="GW1777" s="74"/>
      <c r="GY1777" s="79"/>
      <c r="GZ1777" s="74"/>
      <c r="HA1777" s="35"/>
      <c r="HB1777" s="36"/>
      <c r="HC1777" s="80"/>
      <c r="HD1777" s="43"/>
      <c r="HG1777" s="72"/>
      <c r="HI1777" s="47"/>
      <c r="HJ1777" s="47"/>
      <c r="HK1777" s="74"/>
      <c r="HL1777" s="75"/>
      <c r="HM1777" s="76"/>
      <c r="HN1777" s="77"/>
      <c r="HO1777" s="78"/>
      <c r="HP1777" s="78"/>
      <c r="HQ1777" s="78"/>
      <c r="HR1777" s="74"/>
      <c r="HT1777" s="79"/>
      <c r="HU1777" s="74"/>
      <c r="HV1777" s="35"/>
      <c r="HW1777" s="36"/>
      <c r="HX1777" s="80"/>
      <c r="HY1777" s="43"/>
      <c r="IB1777" s="72"/>
      <c r="ID1777" s="47"/>
      <c r="IE1777" s="47"/>
      <c r="IF1777" s="74"/>
      <c r="IG1777" s="75"/>
      <c r="IH1777" s="76"/>
      <c r="II1777" s="77"/>
      <c r="IJ1777" s="78"/>
      <c r="IK1777" s="78"/>
      <c r="IL1777" s="78"/>
      <c r="IM1777" s="74"/>
      <c r="IO1777" s="79"/>
      <c r="IP1777" s="74"/>
      <c r="IQ1777" s="35"/>
      <c r="IR1777" s="36"/>
      <c r="IS1777" s="80"/>
      <c r="IT1777" s="43"/>
      <c r="IW1777" s="72"/>
      <c r="IY1777" s="47"/>
      <c r="IZ1777" s="47"/>
      <c r="JA1777" s="74"/>
      <c r="JB1777" s="75"/>
      <c r="JC1777" s="76"/>
      <c r="JD1777" s="77"/>
      <c r="JE1777" s="78"/>
      <c r="JF1777" s="78"/>
      <c r="JG1777" s="78"/>
      <c r="JH1777" s="74"/>
      <c r="JJ1777" s="79"/>
      <c r="JK1777" s="74"/>
      <c r="JL1777" s="35"/>
      <c r="JM1777" s="36"/>
      <c r="JN1777" s="80"/>
      <c r="JO1777" s="43"/>
      <c r="JR1777" s="72"/>
      <c r="JT1777" s="47"/>
      <c r="JU1777" s="47"/>
      <c r="JV1777" s="74"/>
      <c r="JW1777" s="75"/>
      <c r="JX1777" s="76"/>
      <c r="JY1777" s="77"/>
      <c r="JZ1777" s="78"/>
      <c r="KA1777" s="78"/>
      <c r="KB1777" s="78"/>
      <c r="KC1777" s="74"/>
      <c r="KE1777" s="79"/>
      <c r="KF1777" s="74"/>
      <c r="KG1777" s="35"/>
      <c r="KH1777" s="36"/>
      <c r="KI1777" s="80"/>
      <c r="KJ1777" s="43"/>
      <c r="KM1777" s="72"/>
      <c r="KO1777" s="47"/>
      <c r="KP1777" s="47"/>
      <c r="KQ1777" s="74"/>
      <c r="KR1777" s="75"/>
      <c r="KS1777" s="76"/>
      <c r="KT1777" s="77"/>
      <c r="KU1777" s="78"/>
      <c r="KV1777" s="78"/>
      <c r="KW1777" s="78"/>
      <c r="KX1777" s="74"/>
      <c r="KZ1777" s="79"/>
      <c r="LA1777" s="74"/>
      <c r="LB1777" s="35"/>
      <c r="LC1777" s="36"/>
      <c r="LD1777" s="80"/>
      <c r="LE1777" s="43"/>
      <c r="LH1777" s="72"/>
      <c r="LJ1777" s="47"/>
      <c r="LK1777" s="47"/>
      <c r="LL1777" s="74"/>
      <c r="LM1777" s="75"/>
      <c r="LN1777" s="76"/>
      <c r="LO1777" s="77"/>
      <c r="LP1777" s="78"/>
      <c r="LQ1777" s="78"/>
      <c r="LR1777" s="78"/>
      <c r="LS1777" s="74"/>
      <c r="LU1777" s="79"/>
      <c r="LV1777" s="74"/>
      <c r="LW1777" s="35"/>
      <c r="LX1777" s="36"/>
      <c r="LY1777" s="80"/>
      <c r="LZ1777" s="43"/>
      <c r="MC1777" s="72"/>
      <c r="ME1777" s="47"/>
      <c r="MF1777" s="47"/>
      <c r="MG1777" s="74"/>
      <c r="MH1777" s="75"/>
      <c r="MI1777" s="76"/>
      <c r="MJ1777" s="77"/>
      <c r="MK1777" s="78"/>
      <c r="ML1777" s="78"/>
      <c r="MM1777" s="78"/>
      <c r="MN1777" s="74"/>
      <c r="MP1777" s="79"/>
      <c r="MQ1777" s="74"/>
      <c r="MR1777" s="35"/>
      <c r="MS1777" s="36"/>
      <c r="MT1777" s="80"/>
      <c r="MU1777" s="43"/>
      <c r="MX1777" s="72"/>
      <c r="MZ1777" s="47"/>
      <c r="NA1777" s="47"/>
      <c r="NB1777" s="74"/>
      <c r="NC1777" s="75"/>
      <c r="ND1777" s="76"/>
      <c r="NE1777" s="77"/>
      <c r="NF1777" s="78"/>
      <c r="NG1777" s="78"/>
      <c r="NH1777" s="78"/>
      <c r="NI1777" s="74"/>
      <c r="NK1777" s="79"/>
      <c r="NL1777" s="74"/>
      <c r="NM1777" s="35"/>
      <c r="NN1777" s="36"/>
      <c r="NO1777" s="80"/>
      <c r="NP1777" s="43"/>
      <c r="NS1777" s="72"/>
      <c r="NU1777" s="47"/>
      <c r="NV1777" s="47"/>
      <c r="NW1777" s="74"/>
      <c r="NX1777" s="75"/>
      <c r="NY1777" s="76"/>
      <c r="NZ1777" s="77"/>
      <c r="OA1777" s="78"/>
      <c r="OB1777" s="78"/>
      <c r="OC1777" s="78"/>
      <c r="OD1777" s="74"/>
      <c r="OF1777" s="79"/>
      <c r="OG1777" s="74"/>
      <c r="OH1777" s="35"/>
      <c r="OI1777" s="36"/>
      <c r="OJ1777" s="80"/>
      <c r="OK1777" s="43"/>
      <c r="ON1777" s="72"/>
      <c r="OP1777" s="47"/>
      <c r="OQ1777" s="47"/>
      <c r="OR1777" s="74"/>
      <c r="OS1777" s="75"/>
      <c r="OT1777" s="76"/>
      <c r="OU1777" s="77"/>
      <c r="OV1777" s="78"/>
      <c r="OW1777" s="78"/>
      <c r="OX1777" s="78"/>
      <c r="OY1777" s="74"/>
      <c r="PA1777" s="79"/>
      <c r="PB1777" s="74"/>
      <c r="PC1777" s="35"/>
      <c r="PD1777" s="36"/>
      <c r="PE1777" s="80"/>
      <c r="PF1777" s="43"/>
      <c r="PI1777" s="72"/>
      <c r="PK1777" s="47"/>
      <c r="PL1777" s="47"/>
      <c r="PM1777" s="74"/>
      <c r="PN1777" s="75"/>
      <c r="PO1777" s="76"/>
      <c r="PP1777" s="77"/>
      <c r="PQ1777" s="78"/>
      <c r="PR1777" s="78"/>
      <c r="PS1777" s="78"/>
      <c r="PT1777" s="74"/>
      <c r="PV1777" s="79"/>
      <c r="PW1777" s="74"/>
      <c r="PX1777" s="35"/>
      <c r="PY1777" s="36"/>
      <c r="PZ1777" s="80"/>
      <c r="QA1777" s="43"/>
      <c r="QD1777" s="72"/>
      <c r="QF1777" s="47"/>
      <c r="QG1777" s="47"/>
      <c r="QH1777" s="74"/>
      <c r="QI1777" s="75"/>
      <c r="QJ1777" s="76"/>
      <c r="QK1777" s="77"/>
      <c r="QL1777" s="78"/>
      <c r="QM1777" s="78"/>
      <c r="QN1777" s="78"/>
      <c r="QO1777" s="74"/>
      <c r="QQ1777" s="79"/>
      <c r="QR1777" s="74"/>
      <c r="QS1777" s="35"/>
      <c r="QT1777" s="36"/>
      <c r="QU1777" s="80"/>
      <c r="QV1777" s="43"/>
      <c r="QY1777" s="72"/>
      <c r="RA1777" s="47"/>
      <c r="RB1777" s="47"/>
      <c r="RC1777" s="74"/>
      <c r="RD1777" s="75"/>
      <c r="RE1777" s="76"/>
      <c r="RF1777" s="77"/>
      <c r="RG1777" s="78"/>
      <c r="RH1777" s="78"/>
      <c r="RI1777" s="78"/>
      <c r="RJ1777" s="74"/>
      <c r="RL1777" s="79"/>
      <c r="RM1777" s="74"/>
      <c r="RN1777" s="35"/>
      <c r="RO1777" s="36"/>
      <c r="RP1777" s="80"/>
      <c r="RQ1777" s="43"/>
      <c r="RT1777" s="72"/>
      <c r="RV1777" s="47"/>
      <c r="RW1777" s="47"/>
      <c r="RX1777" s="74"/>
      <c r="RY1777" s="75"/>
      <c r="RZ1777" s="76"/>
      <c r="SA1777" s="77"/>
      <c r="SB1777" s="78"/>
      <c r="SC1777" s="78"/>
      <c r="SD1777" s="78"/>
      <c r="SE1777" s="74"/>
      <c r="SG1777" s="79"/>
      <c r="SH1777" s="74"/>
      <c r="SI1777" s="35"/>
      <c r="SJ1777" s="36"/>
      <c r="SK1777" s="80"/>
      <c r="SL1777" s="43"/>
      <c r="SO1777" s="72"/>
      <c r="SQ1777" s="47"/>
      <c r="SR1777" s="47"/>
      <c r="SS1777" s="74"/>
      <c r="ST1777" s="75"/>
      <c r="SU1777" s="76"/>
      <c r="SV1777" s="77"/>
      <c r="SW1777" s="78"/>
      <c r="SX1777" s="78"/>
      <c r="SY1777" s="78"/>
      <c r="SZ1777" s="74"/>
      <c r="TB1777" s="79"/>
      <c r="TC1777" s="74"/>
      <c r="TD1777" s="35"/>
      <c r="TE1777" s="36"/>
      <c r="TF1777" s="80"/>
      <c r="TG1777" s="43"/>
      <c r="TJ1777" s="72"/>
      <c r="TL1777" s="47"/>
      <c r="TM1777" s="47"/>
      <c r="TN1777" s="74"/>
      <c r="TO1777" s="75"/>
      <c r="TP1777" s="76"/>
      <c r="TQ1777" s="77"/>
      <c r="TR1777" s="78"/>
      <c r="TS1777" s="78"/>
      <c r="TT1777" s="78"/>
      <c r="TU1777" s="74"/>
      <c r="TW1777" s="79"/>
      <c r="TX1777" s="74"/>
      <c r="TY1777" s="35"/>
      <c r="TZ1777" s="36"/>
      <c r="UA1777" s="80"/>
      <c r="UB1777" s="43"/>
      <c r="UE1777" s="72"/>
      <c r="UG1777" s="47"/>
      <c r="UH1777" s="47"/>
      <c r="UI1777" s="74"/>
      <c r="UJ1777" s="75"/>
      <c r="UK1777" s="76"/>
      <c r="UL1777" s="77"/>
      <c r="UM1777" s="78"/>
      <c r="UN1777" s="78"/>
      <c r="UO1777" s="78"/>
      <c r="UP1777" s="74"/>
      <c r="UR1777" s="79"/>
      <c r="US1777" s="74"/>
      <c r="UT1777" s="35"/>
      <c r="UU1777" s="36"/>
      <c r="UV1777" s="80"/>
      <c r="UW1777" s="43"/>
      <c r="UZ1777" s="72"/>
      <c r="VB1777" s="47"/>
      <c r="VC1777" s="47"/>
      <c r="VD1777" s="74"/>
      <c r="VE1777" s="75"/>
      <c r="VF1777" s="76"/>
      <c r="VG1777" s="77"/>
      <c r="VH1777" s="78"/>
      <c r="VI1777" s="78"/>
      <c r="VJ1777" s="78"/>
      <c r="VK1777" s="74"/>
      <c r="VM1777" s="79"/>
      <c r="VN1777" s="74"/>
      <c r="VO1777" s="35"/>
      <c r="VP1777" s="36"/>
      <c r="VQ1777" s="80"/>
      <c r="VR1777" s="43"/>
      <c r="VU1777" s="72"/>
      <c r="VW1777" s="47"/>
      <c r="VX1777" s="47"/>
      <c r="VY1777" s="74"/>
      <c r="VZ1777" s="75"/>
      <c r="WA1777" s="76"/>
      <c r="WB1777" s="77"/>
      <c r="WC1777" s="78"/>
      <c r="WD1777" s="78"/>
      <c r="WE1777" s="78"/>
      <c r="WF1777" s="74"/>
      <c r="WH1777" s="79"/>
      <c r="WI1777" s="74"/>
      <c r="WJ1777" s="35"/>
      <c r="WK1777" s="36"/>
      <c r="WL1777" s="80"/>
      <c r="WM1777" s="43"/>
      <c r="WP1777" s="72"/>
      <c r="WR1777" s="47"/>
      <c r="WS1777" s="47"/>
      <c r="WT1777" s="74"/>
      <c r="WU1777" s="75"/>
      <c r="WV1777" s="76"/>
      <c r="WW1777" s="77"/>
      <c r="WX1777" s="78"/>
      <c r="WY1777" s="78"/>
      <c r="WZ1777" s="78"/>
      <c r="XA1777" s="74"/>
      <c r="XC1777" s="79"/>
      <c r="XD1777" s="74"/>
      <c r="XE1777" s="35"/>
      <c r="XF1777" s="36"/>
      <c r="XG1777" s="80"/>
      <c r="XH1777" s="43"/>
      <c r="XK1777" s="72"/>
      <c r="XM1777" s="47"/>
      <c r="XN1777" s="47"/>
      <c r="XO1777" s="74"/>
      <c r="XP1777" s="75"/>
      <c r="XQ1777" s="76"/>
      <c r="XR1777" s="77"/>
      <c r="XS1777" s="78"/>
      <c r="XT1777" s="78"/>
      <c r="XU1777" s="78"/>
      <c r="XV1777" s="74"/>
      <c r="XX1777" s="79"/>
      <c r="XY1777" s="74"/>
      <c r="XZ1777" s="35"/>
      <c r="YA1777" s="36"/>
      <c r="YB1777" s="80"/>
      <c r="YC1777" s="43"/>
      <c r="YF1777" s="72"/>
      <c r="YH1777" s="47"/>
      <c r="YI1777" s="47"/>
      <c r="YJ1777" s="74"/>
      <c r="YK1777" s="75"/>
      <c r="YL1777" s="76"/>
      <c r="YM1777" s="77"/>
      <c r="YN1777" s="78"/>
      <c r="YO1777" s="78"/>
      <c r="YP1777" s="78"/>
      <c r="YQ1777" s="74"/>
      <c r="YS1777" s="79"/>
      <c r="YT1777" s="74"/>
      <c r="YU1777" s="35"/>
      <c r="YV1777" s="36"/>
      <c r="YW1777" s="80"/>
      <c r="YX1777" s="43"/>
      <c r="ZA1777" s="72"/>
      <c r="ZC1777" s="47"/>
      <c r="ZD1777" s="47"/>
      <c r="ZE1777" s="74"/>
      <c r="ZF1777" s="75"/>
      <c r="ZG1777" s="76"/>
      <c r="ZH1777" s="77"/>
      <c r="ZI1777" s="78"/>
      <c r="ZJ1777" s="78"/>
      <c r="ZK1777" s="78"/>
      <c r="ZL1777" s="74"/>
      <c r="ZN1777" s="79"/>
      <c r="ZO1777" s="74"/>
      <c r="ZP1777" s="35"/>
      <c r="ZQ1777" s="36"/>
      <c r="ZR1777" s="80"/>
      <c r="ZS1777" s="43"/>
      <c r="ZV1777" s="72"/>
      <c r="ZX1777" s="47"/>
      <c r="ZY1777" s="47"/>
      <c r="ZZ1777" s="74"/>
      <c r="AAA1777" s="75"/>
      <c r="AAB1777" s="76"/>
      <c r="AAC1777" s="77"/>
      <c r="AAD1777" s="78"/>
      <c r="AAE1777" s="78"/>
      <c r="AAF1777" s="78"/>
      <c r="AAG1777" s="74"/>
      <c r="AAI1777" s="79"/>
      <c r="AAJ1777" s="74"/>
      <c r="AAK1777" s="35"/>
      <c r="AAL1777" s="36"/>
      <c r="AAM1777" s="80"/>
      <c r="AAN1777" s="43"/>
      <c r="AAQ1777" s="72"/>
      <c r="AAS1777" s="47"/>
      <c r="AAT1777" s="47"/>
      <c r="AAU1777" s="74"/>
      <c r="AAV1777" s="75"/>
      <c r="AAW1777" s="76"/>
      <c r="AAX1777" s="77"/>
      <c r="AAY1777" s="78"/>
      <c r="AAZ1777" s="78"/>
      <c r="ABA1777" s="78"/>
      <c r="ABB1777" s="74"/>
      <c r="ABD1777" s="79"/>
      <c r="ABE1777" s="74"/>
      <c r="ABF1777" s="35"/>
      <c r="ABG1777" s="36"/>
      <c r="ABH1777" s="80"/>
      <c r="ABI1777" s="43"/>
      <c r="ABL1777" s="72"/>
      <c r="ABN1777" s="47"/>
      <c r="ABO1777" s="47"/>
      <c r="ABP1777" s="74"/>
      <c r="ABQ1777" s="75"/>
      <c r="ABR1777" s="76"/>
      <c r="ABS1777" s="77"/>
      <c r="ABT1777" s="78"/>
      <c r="ABU1777" s="78"/>
      <c r="ABV1777" s="78"/>
      <c r="ABW1777" s="74"/>
      <c r="ABY1777" s="79"/>
      <c r="ABZ1777" s="74"/>
      <c r="ACA1777" s="35"/>
      <c r="ACB1777" s="36"/>
      <c r="ACC1777" s="80"/>
      <c r="ACD1777" s="43"/>
      <c r="ACG1777" s="72"/>
      <c r="ACI1777" s="47"/>
      <c r="ACJ1777" s="47"/>
      <c r="ACK1777" s="74"/>
      <c r="ACL1777" s="75"/>
      <c r="ACM1777" s="76"/>
      <c r="ACN1777" s="77"/>
      <c r="ACO1777" s="78"/>
      <c r="ACP1777" s="78"/>
      <c r="ACQ1777" s="78"/>
      <c r="ACR1777" s="74"/>
      <c r="ACT1777" s="79"/>
      <c r="ACU1777" s="74"/>
      <c r="ACV1777" s="35"/>
      <c r="ACW1777" s="36"/>
      <c r="ACX1777" s="80"/>
      <c r="ACY1777" s="43"/>
      <c r="ADB1777" s="72"/>
      <c r="ADD1777" s="47"/>
      <c r="ADE1777" s="47"/>
      <c r="ADF1777" s="74"/>
      <c r="ADG1777" s="75"/>
      <c r="ADH1777" s="76"/>
      <c r="ADI1777" s="77"/>
      <c r="ADJ1777" s="78"/>
      <c r="ADK1777" s="78"/>
      <c r="ADL1777" s="78"/>
      <c r="ADM1777" s="74"/>
      <c r="ADO1777" s="79"/>
      <c r="ADP1777" s="74"/>
      <c r="ADQ1777" s="35"/>
      <c r="ADR1777" s="36"/>
      <c r="ADS1777" s="80"/>
      <c r="ADT1777" s="43"/>
      <c r="ADW1777" s="72"/>
      <c r="ADY1777" s="47"/>
      <c r="ADZ1777" s="47"/>
      <c r="AEA1777" s="74"/>
      <c r="AEB1777" s="75"/>
      <c r="AEC1777" s="76"/>
      <c r="AED1777" s="77"/>
      <c r="AEE1777" s="78"/>
      <c r="AEF1777" s="78"/>
      <c r="AEG1777" s="78"/>
      <c r="AEH1777" s="74"/>
      <c r="AEJ1777" s="79"/>
      <c r="AEK1777" s="74"/>
      <c r="AEL1777" s="35"/>
      <c r="AEM1777" s="36"/>
      <c r="AEN1777" s="80"/>
      <c r="AEO1777" s="43"/>
      <c r="AER1777" s="72"/>
      <c r="AET1777" s="47"/>
      <c r="AEU1777" s="47"/>
      <c r="AEV1777" s="74"/>
      <c r="AEW1777" s="75"/>
      <c r="AEX1777" s="76"/>
      <c r="AEY1777" s="77"/>
      <c r="AEZ1777" s="78"/>
      <c r="AFA1777" s="78"/>
      <c r="AFB1777" s="78"/>
      <c r="AFC1777" s="74"/>
      <c r="AFE1777" s="79"/>
      <c r="AFF1777" s="74"/>
      <c r="AFG1777" s="35"/>
      <c r="AFH1777" s="36"/>
      <c r="AFI1777" s="80"/>
      <c r="AFJ1777" s="43"/>
      <c r="AFM1777" s="72"/>
      <c r="AFO1777" s="47"/>
      <c r="AFP1777" s="47"/>
      <c r="AFQ1777" s="74"/>
      <c r="AFR1777" s="75"/>
      <c r="AFS1777" s="76"/>
      <c r="AFT1777" s="77"/>
      <c r="AFU1777" s="78"/>
      <c r="AFV1777" s="78"/>
      <c r="AFW1777" s="78"/>
      <c r="AFX1777" s="74"/>
      <c r="AFZ1777" s="79"/>
      <c r="AGA1777" s="74"/>
      <c r="AGB1777" s="35"/>
      <c r="AGC1777" s="36"/>
      <c r="AGD1777" s="80"/>
      <c r="AGE1777" s="43"/>
      <c r="AGH1777" s="72"/>
      <c r="AGJ1777" s="47"/>
      <c r="AGK1777" s="47"/>
      <c r="AGL1777" s="74"/>
      <c r="AGM1777" s="75"/>
      <c r="AGN1777" s="76"/>
      <c r="AGO1777" s="77"/>
      <c r="AGP1777" s="78"/>
      <c r="AGQ1777" s="78"/>
      <c r="AGR1777" s="78"/>
      <c r="AGS1777" s="74"/>
      <c r="AGU1777" s="79"/>
      <c r="AGV1777" s="74"/>
      <c r="AGW1777" s="35"/>
      <c r="AGX1777" s="36"/>
      <c r="AGY1777" s="80"/>
      <c r="AGZ1777" s="43"/>
      <c r="AHC1777" s="72"/>
      <c r="AHE1777" s="47"/>
      <c r="AHF1777" s="47"/>
      <c r="AHG1777" s="74"/>
      <c r="AHH1777" s="75"/>
      <c r="AHI1777" s="76"/>
      <c r="AHJ1777" s="77"/>
      <c r="AHK1777" s="78"/>
      <c r="AHL1777" s="78"/>
      <c r="AHM1777" s="78"/>
      <c r="AHN1777" s="74"/>
      <c r="AHP1777" s="79"/>
      <c r="AHQ1777" s="74"/>
      <c r="AHR1777" s="35"/>
      <c r="AHS1777" s="36"/>
      <c r="AHT1777" s="80"/>
      <c r="AHU1777" s="43"/>
      <c r="AHX1777" s="72"/>
      <c r="AHZ1777" s="47"/>
      <c r="AIA1777" s="47"/>
      <c r="AIB1777" s="74"/>
      <c r="AIC1777" s="75"/>
      <c r="AID1777" s="76"/>
      <c r="AIE1777" s="77"/>
      <c r="AIF1777" s="78"/>
      <c r="AIG1777" s="78"/>
      <c r="AIH1777" s="78"/>
      <c r="AII1777" s="74"/>
      <c r="AIK1777" s="79"/>
      <c r="AIL1777" s="74"/>
      <c r="AIM1777" s="35"/>
      <c r="AIN1777" s="36"/>
      <c r="AIO1777" s="80"/>
      <c r="AIP1777" s="43"/>
      <c r="AIS1777" s="72"/>
      <c r="AIU1777" s="47"/>
      <c r="AIV1777" s="47"/>
      <c r="AIW1777" s="74"/>
      <c r="AIX1777" s="75"/>
      <c r="AIY1777" s="76"/>
      <c r="AIZ1777" s="77"/>
      <c r="AJA1777" s="78"/>
      <c r="AJB1777" s="78"/>
      <c r="AJC1777" s="78"/>
      <c r="AJD1777" s="74"/>
      <c r="AJF1777" s="79"/>
      <c r="AJG1777" s="74"/>
      <c r="AJH1777" s="35"/>
      <c r="AJI1777" s="36"/>
      <c r="AJJ1777" s="80"/>
      <c r="AJK1777" s="43"/>
      <c r="AJN1777" s="72"/>
      <c r="AJP1777" s="47"/>
      <c r="AJQ1777" s="47"/>
      <c r="AJR1777" s="74"/>
      <c r="AJS1777" s="75"/>
      <c r="AJT1777" s="76"/>
      <c r="AJU1777" s="77"/>
      <c r="AJV1777" s="78"/>
      <c r="AJW1777" s="78"/>
      <c r="AJX1777" s="78"/>
      <c r="AJY1777" s="74"/>
      <c r="AKA1777" s="79"/>
      <c r="AKB1777" s="74"/>
      <c r="AKC1777" s="35"/>
      <c r="AKD1777" s="36"/>
      <c r="AKE1777" s="80"/>
      <c r="AKF1777" s="43"/>
      <c r="AKI1777" s="72"/>
      <c r="AKK1777" s="47"/>
      <c r="AKL1777" s="47"/>
      <c r="AKM1777" s="74"/>
      <c r="AKN1777" s="75"/>
      <c r="AKO1777" s="76"/>
      <c r="AKP1777" s="77"/>
      <c r="AKQ1777" s="78"/>
      <c r="AKR1777" s="78"/>
      <c r="AKS1777" s="78"/>
      <c r="AKT1777" s="74"/>
      <c r="AKV1777" s="79"/>
      <c r="AKW1777" s="74"/>
      <c r="AKX1777" s="35"/>
      <c r="AKY1777" s="36"/>
      <c r="AKZ1777" s="80"/>
      <c r="ALA1777" s="43"/>
      <c r="ALD1777" s="72"/>
      <c r="ALF1777" s="47"/>
      <c r="ALG1777" s="47"/>
      <c r="ALH1777" s="74"/>
      <c r="ALI1777" s="75"/>
      <c r="ALJ1777" s="76"/>
      <c r="ALK1777" s="77"/>
      <c r="ALL1777" s="78"/>
      <c r="ALM1777" s="78"/>
      <c r="ALN1777" s="78"/>
      <c r="ALO1777" s="74"/>
      <c r="ALQ1777" s="79"/>
      <c r="ALR1777" s="74"/>
      <c r="ALS1777" s="35"/>
      <c r="ALT1777" s="36"/>
      <c r="ALU1777" s="80"/>
      <c r="ALV1777" s="43"/>
      <c r="ALY1777" s="72"/>
      <c r="AMA1777" s="47"/>
      <c r="AMB1777" s="47"/>
      <c r="AMC1777" s="74"/>
      <c r="AMD1777" s="75"/>
      <c r="AME1777" s="76"/>
      <c r="AMF1777" s="77"/>
      <c r="AMG1777" s="78"/>
      <c r="AMH1777" s="78"/>
      <c r="AMI1777" s="78"/>
      <c r="AMJ1777" s="74"/>
    </row>
    <row r="1778" customFormat="false" ht="13.8" hidden="false" customHeight="false" outlineLevel="0" collapsed="false">
      <c r="A1778" s="34"/>
      <c r="B1778" s="19" t="s">
        <v>887</v>
      </c>
      <c r="C1778" s="20" t="n">
        <v>43521</v>
      </c>
      <c r="D1778" s="38" t="s">
        <v>22</v>
      </c>
      <c r="E1778" s="22" t="s">
        <v>1617</v>
      </c>
      <c r="F1778" s="45" t="s">
        <v>983</v>
      </c>
      <c r="G1778" s="19" t="n">
        <v>4</v>
      </c>
      <c r="H1778" s="19"/>
      <c r="I1778" s="19" t="s">
        <v>2628</v>
      </c>
      <c r="J1778" s="25" t="n">
        <v>128</v>
      </c>
      <c r="K1778" s="39" t="n">
        <v>1000000</v>
      </c>
      <c r="L1778" s="39" t="n">
        <f aca="false">K1778/J1778</f>
        <v>7812.5</v>
      </c>
      <c r="M1778" s="34" t="s">
        <v>2431</v>
      </c>
      <c r="N1778" s="40" t="n">
        <v>50000</v>
      </c>
      <c r="O1778" s="30" t="n">
        <f aca="false">K1778+N1778</f>
        <v>1050000</v>
      </c>
      <c r="P1778" s="39" t="n">
        <f aca="false">O1778/J1778</f>
        <v>8203.125</v>
      </c>
      <c r="Q1778" s="19" t="s">
        <v>889</v>
      </c>
      <c r="R1778" s="19" t="n">
        <v>5</v>
      </c>
      <c r="S1778" s="19" t="s">
        <v>890</v>
      </c>
      <c r="T1778" s="19"/>
      <c r="U1778" s="19" t="s">
        <v>31</v>
      </c>
      <c r="V1778" s="41" t="n">
        <v>43727</v>
      </c>
      <c r="W1778" s="34"/>
      <c r="X1778" s="34"/>
    </row>
    <row r="1779" customFormat="false" ht="13.8" hidden="false" customHeight="false" outlineLevel="0" collapsed="false">
      <c r="A1779" s="34"/>
      <c r="B1779" s="19" t="n">
        <v>2850</v>
      </c>
      <c r="C1779" s="20" t="n">
        <v>43521</v>
      </c>
      <c r="D1779" s="38" t="s">
        <v>22</v>
      </c>
      <c r="E1779" s="22" t="s">
        <v>1617</v>
      </c>
      <c r="F1779" s="34" t="s">
        <v>983</v>
      </c>
      <c r="G1779" s="19" t="n">
        <v>4</v>
      </c>
      <c r="H1779" s="19" t="s">
        <v>2629</v>
      </c>
      <c r="I1779" s="19" t="n">
        <v>4</v>
      </c>
      <c r="J1779" s="19" t="n">
        <v>128</v>
      </c>
      <c r="K1779" s="39" t="n">
        <v>1050000</v>
      </c>
      <c r="L1779" s="39" t="n">
        <f aca="false">K1779/J1779</f>
        <v>8203.125</v>
      </c>
      <c r="M1779" s="34" t="s">
        <v>2630</v>
      </c>
      <c r="N1779" s="40" t="n">
        <v>50000</v>
      </c>
      <c r="O1779" s="30" t="n">
        <f aca="false">K1779+N1779</f>
        <v>1100000</v>
      </c>
      <c r="P1779" s="39" t="n">
        <f aca="false">O1779/J1779</f>
        <v>8593.75</v>
      </c>
      <c r="Q1779" s="19" t="s">
        <v>2631</v>
      </c>
      <c r="R1779" s="22" t="s">
        <v>57</v>
      </c>
      <c r="S1779" s="19" t="s">
        <v>29</v>
      </c>
      <c r="T1779" s="19" t="s">
        <v>30</v>
      </c>
      <c r="U1779" s="19" t="s">
        <v>31</v>
      </c>
      <c r="V1779" s="41" t="n">
        <v>43699</v>
      </c>
      <c r="W1779" s="34" t="s">
        <v>2632</v>
      </c>
      <c r="X1779" s="34"/>
      <c r="Y1779" s="32"/>
      <c r="Z1779" s="32"/>
    </row>
    <row r="1780" customFormat="false" ht="13.8" hidden="false" customHeight="false" outlineLevel="0" collapsed="false">
      <c r="A1780" s="34"/>
      <c r="B1780" s="19" t="n">
        <v>519</v>
      </c>
      <c r="C1780" s="20" t="n">
        <v>43522</v>
      </c>
      <c r="D1780" s="38" t="s">
        <v>22</v>
      </c>
      <c r="E1780" s="22" t="s">
        <v>178</v>
      </c>
      <c r="F1780" s="34" t="s">
        <v>220</v>
      </c>
      <c r="G1780" s="19" t="n">
        <v>6</v>
      </c>
      <c r="H1780" s="19" t="n">
        <v>46</v>
      </c>
      <c r="I1780" s="19" t="n">
        <v>2</v>
      </c>
      <c r="J1780" s="19" t="n">
        <v>49.63</v>
      </c>
      <c r="K1780" s="39" t="n">
        <v>482000</v>
      </c>
      <c r="L1780" s="39" t="n">
        <f aca="false">K1780/J1780</f>
        <v>9711.86782188193</v>
      </c>
      <c r="M1780" s="18"/>
      <c r="N1780" s="40"/>
      <c r="O1780" s="30" t="n">
        <f aca="false">K1780+N1780</f>
        <v>482000</v>
      </c>
      <c r="P1780" s="39" t="n">
        <f aca="false">O1780/J1780</f>
        <v>9711.86782188193</v>
      </c>
      <c r="Q1780" s="19" t="s">
        <v>1486</v>
      </c>
      <c r="R1780" s="22" t="s">
        <v>36</v>
      </c>
      <c r="S1780" s="19" t="s">
        <v>29</v>
      </c>
      <c r="T1780" s="19" t="s">
        <v>30</v>
      </c>
      <c r="U1780" s="19" t="s">
        <v>31</v>
      </c>
      <c r="V1780" s="41" t="n">
        <v>43703</v>
      </c>
      <c r="W1780" s="34" t="s">
        <v>2633</v>
      </c>
      <c r="X1780" s="34"/>
      <c r="Y1780" s="32"/>
      <c r="Z1780" s="32"/>
    </row>
    <row r="1781" customFormat="false" ht="13.8" hidden="false" customHeight="false" outlineLevel="0" collapsed="false">
      <c r="A1781" s="34"/>
      <c r="B1781" s="19" t="n">
        <v>334</v>
      </c>
      <c r="C1781" s="20" t="n">
        <v>43522</v>
      </c>
      <c r="D1781" s="38" t="s">
        <v>22</v>
      </c>
      <c r="E1781" s="22" t="s">
        <v>369</v>
      </c>
      <c r="F1781" s="34" t="s">
        <v>285</v>
      </c>
      <c r="G1781" s="19" t="n">
        <v>27</v>
      </c>
      <c r="H1781" s="19" t="n">
        <v>31</v>
      </c>
      <c r="I1781" s="19" t="n">
        <v>2</v>
      </c>
      <c r="J1781" s="19" t="n">
        <v>28.78</v>
      </c>
      <c r="K1781" s="39" t="n">
        <v>362000</v>
      </c>
      <c r="L1781" s="39" t="n">
        <f aca="false">K1781/J1781</f>
        <v>12578.1792911744</v>
      </c>
      <c r="M1781" s="18"/>
      <c r="N1781" s="40"/>
      <c r="O1781" s="30" t="n">
        <f aca="false">K1781+N1781</f>
        <v>362000</v>
      </c>
      <c r="P1781" s="39" t="n">
        <f aca="false">O1781/J1781</f>
        <v>12578.1792911744</v>
      </c>
      <c r="Q1781" s="19" t="s">
        <v>1320</v>
      </c>
      <c r="R1781" s="22" t="s">
        <v>27</v>
      </c>
      <c r="S1781" s="19" t="s">
        <v>29</v>
      </c>
      <c r="T1781" s="19" t="s">
        <v>30</v>
      </c>
      <c r="U1781" s="19" t="s">
        <v>31</v>
      </c>
      <c r="V1781" s="41" t="n">
        <v>43699</v>
      </c>
      <c r="W1781" s="34" t="s">
        <v>2634</v>
      </c>
      <c r="X1781" s="34"/>
      <c r="Y1781" s="32"/>
      <c r="Z1781" s="32"/>
      <c r="AMJ1781" s="32"/>
    </row>
    <row r="1782" s="32" customFormat="true" ht="13.8" hidden="false" customHeight="false" outlineLevel="0" collapsed="false">
      <c r="A1782" s="34"/>
      <c r="B1782" s="19" t="s">
        <v>887</v>
      </c>
      <c r="C1782" s="20" t="n">
        <v>43522</v>
      </c>
      <c r="D1782" s="38" t="s">
        <v>22</v>
      </c>
      <c r="E1782" s="22" t="s">
        <v>281</v>
      </c>
      <c r="F1782" s="45" t="s">
        <v>1029</v>
      </c>
      <c r="G1782" s="19" t="n">
        <v>3</v>
      </c>
      <c r="H1782" s="19"/>
      <c r="I1782" s="19" t="s">
        <v>1802</v>
      </c>
      <c r="J1782" s="25" t="n">
        <v>39.5</v>
      </c>
      <c r="K1782" s="39" t="n">
        <v>455000</v>
      </c>
      <c r="L1782" s="39" t="n">
        <f aca="false">K1782/J1782</f>
        <v>11518.9873417722</v>
      </c>
      <c r="M1782" s="34" t="s">
        <v>1173</v>
      </c>
      <c r="N1782" s="40"/>
      <c r="O1782" s="30" t="n">
        <f aca="false">K1782+N1782</f>
        <v>455000</v>
      </c>
      <c r="P1782" s="39" t="n">
        <f aca="false">O1782/J1782</f>
        <v>11518.9873417722</v>
      </c>
      <c r="Q1782" s="19" t="s">
        <v>889</v>
      </c>
      <c r="R1782" s="19" t="n">
        <v>2</v>
      </c>
      <c r="S1782" s="19" t="s">
        <v>1141</v>
      </c>
      <c r="T1782" s="19"/>
      <c r="U1782" s="19" t="s">
        <v>31</v>
      </c>
      <c r="V1782" s="41" t="n">
        <v>43727</v>
      </c>
      <c r="W1782" s="34"/>
      <c r="X1782" s="34"/>
    </row>
    <row r="1783" s="32" customFormat="true" ht="13.8" hidden="false" customHeight="false" outlineLevel="0" collapsed="false">
      <c r="A1783" s="34"/>
      <c r="B1783" s="19" t="n">
        <v>1020</v>
      </c>
      <c r="C1783" s="20" t="n">
        <v>43522</v>
      </c>
      <c r="D1783" s="38" t="s">
        <v>22</v>
      </c>
      <c r="E1783" s="22" t="s">
        <v>480</v>
      </c>
      <c r="F1783" s="34" t="s">
        <v>481</v>
      </c>
      <c r="G1783" s="19" t="n">
        <v>16</v>
      </c>
      <c r="H1783" s="19" t="n">
        <v>6</v>
      </c>
      <c r="I1783" s="19" t="n">
        <v>3</v>
      </c>
      <c r="J1783" s="19" t="n">
        <v>55.26</v>
      </c>
      <c r="K1783" s="39" t="n">
        <v>640000</v>
      </c>
      <c r="L1783" s="39" t="n">
        <f aca="false">K1783/J1783</f>
        <v>11581.6141874774</v>
      </c>
      <c r="M1783" s="34"/>
      <c r="N1783" s="40"/>
      <c r="O1783" s="30" t="n">
        <f aca="false">K1783+N1783</f>
        <v>640000</v>
      </c>
      <c r="P1783" s="39" t="n">
        <f aca="false">O1783/J1783</f>
        <v>11581.6141874774</v>
      </c>
      <c r="Q1783" s="19" t="s">
        <v>1486</v>
      </c>
      <c r="R1783" s="22" t="s">
        <v>36</v>
      </c>
      <c r="S1783" s="19" t="s">
        <v>29</v>
      </c>
      <c r="T1783" s="19" t="s">
        <v>30</v>
      </c>
      <c r="U1783" s="19" t="s">
        <v>31</v>
      </c>
      <c r="V1783" s="41" t="n">
        <v>43703</v>
      </c>
      <c r="W1783" s="34" t="s">
        <v>2635</v>
      </c>
      <c r="X1783" s="34"/>
    </row>
    <row r="1784" s="32" customFormat="true" ht="13.8" hidden="false" customHeight="false" outlineLevel="0" collapsed="false">
      <c r="A1784" s="34"/>
      <c r="B1784" s="19" t="n">
        <v>2918</v>
      </c>
      <c r="C1784" s="20" t="n">
        <v>43522</v>
      </c>
      <c r="D1784" s="38" t="s">
        <v>22</v>
      </c>
      <c r="E1784" s="22" t="s">
        <v>375</v>
      </c>
      <c r="F1784" s="34" t="s">
        <v>560</v>
      </c>
      <c r="G1784" s="19" t="n">
        <v>12</v>
      </c>
      <c r="H1784" s="19" t="n">
        <v>11</v>
      </c>
      <c r="I1784" s="19" t="n">
        <v>2</v>
      </c>
      <c r="J1784" s="19" t="n">
        <v>42.88</v>
      </c>
      <c r="K1784" s="39" t="n">
        <v>280000</v>
      </c>
      <c r="L1784" s="39" t="n">
        <f aca="false">K1784/J1784</f>
        <v>6529.85074626866</v>
      </c>
      <c r="M1784" s="34" t="s">
        <v>2636</v>
      </c>
      <c r="N1784" s="40"/>
      <c r="O1784" s="30" t="n">
        <f aca="false">K1784+N1784</f>
        <v>280000</v>
      </c>
      <c r="P1784" s="39" t="n">
        <f aca="false">O1784/J1784</f>
        <v>6529.85074626866</v>
      </c>
      <c r="Q1784" s="19" t="s">
        <v>1320</v>
      </c>
      <c r="R1784" s="22" t="s">
        <v>27</v>
      </c>
      <c r="S1784" s="19" t="s">
        <v>29</v>
      </c>
      <c r="T1784" s="19" t="s">
        <v>30</v>
      </c>
      <c r="U1784" s="19" t="s">
        <v>31</v>
      </c>
      <c r="V1784" s="41" t="n">
        <v>43699</v>
      </c>
      <c r="W1784" s="34" t="s">
        <v>2637</v>
      </c>
      <c r="X1784" s="34"/>
    </row>
    <row r="1785" customFormat="false" ht="13.8" hidden="false" customHeight="false" outlineLevel="0" collapsed="false">
      <c r="A1785" s="34"/>
      <c r="B1785" s="19" t="n">
        <v>1063</v>
      </c>
      <c r="C1785" s="20" t="n">
        <v>43522</v>
      </c>
      <c r="D1785" s="38" t="s">
        <v>22</v>
      </c>
      <c r="E1785" s="22" t="s">
        <v>103</v>
      </c>
      <c r="F1785" s="34" t="s">
        <v>240</v>
      </c>
      <c r="G1785" s="19" t="n">
        <v>1</v>
      </c>
      <c r="H1785" s="19" t="n">
        <v>8</v>
      </c>
      <c r="I1785" s="19" t="n">
        <v>2</v>
      </c>
      <c r="J1785" s="19" t="n">
        <v>178.78</v>
      </c>
      <c r="K1785" s="39" t="n">
        <v>1165000</v>
      </c>
      <c r="L1785" s="39" t="n">
        <f aca="false">K1785/J1785</f>
        <v>6516.38885781407</v>
      </c>
      <c r="M1785" s="34" t="s">
        <v>2638</v>
      </c>
      <c r="N1785" s="40"/>
      <c r="O1785" s="30" t="n">
        <f aca="false">K1785+N1785</f>
        <v>1165000</v>
      </c>
      <c r="P1785" s="39" t="n">
        <f aca="false">O1785/J1785</f>
        <v>6516.38885781407</v>
      </c>
      <c r="Q1785" s="19" t="s">
        <v>2639</v>
      </c>
      <c r="R1785" s="22" t="s">
        <v>49</v>
      </c>
      <c r="S1785" s="19" t="s">
        <v>29</v>
      </c>
      <c r="T1785" s="19" t="s">
        <v>30</v>
      </c>
      <c r="U1785" s="19" t="s">
        <v>31</v>
      </c>
      <c r="V1785" s="41" t="n">
        <v>43699</v>
      </c>
      <c r="W1785" s="34" t="s">
        <v>2640</v>
      </c>
      <c r="X1785" s="34"/>
      <c r="Y1785" s="35"/>
      <c r="Z1785" s="36"/>
    </row>
    <row r="1786" customFormat="false" ht="13.8" hidden="false" customHeight="false" outlineLevel="0" collapsed="false">
      <c r="A1786" s="34"/>
      <c r="B1786" s="19" t="n">
        <v>888</v>
      </c>
      <c r="C1786" s="20" t="n">
        <v>43523</v>
      </c>
      <c r="D1786" s="38" t="s">
        <v>22</v>
      </c>
      <c r="E1786" s="22" t="s">
        <v>319</v>
      </c>
      <c r="F1786" s="34" t="s">
        <v>320</v>
      </c>
      <c r="G1786" s="19" t="s">
        <v>321</v>
      </c>
      <c r="H1786" s="19" t="n">
        <v>143</v>
      </c>
      <c r="I1786" s="19" t="n">
        <v>5</v>
      </c>
      <c r="J1786" s="19" t="n">
        <v>49.76</v>
      </c>
      <c r="K1786" s="39" t="n">
        <v>500000</v>
      </c>
      <c r="L1786" s="39" t="n">
        <f aca="false">K1786/J1786</f>
        <v>10048.231511254</v>
      </c>
      <c r="M1786" s="34" t="s">
        <v>2641</v>
      </c>
      <c r="N1786" s="40" t="n">
        <v>32000</v>
      </c>
      <c r="O1786" s="30" t="n">
        <f aca="false">K1786+N1786</f>
        <v>532000</v>
      </c>
      <c r="P1786" s="39" t="n">
        <f aca="false">O1786/J1786</f>
        <v>10691.3183279743</v>
      </c>
      <c r="Q1786" s="19" t="s">
        <v>2642</v>
      </c>
      <c r="R1786" s="22" t="s">
        <v>36</v>
      </c>
      <c r="S1786" s="19" t="s">
        <v>29</v>
      </c>
      <c r="T1786" s="19" t="s">
        <v>30</v>
      </c>
      <c r="U1786" s="19" t="s">
        <v>31</v>
      </c>
      <c r="V1786" s="41" t="n">
        <v>43703</v>
      </c>
      <c r="W1786" s="34" t="s">
        <v>2643</v>
      </c>
      <c r="X1786" s="34"/>
      <c r="Y1786" s="35"/>
      <c r="Z1786" s="36"/>
    </row>
    <row r="1787" customFormat="false" ht="13.8" hidden="false" customHeight="false" outlineLevel="0" collapsed="false">
      <c r="A1787" s="34"/>
      <c r="B1787" s="19" t="n">
        <v>226</v>
      </c>
      <c r="C1787" s="20" t="n">
        <v>43523</v>
      </c>
      <c r="D1787" s="38" t="s">
        <v>22</v>
      </c>
      <c r="E1787" s="22" t="s">
        <v>235</v>
      </c>
      <c r="F1787" s="34" t="s">
        <v>2446</v>
      </c>
      <c r="G1787" s="22" t="s">
        <v>2644</v>
      </c>
      <c r="H1787" s="19" t="n">
        <v>33</v>
      </c>
      <c r="I1787" s="19" t="n">
        <v>4</v>
      </c>
      <c r="J1787" s="19" t="n">
        <v>45.24</v>
      </c>
      <c r="K1787" s="39" t="n">
        <v>440000</v>
      </c>
      <c r="L1787" s="39" t="n">
        <f aca="false">K1787/J1787</f>
        <v>9725.90627763042</v>
      </c>
      <c r="M1787" s="18"/>
      <c r="N1787" s="40"/>
      <c r="O1787" s="30" t="n">
        <f aca="false">K1787+N1787</f>
        <v>440000</v>
      </c>
      <c r="P1787" s="39" t="n">
        <f aca="false">O1787/J1787</f>
        <v>9725.90627763042</v>
      </c>
      <c r="Q1787" s="19" t="s">
        <v>1486</v>
      </c>
      <c r="R1787" s="22" t="s">
        <v>36</v>
      </c>
      <c r="S1787" s="19" t="s">
        <v>29</v>
      </c>
      <c r="T1787" s="19" t="s">
        <v>30</v>
      </c>
      <c r="U1787" s="19" t="s">
        <v>31</v>
      </c>
      <c r="V1787" s="41" t="n">
        <v>43699</v>
      </c>
      <c r="W1787" s="34" t="s">
        <v>2645</v>
      </c>
      <c r="X1787" s="34"/>
    </row>
    <row r="1788" customFormat="false" ht="13.8" hidden="false" customHeight="false" outlineLevel="0" collapsed="false">
      <c r="A1788" s="34"/>
      <c r="B1788" s="19" t="n">
        <v>497</v>
      </c>
      <c r="C1788" s="20" t="n">
        <v>43523</v>
      </c>
      <c r="D1788" s="38" t="s">
        <v>22</v>
      </c>
      <c r="E1788" s="22" t="s">
        <v>302</v>
      </c>
      <c r="F1788" s="34" t="s">
        <v>485</v>
      </c>
      <c r="G1788" s="19" t="n">
        <v>20</v>
      </c>
      <c r="H1788" s="19" t="n">
        <v>11</v>
      </c>
      <c r="I1788" s="19" t="n">
        <v>3</v>
      </c>
      <c r="J1788" s="19" t="n">
        <v>96.01</v>
      </c>
      <c r="K1788" s="39" t="n">
        <v>1480000</v>
      </c>
      <c r="L1788" s="39" t="n">
        <f aca="false">K1788/J1788</f>
        <v>15415.060931153</v>
      </c>
      <c r="M1788" s="18"/>
      <c r="N1788" s="40"/>
      <c r="O1788" s="30" t="n">
        <f aca="false">K1788+N1788</f>
        <v>1480000</v>
      </c>
      <c r="P1788" s="39" t="n">
        <f aca="false">O1788/J1788</f>
        <v>15415.060931153</v>
      </c>
      <c r="Q1788" s="19" t="s">
        <v>2646</v>
      </c>
      <c r="R1788" s="22" t="s">
        <v>26</v>
      </c>
      <c r="S1788" s="19" t="s">
        <v>29</v>
      </c>
      <c r="T1788" s="19" t="s">
        <v>30</v>
      </c>
      <c r="U1788" s="19" t="s">
        <v>31</v>
      </c>
      <c r="V1788" s="41" t="n">
        <v>43703</v>
      </c>
      <c r="W1788" s="34" t="s">
        <v>2647</v>
      </c>
      <c r="X1788" s="34"/>
      <c r="AMJ1788" s="32"/>
    </row>
    <row r="1789" s="32" customFormat="true" ht="13.8" hidden="false" customHeight="false" outlineLevel="0" collapsed="false">
      <c r="A1789" s="34"/>
      <c r="B1789" s="19" t="n">
        <v>425</v>
      </c>
      <c r="C1789" s="20" t="n">
        <v>43523</v>
      </c>
      <c r="D1789" s="38" t="s">
        <v>22</v>
      </c>
      <c r="E1789" s="22" t="s">
        <v>302</v>
      </c>
      <c r="F1789" s="34" t="s">
        <v>641</v>
      </c>
      <c r="G1789" s="19" t="s">
        <v>262</v>
      </c>
      <c r="H1789" s="19" t="n">
        <v>5</v>
      </c>
      <c r="I1789" s="19" t="n">
        <v>2</v>
      </c>
      <c r="J1789" s="19" t="n">
        <v>78.89</v>
      </c>
      <c r="K1789" s="39" t="n">
        <f aca="false">395000+395000</f>
        <v>790000</v>
      </c>
      <c r="L1789" s="39" t="n">
        <f aca="false">K1789/J1789</f>
        <v>10013.943465585</v>
      </c>
      <c r="M1789" s="18"/>
      <c r="N1789" s="40"/>
      <c r="O1789" s="30" t="n">
        <f aca="false">K1789+N1789</f>
        <v>790000</v>
      </c>
      <c r="P1789" s="39" t="n">
        <f aca="false">O1789/J1789</f>
        <v>10013.943465585</v>
      </c>
      <c r="Q1789" s="19" t="s">
        <v>2648</v>
      </c>
      <c r="R1789" s="22" t="s">
        <v>26</v>
      </c>
      <c r="S1789" s="19" t="s">
        <v>29</v>
      </c>
      <c r="T1789" s="19" t="s">
        <v>30</v>
      </c>
      <c r="U1789" s="19" t="s">
        <v>31</v>
      </c>
      <c r="V1789" s="41" t="n">
        <v>43699</v>
      </c>
      <c r="W1789" s="34" t="s">
        <v>2649</v>
      </c>
      <c r="X1789" s="34"/>
      <c r="Y1789" s="35"/>
      <c r="Z1789" s="36"/>
    </row>
    <row r="1790" s="32" customFormat="true" ht="13.8" hidden="false" customHeight="false" outlineLevel="0" collapsed="false">
      <c r="A1790" s="34"/>
      <c r="B1790" s="19" t="n">
        <v>2988</v>
      </c>
      <c r="C1790" s="20" t="n">
        <v>43523</v>
      </c>
      <c r="D1790" s="38" t="s">
        <v>22</v>
      </c>
      <c r="E1790" s="22" t="s">
        <v>178</v>
      </c>
      <c r="F1790" s="34" t="s">
        <v>926</v>
      </c>
      <c r="G1790" s="19" t="n">
        <v>1</v>
      </c>
      <c r="H1790" s="19" t="n">
        <v>2</v>
      </c>
      <c r="I1790" s="19" t="n">
        <v>1</v>
      </c>
      <c r="J1790" s="19" t="n">
        <v>52.1</v>
      </c>
      <c r="K1790" s="39" t="n">
        <v>420000</v>
      </c>
      <c r="L1790" s="39" t="n">
        <f aca="false">K1790/J1790</f>
        <v>8061.42034548944</v>
      </c>
      <c r="M1790" s="18"/>
      <c r="N1790" s="40"/>
      <c r="O1790" s="30" t="n">
        <f aca="false">K1790+N1790</f>
        <v>420000</v>
      </c>
      <c r="P1790" s="39" t="n">
        <f aca="false">O1790/J1790</f>
        <v>8061.42034548944</v>
      </c>
      <c r="Q1790" s="19" t="s">
        <v>1486</v>
      </c>
      <c r="R1790" s="22" t="s">
        <v>36</v>
      </c>
      <c r="S1790" s="19" t="s">
        <v>29</v>
      </c>
      <c r="T1790" s="19" t="s">
        <v>30</v>
      </c>
      <c r="U1790" s="19" t="s">
        <v>31</v>
      </c>
      <c r="V1790" s="41" t="n">
        <v>43703</v>
      </c>
      <c r="W1790" s="34" t="s">
        <v>2650</v>
      </c>
      <c r="X1790" s="34"/>
    </row>
    <row r="1791" s="32" customFormat="true" ht="13.8" hidden="false" customHeight="false" outlineLevel="0" collapsed="false">
      <c r="A1791" s="34"/>
      <c r="B1791" s="19" t="s">
        <v>2651</v>
      </c>
      <c r="C1791" s="20" t="n">
        <v>43524</v>
      </c>
      <c r="D1791" s="38" t="s">
        <v>22</v>
      </c>
      <c r="E1791" s="22" t="s">
        <v>171</v>
      </c>
      <c r="F1791" s="23" t="s">
        <v>315</v>
      </c>
      <c r="G1791" s="22" t="s">
        <v>226</v>
      </c>
      <c r="H1791" s="22" t="s">
        <v>74</v>
      </c>
      <c r="I1791" s="22" t="n">
        <v>3</v>
      </c>
      <c r="J1791" s="25" t="n">
        <v>23.46</v>
      </c>
      <c r="K1791" s="26" t="n">
        <v>200000</v>
      </c>
      <c r="L1791" s="39" t="n">
        <f aca="false">K1791/J1791</f>
        <v>8525.14919011083</v>
      </c>
      <c r="M1791" s="34" t="s">
        <v>189</v>
      </c>
      <c r="N1791" s="34"/>
      <c r="O1791" s="30" t="n">
        <f aca="false">K1791+N1791</f>
        <v>200000</v>
      </c>
      <c r="P1791" s="39" t="n">
        <f aca="false">O1791/J1791</f>
        <v>8525.14919011083</v>
      </c>
      <c r="Q1791" s="58"/>
      <c r="R1791" s="57" t="n">
        <v>2</v>
      </c>
      <c r="S1791" s="19" t="s">
        <v>29</v>
      </c>
      <c r="T1791" s="19" t="s">
        <v>30</v>
      </c>
      <c r="U1791" s="19" t="s">
        <v>31</v>
      </c>
      <c r="V1791" s="22" t="s">
        <v>2184</v>
      </c>
      <c r="W1791" s="22"/>
      <c r="X1791" s="22"/>
    </row>
    <row r="1792" customFormat="false" ht="13.8" hidden="false" customHeight="false" outlineLevel="0" collapsed="false">
      <c r="A1792" s="34"/>
      <c r="B1792" s="19" t="n">
        <v>2274</v>
      </c>
      <c r="C1792" s="20" t="n">
        <v>43524</v>
      </c>
      <c r="D1792" s="38" t="s">
        <v>22</v>
      </c>
      <c r="E1792" s="22" t="s">
        <v>80</v>
      </c>
      <c r="F1792" s="34" t="s">
        <v>81</v>
      </c>
      <c r="G1792" s="19" t="n">
        <v>4</v>
      </c>
      <c r="H1792" s="19" t="n">
        <v>104</v>
      </c>
      <c r="I1792" s="19" t="n">
        <v>8</v>
      </c>
      <c r="J1792" s="19" t="n">
        <v>115.08</v>
      </c>
      <c r="K1792" s="39" t="n">
        <v>1780000</v>
      </c>
      <c r="L1792" s="39" t="n">
        <f aca="false">K1792/J1792</f>
        <v>15467.5008689607</v>
      </c>
      <c r="M1792" s="34" t="s">
        <v>2652</v>
      </c>
      <c r="N1792" s="40"/>
      <c r="O1792" s="30" t="n">
        <f aca="false">K1792+N1792</f>
        <v>1780000</v>
      </c>
      <c r="P1792" s="39" t="n">
        <f aca="false">O1792/J1792</f>
        <v>15467.5008689607</v>
      </c>
      <c r="Q1792" s="19" t="s">
        <v>2653</v>
      </c>
      <c r="R1792" s="22" t="s">
        <v>49</v>
      </c>
      <c r="S1792" s="19" t="s">
        <v>29</v>
      </c>
      <c r="T1792" s="19" t="s">
        <v>30</v>
      </c>
      <c r="U1792" s="19" t="s">
        <v>31</v>
      </c>
      <c r="V1792" s="41" t="n">
        <v>43699</v>
      </c>
      <c r="W1792" s="34" t="s">
        <v>2654</v>
      </c>
      <c r="X1792" s="18"/>
      <c r="Y1792" s="32"/>
      <c r="Z1792" s="32"/>
    </row>
    <row r="1793" customFormat="false" ht="13.8" hidden="false" customHeight="false" outlineLevel="0" collapsed="false">
      <c r="A1793" s="34"/>
      <c r="B1793" s="19" t="n">
        <v>946</v>
      </c>
      <c r="C1793" s="20" t="n">
        <v>43524</v>
      </c>
      <c r="D1793" s="38" t="s">
        <v>22</v>
      </c>
      <c r="E1793" s="22" t="s">
        <v>37</v>
      </c>
      <c r="F1793" s="34" t="s">
        <v>386</v>
      </c>
      <c r="G1793" s="19" t="n">
        <v>2</v>
      </c>
      <c r="H1793" s="19" t="n">
        <v>28</v>
      </c>
      <c r="I1793" s="19" t="n">
        <v>6</v>
      </c>
      <c r="J1793" s="19" t="n">
        <v>34.2</v>
      </c>
      <c r="K1793" s="39" t="n">
        <v>315000</v>
      </c>
      <c r="L1793" s="39" t="n">
        <f aca="false">K1793/J1793</f>
        <v>9210.52631578947</v>
      </c>
      <c r="M1793" s="18"/>
      <c r="N1793" s="40"/>
      <c r="O1793" s="30" t="n">
        <f aca="false">K1793+N1793</f>
        <v>315000</v>
      </c>
      <c r="P1793" s="39" t="n">
        <f aca="false">O1793/J1793</f>
        <v>9210.52631578947</v>
      </c>
      <c r="Q1793" s="19" t="s">
        <v>1320</v>
      </c>
      <c r="R1793" s="22" t="s">
        <v>27</v>
      </c>
      <c r="S1793" s="19" t="s">
        <v>29</v>
      </c>
      <c r="T1793" s="19" t="s">
        <v>30</v>
      </c>
      <c r="U1793" s="19" t="s">
        <v>31</v>
      </c>
      <c r="V1793" s="41" t="n">
        <v>43699</v>
      </c>
      <c r="W1793" s="34" t="s">
        <v>2655</v>
      </c>
      <c r="X1793" s="18"/>
      <c r="Y1793" s="32"/>
      <c r="Z1793" s="32"/>
      <c r="AMJ1793" s="32"/>
    </row>
    <row r="1794" s="32" customFormat="true" ht="13.8" hidden="false" customHeight="false" outlineLevel="0" collapsed="false">
      <c r="A1794" s="34"/>
      <c r="B1794" s="19" t="n">
        <v>911</v>
      </c>
      <c r="C1794" s="20" t="n">
        <v>43524</v>
      </c>
      <c r="D1794" s="38" t="s">
        <v>22</v>
      </c>
      <c r="E1794" s="22" t="s">
        <v>265</v>
      </c>
      <c r="F1794" s="34" t="s">
        <v>108</v>
      </c>
      <c r="G1794" s="19" t="n">
        <v>47</v>
      </c>
      <c r="H1794" s="19" t="n">
        <v>18</v>
      </c>
      <c r="I1794" s="19" t="n">
        <v>1</v>
      </c>
      <c r="J1794" s="19" t="n">
        <v>50.07</v>
      </c>
      <c r="K1794" s="39" t="n">
        <v>475000</v>
      </c>
      <c r="L1794" s="39" t="n">
        <f aca="false">K1794/J1794</f>
        <v>9486.71859396844</v>
      </c>
      <c r="M1794" s="34"/>
      <c r="N1794" s="40"/>
      <c r="O1794" s="30" t="n">
        <f aca="false">K1794+N1794</f>
        <v>475000</v>
      </c>
      <c r="P1794" s="39" t="n">
        <f aca="false">O1794/J1794</f>
        <v>9486.71859396844</v>
      </c>
      <c r="Q1794" s="19" t="s">
        <v>1486</v>
      </c>
      <c r="R1794" s="22" t="s">
        <v>36</v>
      </c>
      <c r="S1794" s="19" t="s">
        <v>29</v>
      </c>
      <c r="T1794" s="19" t="s">
        <v>30</v>
      </c>
      <c r="U1794" s="19" t="s">
        <v>31</v>
      </c>
      <c r="V1794" s="41" t="n">
        <v>43703</v>
      </c>
      <c r="W1794" s="34" t="s">
        <v>2656</v>
      </c>
      <c r="X1794" s="34"/>
    </row>
    <row r="1795" s="32" customFormat="true" ht="13.8" hidden="false" customHeight="false" outlineLevel="0" collapsed="false">
      <c r="A1795" s="34"/>
      <c r="B1795" s="19" t="n">
        <v>1163</v>
      </c>
      <c r="C1795" s="20" t="n">
        <v>43524</v>
      </c>
      <c r="D1795" s="38" t="s">
        <v>22</v>
      </c>
      <c r="E1795" s="22" t="s">
        <v>308</v>
      </c>
      <c r="F1795" s="34" t="s">
        <v>446</v>
      </c>
      <c r="G1795" s="19" t="n">
        <v>3</v>
      </c>
      <c r="H1795" s="19" t="n">
        <v>19</v>
      </c>
      <c r="I1795" s="19" t="n">
        <v>2</v>
      </c>
      <c r="J1795" s="19" t="n">
        <v>41.49</v>
      </c>
      <c r="K1795" s="39" t="n">
        <v>545000</v>
      </c>
      <c r="L1795" s="39" t="n">
        <f aca="false">K1795/J1795</f>
        <v>13135.6953482767</v>
      </c>
      <c r="M1795" s="34" t="s">
        <v>2657</v>
      </c>
      <c r="N1795" s="40"/>
      <c r="O1795" s="30" t="n">
        <f aca="false">K1795+N1795</f>
        <v>545000</v>
      </c>
      <c r="P1795" s="39" t="n">
        <f aca="false">O1795/J1795</f>
        <v>13135.6953482767</v>
      </c>
      <c r="Q1795" s="19" t="s">
        <v>2658</v>
      </c>
      <c r="R1795" s="22" t="s">
        <v>36</v>
      </c>
      <c r="S1795" s="19" t="s">
        <v>29</v>
      </c>
      <c r="T1795" s="19" t="s">
        <v>30</v>
      </c>
      <c r="U1795" s="19" t="s">
        <v>31</v>
      </c>
      <c r="V1795" s="41" t="n">
        <v>43699</v>
      </c>
      <c r="W1795" s="34" t="s">
        <v>2659</v>
      </c>
      <c r="X1795" s="34"/>
    </row>
    <row r="1796" customFormat="false" ht="13.8" hidden="false" customHeight="false" outlineLevel="0" collapsed="false">
      <c r="A1796" s="34"/>
      <c r="B1796" s="19" t="n">
        <v>474</v>
      </c>
      <c r="C1796" s="20" t="n">
        <v>43524</v>
      </c>
      <c r="D1796" s="38" t="s">
        <v>22</v>
      </c>
      <c r="E1796" s="22" t="s">
        <v>109</v>
      </c>
      <c r="F1796" s="34" t="s">
        <v>404</v>
      </c>
      <c r="G1796" s="19" t="s">
        <v>2660</v>
      </c>
      <c r="H1796" s="19" t="n">
        <v>14</v>
      </c>
      <c r="I1796" s="19" t="n">
        <v>2</v>
      </c>
      <c r="J1796" s="19" t="n">
        <v>54.74</v>
      </c>
      <c r="K1796" s="39" t="n">
        <v>440000</v>
      </c>
      <c r="L1796" s="39" t="n">
        <f aca="false">K1796/J1796</f>
        <v>8037.99780781878</v>
      </c>
      <c r="M1796" s="34" t="s">
        <v>2661</v>
      </c>
      <c r="N1796" s="40"/>
      <c r="O1796" s="30" t="n">
        <f aca="false">K1796+N1796</f>
        <v>440000</v>
      </c>
      <c r="P1796" s="39" t="n">
        <f aca="false">O1796/J1796</f>
        <v>8037.99780781878</v>
      </c>
      <c r="Q1796" s="19" t="s">
        <v>1471</v>
      </c>
      <c r="R1796" s="22" t="s">
        <v>26</v>
      </c>
      <c r="S1796" s="19" t="s">
        <v>29</v>
      </c>
      <c r="T1796" s="19" t="s">
        <v>30</v>
      </c>
      <c r="U1796" s="19" t="s">
        <v>31</v>
      </c>
      <c r="V1796" s="41" t="n">
        <v>43703</v>
      </c>
      <c r="W1796" s="34" t="s">
        <v>2662</v>
      </c>
      <c r="X1796" s="34"/>
      <c r="Y1796" s="32"/>
      <c r="Z1796" s="32"/>
    </row>
    <row r="1797" customFormat="false" ht="13.8" hidden="false" customHeight="false" outlineLevel="0" collapsed="false">
      <c r="A1797" s="34"/>
      <c r="B1797" s="19" t="n">
        <v>1342</v>
      </c>
      <c r="C1797" s="20" t="n">
        <v>43524</v>
      </c>
      <c r="D1797" s="38" t="s">
        <v>22</v>
      </c>
      <c r="E1797" s="22" t="s">
        <v>522</v>
      </c>
      <c r="F1797" s="34" t="s">
        <v>523</v>
      </c>
      <c r="G1797" s="19" t="s">
        <v>146</v>
      </c>
      <c r="H1797" s="19" t="n">
        <v>56</v>
      </c>
      <c r="I1797" s="19" t="n">
        <v>5</v>
      </c>
      <c r="J1797" s="19" t="n">
        <v>104.99</v>
      </c>
      <c r="K1797" s="39" t="n">
        <v>908000</v>
      </c>
      <c r="L1797" s="39" t="n">
        <f aca="false">K1797/J1797</f>
        <v>8648.44270882941</v>
      </c>
      <c r="M1797" s="34" t="s">
        <v>2663</v>
      </c>
      <c r="N1797" s="40" t="n">
        <v>30000</v>
      </c>
      <c r="O1797" s="30" t="n">
        <f aca="false">K1797+N1797</f>
        <v>938000</v>
      </c>
      <c r="P1797" s="39" t="n">
        <f aca="false">O1797/J1797</f>
        <v>8934.18420801981</v>
      </c>
      <c r="Q1797" s="19" t="s">
        <v>2664</v>
      </c>
      <c r="R1797" s="22" t="s">
        <v>49</v>
      </c>
      <c r="S1797" s="19" t="s">
        <v>29</v>
      </c>
      <c r="T1797" s="19" t="s">
        <v>30</v>
      </c>
      <c r="U1797" s="19" t="s">
        <v>31</v>
      </c>
      <c r="V1797" s="41" t="n">
        <v>43703</v>
      </c>
      <c r="W1797" s="34" t="s">
        <v>2665</v>
      </c>
      <c r="X1797" s="34"/>
      <c r="Y1797" s="32"/>
      <c r="Z1797" s="32"/>
    </row>
    <row r="1798" customFormat="false" ht="13.8" hidden="false" customHeight="false" outlineLevel="0" collapsed="false">
      <c r="A1798" s="34"/>
      <c r="B1798" s="19" t="n">
        <v>1354</v>
      </c>
      <c r="C1798" s="20" t="n">
        <v>43524</v>
      </c>
      <c r="D1798" s="38" t="s">
        <v>22</v>
      </c>
      <c r="E1798" s="22" t="s">
        <v>350</v>
      </c>
      <c r="F1798" s="34" t="s">
        <v>351</v>
      </c>
      <c r="G1798" s="19" t="s">
        <v>748</v>
      </c>
      <c r="H1798" s="19" t="n">
        <v>13</v>
      </c>
      <c r="I1798" s="19" t="n">
        <v>3</v>
      </c>
      <c r="J1798" s="19" t="n">
        <v>48.62</v>
      </c>
      <c r="K1798" s="39" t="n">
        <v>502000</v>
      </c>
      <c r="L1798" s="39" t="n">
        <f aca="false">K1798/J1798</f>
        <v>10324.9691484986</v>
      </c>
      <c r="M1798" s="34" t="s">
        <v>2666</v>
      </c>
      <c r="N1798" s="40"/>
      <c r="O1798" s="30" t="n">
        <f aca="false">K1798+N1798</f>
        <v>502000</v>
      </c>
      <c r="P1798" s="39" t="n">
        <f aca="false">O1798/J1798</f>
        <v>10324.9691484986</v>
      </c>
      <c r="Q1798" s="19" t="s">
        <v>2667</v>
      </c>
      <c r="R1798" s="22" t="s">
        <v>36</v>
      </c>
      <c r="S1798" s="19" t="s">
        <v>29</v>
      </c>
      <c r="T1798" s="19" t="s">
        <v>30</v>
      </c>
      <c r="U1798" s="19" t="s">
        <v>31</v>
      </c>
      <c r="V1798" s="41" t="n">
        <v>43703</v>
      </c>
      <c r="W1798" s="34" t="s">
        <v>2668</v>
      </c>
      <c r="X1798" s="34"/>
      <c r="Y1798" s="32"/>
      <c r="Z1798" s="32"/>
    </row>
    <row r="1799" customFormat="false" ht="13.8" hidden="false" customHeight="false" outlineLevel="0" collapsed="false">
      <c r="A1799" s="34"/>
      <c r="B1799" s="19" t="n">
        <v>1103</v>
      </c>
      <c r="C1799" s="20" t="n">
        <v>43524</v>
      </c>
      <c r="D1799" s="38" t="s">
        <v>22</v>
      </c>
      <c r="E1799" s="22" t="s">
        <v>350</v>
      </c>
      <c r="F1799" s="34" t="s">
        <v>812</v>
      </c>
      <c r="G1799" s="19" t="n">
        <v>10</v>
      </c>
      <c r="H1799" s="19" t="n">
        <v>33</v>
      </c>
      <c r="I1799" s="19" t="n">
        <v>7</v>
      </c>
      <c r="J1799" s="19" t="n">
        <v>35.64</v>
      </c>
      <c r="K1799" s="39" t="n">
        <v>450000</v>
      </c>
      <c r="L1799" s="39" t="n">
        <f aca="false">K1799/J1799</f>
        <v>12626.2626262626</v>
      </c>
      <c r="M1799" s="18"/>
      <c r="N1799" s="40"/>
      <c r="O1799" s="30" t="n">
        <f aca="false">K1799+N1799</f>
        <v>450000</v>
      </c>
      <c r="P1799" s="39" t="n">
        <f aca="false">O1799/J1799</f>
        <v>12626.2626262626</v>
      </c>
      <c r="Q1799" s="19" t="s">
        <v>2669</v>
      </c>
      <c r="R1799" s="22" t="s">
        <v>36</v>
      </c>
      <c r="S1799" s="19" t="s">
        <v>29</v>
      </c>
      <c r="T1799" s="19" t="s">
        <v>30</v>
      </c>
      <c r="U1799" s="19" t="s">
        <v>31</v>
      </c>
      <c r="V1799" s="41" t="n">
        <v>43703</v>
      </c>
      <c r="W1799" s="34" t="s">
        <v>2670</v>
      </c>
      <c r="X1799" s="34"/>
      <c r="Y1799" s="32"/>
      <c r="Z1799" s="32"/>
    </row>
    <row r="1800" customFormat="false" ht="13.8" hidden="false" customHeight="false" outlineLevel="0" collapsed="false">
      <c r="A1800" s="34"/>
      <c r="B1800" s="19" t="n">
        <v>2264</v>
      </c>
      <c r="C1800" s="20" t="n">
        <v>43524</v>
      </c>
      <c r="D1800" s="38" t="s">
        <v>22</v>
      </c>
      <c r="E1800" s="22" t="s">
        <v>527</v>
      </c>
      <c r="F1800" s="34" t="s">
        <v>240</v>
      </c>
      <c r="G1800" s="19" t="n">
        <v>110</v>
      </c>
      <c r="H1800" s="19" t="n">
        <v>30</v>
      </c>
      <c r="I1800" s="19" t="n">
        <v>5</v>
      </c>
      <c r="J1800" s="19" t="n">
        <v>181.72</v>
      </c>
      <c r="K1800" s="39" t="n">
        <v>1250000</v>
      </c>
      <c r="L1800" s="39" t="n">
        <f aca="false">K1800/J1800</f>
        <v>6878.71450583315</v>
      </c>
      <c r="M1800" s="34"/>
      <c r="N1800" s="40"/>
      <c r="O1800" s="30" t="n">
        <f aca="false">K1800+N1800</f>
        <v>1250000</v>
      </c>
      <c r="P1800" s="39" t="n">
        <f aca="false">O1800/J1800</f>
        <v>6878.71450583315</v>
      </c>
      <c r="Q1800" s="19" t="s">
        <v>2671</v>
      </c>
      <c r="R1800" s="22" t="s">
        <v>57</v>
      </c>
      <c r="S1800" s="19" t="s">
        <v>29</v>
      </c>
      <c r="T1800" s="19" t="s">
        <v>30</v>
      </c>
      <c r="U1800" s="19" t="s">
        <v>31</v>
      </c>
      <c r="V1800" s="41" t="n">
        <v>43699</v>
      </c>
      <c r="W1800" s="34" t="s">
        <v>2672</v>
      </c>
      <c r="X1800" s="34"/>
      <c r="Y1800" s="32"/>
      <c r="Z1800" s="32"/>
    </row>
    <row r="1801" customFormat="false" ht="13.8" hidden="false" customHeight="false" outlineLevel="0" collapsed="false">
      <c r="A1801" s="34"/>
      <c r="B1801" s="19" t="n">
        <v>1056</v>
      </c>
      <c r="C1801" s="20" t="n">
        <v>43524</v>
      </c>
      <c r="D1801" s="38" t="s">
        <v>22</v>
      </c>
      <c r="E1801" s="22" t="s">
        <v>235</v>
      </c>
      <c r="F1801" s="34" t="s">
        <v>1614</v>
      </c>
      <c r="G1801" s="22" t="s">
        <v>410</v>
      </c>
      <c r="H1801" s="19" t="n">
        <v>50</v>
      </c>
      <c r="I1801" s="19" t="n">
        <v>5</v>
      </c>
      <c r="J1801" s="19" t="n">
        <v>49.27</v>
      </c>
      <c r="K1801" s="39" t="n">
        <v>278000</v>
      </c>
      <c r="L1801" s="39" t="n">
        <f aca="false">K1801/J1801</f>
        <v>5642.37872944997</v>
      </c>
      <c r="M1801" s="34" t="s">
        <v>2673</v>
      </c>
      <c r="N1801" s="40" t="n">
        <v>55000</v>
      </c>
      <c r="O1801" s="30" t="n">
        <f aca="false">K1801+N1801</f>
        <v>333000</v>
      </c>
      <c r="P1801" s="39" t="n">
        <f aca="false">O1801/J1801</f>
        <v>6758.67667952101</v>
      </c>
      <c r="Q1801" s="19" t="s">
        <v>2674</v>
      </c>
      <c r="R1801" s="22" t="s">
        <v>36</v>
      </c>
      <c r="S1801" s="19" t="s">
        <v>29</v>
      </c>
      <c r="T1801" s="19" t="s">
        <v>30</v>
      </c>
      <c r="U1801" s="19" t="s">
        <v>31</v>
      </c>
      <c r="V1801" s="41" t="n">
        <v>43703</v>
      </c>
      <c r="W1801" s="34" t="s">
        <v>2675</v>
      </c>
      <c r="X1801" s="34"/>
      <c r="Y1801" s="32"/>
      <c r="Z1801" s="32"/>
    </row>
    <row r="1802" customFormat="false" ht="13.8" hidden="false" customHeight="false" outlineLevel="0" collapsed="false">
      <c r="A1802" s="34"/>
      <c r="B1802" s="19" t="n">
        <v>2308</v>
      </c>
      <c r="C1802" s="20" t="n">
        <v>43524</v>
      </c>
      <c r="D1802" s="38" t="s">
        <v>22</v>
      </c>
      <c r="E1802" s="22" t="s">
        <v>122</v>
      </c>
      <c r="F1802" s="34" t="s">
        <v>805</v>
      </c>
      <c r="G1802" s="19" t="n">
        <v>44</v>
      </c>
      <c r="H1802" s="19" t="n">
        <v>64</v>
      </c>
      <c r="I1802" s="19" t="n">
        <v>11</v>
      </c>
      <c r="J1802" s="19" t="n">
        <v>57.05</v>
      </c>
      <c r="K1802" s="39" t="n">
        <v>476000</v>
      </c>
      <c r="L1802" s="39" t="n">
        <f aca="false">K1802/J1802</f>
        <v>8343.55828220859</v>
      </c>
      <c r="M1802" s="18"/>
      <c r="N1802" s="40"/>
      <c r="O1802" s="30" t="n">
        <f aca="false">K1802+N1802</f>
        <v>476000</v>
      </c>
      <c r="P1802" s="39" t="n">
        <f aca="false">O1802/J1802</f>
        <v>8343.55828220859</v>
      </c>
      <c r="Q1802" s="19" t="s">
        <v>1471</v>
      </c>
      <c r="R1802" s="22" t="s">
        <v>26</v>
      </c>
      <c r="S1802" s="19" t="s">
        <v>29</v>
      </c>
      <c r="T1802" s="19" t="s">
        <v>30</v>
      </c>
      <c r="U1802" s="19" t="s">
        <v>31</v>
      </c>
      <c r="V1802" s="41" t="n">
        <v>43699</v>
      </c>
      <c r="W1802" s="34" t="s">
        <v>1788</v>
      </c>
      <c r="X1802" s="18"/>
      <c r="Y1802" s="32"/>
      <c r="Z1802" s="32"/>
      <c r="AMJ1802" s="32"/>
    </row>
    <row r="1803" s="32" customFormat="true" ht="13.8" hidden="false" customHeight="false" outlineLevel="0" collapsed="false">
      <c r="A1803" s="34"/>
      <c r="B1803" s="19" t="n">
        <v>172</v>
      </c>
      <c r="C1803" s="20" t="n">
        <v>43524</v>
      </c>
      <c r="D1803" s="38" t="s">
        <v>22</v>
      </c>
      <c r="E1803" s="22" t="s">
        <v>399</v>
      </c>
      <c r="F1803" s="34" t="s">
        <v>272</v>
      </c>
      <c r="G1803" s="19" t="n">
        <v>76</v>
      </c>
      <c r="H1803" s="19" t="n">
        <v>85</v>
      </c>
      <c r="I1803" s="19" t="n">
        <v>8</v>
      </c>
      <c r="J1803" s="19" t="n">
        <v>43</v>
      </c>
      <c r="K1803" s="39" t="n">
        <v>440000</v>
      </c>
      <c r="L1803" s="39" t="n">
        <f aca="false">K1803/J1803</f>
        <v>10232.5581395349</v>
      </c>
      <c r="M1803" s="34" t="s">
        <v>2676</v>
      </c>
      <c r="N1803" s="40" t="n">
        <v>30000</v>
      </c>
      <c r="O1803" s="30" t="n">
        <f aca="false">K1803+N1803</f>
        <v>470000</v>
      </c>
      <c r="P1803" s="39" t="n">
        <f aca="false">O1803/J1803</f>
        <v>10930.2325581395</v>
      </c>
      <c r="Q1803" s="19" t="s">
        <v>2669</v>
      </c>
      <c r="R1803" s="22" t="s">
        <v>36</v>
      </c>
      <c r="S1803" s="19" t="s">
        <v>29</v>
      </c>
      <c r="T1803" s="19" t="s">
        <v>30</v>
      </c>
      <c r="U1803" s="19" t="s">
        <v>31</v>
      </c>
      <c r="V1803" s="41" t="n">
        <v>43703</v>
      </c>
      <c r="W1803" s="34" t="s">
        <v>2677</v>
      </c>
      <c r="X1803" s="18"/>
    </row>
    <row r="1804" customFormat="false" ht="13.8" hidden="false" customHeight="false" outlineLevel="0" collapsed="false">
      <c r="A1804" s="34"/>
      <c r="B1804" s="19" t="n">
        <v>1037</v>
      </c>
      <c r="C1804" s="20" t="n">
        <v>43525</v>
      </c>
      <c r="D1804" s="38" t="s">
        <v>22</v>
      </c>
      <c r="E1804" s="22" t="s">
        <v>212</v>
      </c>
      <c r="F1804" s="34" t="s">
        <v>94</v>
      </c>
      <c r="G1804" s="19" t="n">
        <v>13</v>
      </c>
      <c r="H1804" s="19" t="n">
        <v>52</v>
      </c>
      <c r="I1804" s="19" t="n">
        <v>9</v>
      </c>
      <c r="J1804" s="19" t="n">
        <v>58.8</v>
      </c>
      <c r="K1804" s="39" t="n">
        <v>410000</v>
      </c>
      <c r="L1804" s="39" t="n">
        <f aca="false">K1804/J1804</f>
        <v>6972.78911564626</v>
      </c>
      <c r="M1804" s="34" t="s">
        <v>2678</v>
      </c>
      <c r="N1804" s="40"/>
      <c r="O1804" s="30" t="n">
        <f aca="false">K1804+N1804</f>
        <v>410000</v>
      </c>
      <c r="P1804" s="39" t="n">
        <f aca="false">O1804/J1804</f>
        <v>6972.78911564626</v>
      </c>
      <c r="Q1804" s="19" t="s">
        <v>2460</v>
      </c>
      <c r="R1804" s="22" t="s">
        <v>26</v>
      </c>
      <c r="S1804" s="19" t="s">
        <v>29</v>
      </c>
      <c r="T1804" s="19" t="s">
        <v>30</v>
      </c>
      <c r="U1804" s="19" t="s">
        <v>31</v>
      </c>
      <c r="V1804" s="41" t="n">
        <v>43703</v>
      </c>
      <c r="W1804" s="34" t="s">
        <v>2679</v>
      </c>
      <c r="X1804" s="18"/>
    </row>
    <row r="1805" customFormat="false" ht="13.8" hidden="false" customHeight="false" outlineLevel="0" collapsed="false">
      <c r="A1805" s="34"/>
      <c r="B1805" s="19" t="n">
        <v>2240</v>
      </c>
      <c r="C1805" s="20" t="n">
        <v>43525</v>
      </c>
      <c r="D1805" s="38" t="s">
        <v>22</v>
      </c>
      <c r="E1805" s="22" t="s">
        <v>644</v>
      </c>
      <c r="F1805" s="34" t="s">
        <v>94</v>
      </c>
      <c r="G1805" s="19" t="n">
        <v>143</v>
      </c>
      <c r="H1805" s="19" t="s">
        <v>2680</v>
      </c>
      <c r="I1805" s="19" t="n">
        <v>6</v>
      </c>
      <c r="J1805" s="19" t="n">
        <v>29</v>
      </c>
      <c r="K1805" s="39" t="n">
        <v>291000</v>
      </c>
      <c r="L1805" s="39" t="n">
        <f aca="false">K1805/J1805</f>
        <v>10034.4827586207</v>
      </c>
      <c r="M1805" s="18"/>
      <c r="N1805" s="40"/>
      <c r="O1805" s="30" t="n">
        <f aca="false">K1805+N1805</f>
        <v>291000</v>
      </c>
      <c r="P1805" s="39" t="n">
        <f aca="false">O1805/J1805</f>
        <v>10034.4827586207</v>
      </c>
      <c r="Q1805" s="19" t="s">
        <v>1320</v>
      </c>
      <c r="R1805" s="22" t="s">
        <v>27</v>
      </c>
      <c r="S1805" s="19" t="s">
        <v>29</v>
      </c>
      <c r="T1805" s="19" t="s">
        <v>30</v>
      </c>
      <c r="U1805" s="19" t="s">
        <v>31</v>
      </c>
      <c r="V1805" s="41" t="n">
        <v>43703</v>
      </c>
      <c r="W1805" s="34" t="s">
        <v>2681</v>
      </c>
      <c r="X1805" s="18"/>
      <c r="AMJ1805" s="32"/>
    </row>
    <row r="1806" s="32" customFormat="true" ht="13.8" hidden="false" customHeight="false" outlineLevel="0" collapsed="false">
      <c r="A1806" s="34"/>
      <c r="B1806" s="19" t="n">
        <v>890</v>
      </c>
      <c r="C1806" s="20" t="n">
        <v>43525</v>
      </c>
      <c r="D1806" s="38" t="s">
        <v>22</v>
      </c>
      <c r="E1806" s="22" t="s">
        <v>80</v>
      </c>
      <c r="F1806" s="34" t="s">
        <v>81</v>
      </c>
      <c r="G1806" s="19" t="n">
        <v>6</v>
      </c>
      <c r="H1806" s="19" t="n">
        <v>45</v>
      </c>
      <c r="I1806" s="19" t="n">
        <v>4</v>
      </c>
      <c r="J1806" s="19" t="n">
        <v>73.15</v>
      </c>
      <c r="K1806" s="39" t="n">
        <v>900000</v>
      </c>
      <c r="L1806" s="39" t="n">
        <f aca="false">K1806/J1806</f>
        <v>12303.4859876965</v>
      </c>
      <c r="M1806" s="34" t="s">
        <v>2682</v>
      </c>
      <c r="N1806" s="40" t="n">
        <v>50000</v>
      </c>
      <c r="O1806" s="30" t="n">
        <f aca="false">K1806+N1806</f>
        <v>950000</v>
      </c>
      <c r="P1806" s="39" t="n">
        <f aca="false">O1806/J1806</f>
        <v>12987.012987013</v>
      </c>
      <c r="Q1806" s="19" t="s">
        <v>2683</v>
      </c>
      <c r="R1806" s="22" t="s">
        <v>36</v>
      </c>
      <c r="S1806" s="19" t="s">
        <v>29</v>
      </c>
      <c r="T1806" s="19" t="s">
        <v>30</v>
      </c>
      <c r="U1806" s="19" t="s">
        <v>31</v>
      </c>
      <c r="V1806" s="41" t="n">
        <v>43703</v>
      </c>
      <c r="W1806" s="34" t="s">
        <v>2684</v>
      </c>
      <c r="X1806" s="18"/>
    </row>
    <row r="1807" customFormat="false" ht="13.8" hidden="false" customHeight="false" outlineLevel="0" collapsed="false">
      <c r="A1807" s="34"/>
      <c r="B1807" s="19" t="s">
        <v>887</v>
      </c>
      <c r="C1807" s="20" t="n">
        <v>43525</v>
      </c>
      <c r="D1807" s="38" t="s">
        <v>22</v>
      </c>
      <c r="E1807" s="22" t="s">
        <v>187</v>
      </c>
      <c r="F1807" s="45" t="s">
        <v>1041</v>
      </c>
      <c r="G1807" s="19" t="s">
        <v>2685</v>
      </c>
      <c r="H1807" s="19"/>
      <c r="I1807" s="19" t="n">
        <v>2</v>
      </c>
      <c r="J1807" s="25" t="n">
        <v>31</v>
      </c>
      <c r="K1807" s="39" t="n">
        <v>286000</v>
      </c>
      <c r="L1807" s="39" t="n">
        <f aca="false">K1807/J1807</f>
        <v>9225.8064516129</v>
      </c>
      <c r="M1807" s="34" t="s">
        <v>1173</v>
      </c>
      <c r="N1807" s="40"/>
      <c r="O1807" s="30" t="n">
        <f aca="false">K1807+N1807</f>
        <v>286000</v>
      </c>
      <c r="P1807" s="39" t="n">
        <f aca="false">O1807/J1807</f>
        <v>9225.8064516129</v>
      </c>
      <c r="Q1807" s="19" t="s">
        <v>889</v>
      </c>
      <c r="R1807" s="19" t="n">
        <v>2</v>
      </c>
      <c r="S1807" s="19" t="s">
        <v>1141</v>
      </c>
      <c r="T1807" s="19"/>
      <c r="U1807" s="19" t="s">
        <v>31</v>
      </c>
      <c r="V1807" s="41" t="n">
        <v>43727</v>
      </c>
      <c r="W1807" s="18"/>
      <c r="X1807" s="18"/>
      <c r="Y1807" s="35"/>
      <c r="Z1807" s="36"/>
    </row>
    <row r="1808" customFormat="false" ht="13.8" hidden="false" customHeight="false" outlineLevel="0" collapsed="false">
      <c r="A1808" s="34"/>
      <c r="B1808" s="19" t="n">
        <v>1343</v>
      </c>
      <c r="C1808" s="20" t="n">
        <v>43525</v>
      </c>
      <c r="D1808" s="38" t="s">
        <v>22</v>
      </c>
      <c r="E1808" s="22" t="s">
        <v>23</v>
      </c>
      <c r="F1808" s="34" t="s">
        <v>387</v>
      </c>
      <c r="G1808" s="19" t="s">
        <v>1175</v>
      </c>
      <c r="H1808" s="19" t="n">
        <v>17</v>
      </c>
      <c r="I1808" s="19" t="n">
        <v>1</v>
      </c>
      <c r="J1808" s="19" t="n">
        <v>44.73</v>
      </c>
      <c r="K1808" s="39" t="n">
        <v>470000</v>
      </c>
      <c r="L1808" s="39" t="n">
        <f aca="false">K1808/J1808</f>
        <v>10507.4893807288</v>
      </c>
      <c r="M1808" s="34" t="s">
        <v>2686</v>
      </c>
      <c r="N1808" s="40"/>
      <c r="O1808" s="30" t="n">
        <f aca="false">K1808+N1808</f>
        <v>470000</v>
      </c>
      <c r="P1808" s="39" t="n">
        <f aca="false">O1808/J1808</f>
        <v>10507.4893807288</v>
      </c>
      <c r="Q1808" s="19" t="s">
        <v>1486</v>
      </c>
      <c r="R1808" s="22" t="s">
        <v>36</v>
      </c>
      <c r="S1808" s="19" t="s">
        <v>29</v>
      </c>
      <c r="T1808" s="19" t="s">
        <v>30</v>
      </c>
      <c r="U1808" s="19" t="s">
        <v>31</v>
      </c>
      <c r="V1808" s="41" t="n">
        <v>43698</v>
      </c>
      <c r="W1808" s="34" t="s">
        <v>2687</v>
      </c>
      <c r="X1808" s="18"/>
      <c r="Y1808" s="32"/>
      <c r="Z1808" s="32"/>
      <c r="AMJ1808" s="32"/>
    </row>
    <row r="1809" s="32" customFormat="true" ht="13.8" hidden="false" customHeight="false" outlineLevel="0" collapsed="false">
      <c r="A1809" s="34"/>
      <c r="B1809" s="19" t="n">
        <v>449</v>
      </c>
      <c r="C1809" s="20" t="n">
        <v>43525</v>
      </c>
      <c r="D1809" s="38" t="s">
        <v>22</v>
      </c>
      <c r="E1809" s="22" t="s">
        <v>354</v>
      </c>
      <c r="F1809" s="34" t="s">
        <v>456</v>
      </c>
      <c r="G1809" s="19" t="n">
        <v>4</v>
      </c>
      <c r="H1809" s="19" t="n">
        <v>45</v>
      </c>
      <c r="I1809" s="19" t="n">
        <v>2</v>
      </c>
      <c r="J1809" s="19" t="n">
        <v>46.25</v>
      </c>
      <c r="K1809" s="39" t="n">
        <v>360000</v>
      </c>
      <c r="L1809" s="39" t="n">
        <f aca="false">K1809/J1809</f>
        <v>7783.78378378378</v>
      </c>
      <c r="M1809" s="18"/>
      <c r="N1809" s="40"/>
      <c r="O1809" s="30" t="n">
        <f aca="false">K1809+N1809</f>
        <v>360000</v>
      </c>
      <c r="P1809" s="39" t="n">
        <f aca="false">O1809/J1809</f>
        <v>7783.78378378378</v>
      </c>
      <c r="Q1809" s="19" t="s">
        <v>1486</v>
      </c>
      <c r="R1809" s="22" t="s">
        <v>36</v>
      </c>
      <c r="S1809" s="19" t="s">
        <v>29</v>
      </c>
      <c r="T1809" s="19" t="s">
        <v>30</v>
      </c>
      <c r="U1809" s="19" t="s">
        <v>31</v>
      </c>
      <c r="V1809" s="41" t="n">
        <v>43703</v>
      </c>
      <c r="W1809" s="34" t="s">
        <v>2688</v>
      </c>
      <c r="X1809" s="18"/>
    </row>
    <row r="1810" customFormat="false" ht="13.8" hidden="false" customHeight="false" outlineLevel="0" collapsed="false">
      <c r="A1810" s="34"/>
      <c r="B1810" s="19" t="n">
        <v>889</v>
      </c>
      <c r="C1810" s="20" t="n">
        <v>43528</v>
      </c>
      <c r="D1810" s="38" t="s">
        <v>22</v>
      </c>
      <c r="E1810" s="22" t="s">
        <v>23</v>
      </c>
      <c r="F1810" s="34" t="s">
        <v>94</v>
      </c>
      <c r="G1810" s="19" t="s">
        <v>1297</v>
      </c>
      <c r="H1810" s="19" t="n">
        <v>21</v>
      </c>
      <c r="I1810" s="19" t="n">
        <v>6</v>
      </c>
      <c r="J1810" s="19" t="n">
        <v>61.76</v>
      </c>
      <c r="K1810" s="39" t="n">
        <v>596000</v>
      </c>
      <c r="L1810" s="39" t="n">
        <f aca="false">K1810/J1810</f>
        <v>9650.25906735751</v>
      </c>
      <c r="M1810" s="18"/>
      <c r="N1810" s="40"/>
      <c r="O1810" s="30" t="n">
        <f aca="false">K1810+N1810</f>
        <v>596000</v>
      </c>
      <c r="P1810" s="39" t="n">
        <f aca="false">O1810/J1810</f>
        <v>9650.25906735751</v>
      </c>
      <c r="Q1810" s="19" t="s">
        <v>1340</v>
      </c>
      <c r="R1810" s="22" t="s">
        <v>26</v>
      </c>
      <c r="S1810" s="19" t="s">
        <v>29</v>
      </c>
      <c r="T1810" s="19" t="s">
        <v>30</v>
      </c>
      <c r="U1810" s="19" t="s">
        <v>31</v>
      </c>
      <c r="V1810" s="41" t="n">
        <v>43703</v>
      </c>
      <c r="W1810" s="34" t="s">
        <v>2689</v>
      </c>
      <c r="X1810" s="18"/>
      <c r="Y1810" s="35"/>
      <c r="Z1810" s="36"/>
      <c r="AMJ1810" s="32"/>
    </row>
    <row r="1811" s="32" customFormat="true" ht="13.8" hidden="false" customHeight="false" outlineLevel="0" collapsed="false">
      <c r="A1811" s="34"/>
      <c r="B1811" s="19" t="n">
        <v>1050</v>
      </c>
      <c r="C1811" s="20" t="n">
        <v>43528</v>
      </c>
      <c r="D1811" s="38" t="s">
        <v>22</v>
      </c>
      <c r="E1811" s="22" t="s">
        <v>37</v>
      </c>
      <c r="F1811" s="34" t="s">
        <v>108</v>
      </c>
      <c r="G1811" s="19" t="n">
        <v>36</v>
      </c>
      <c r="H1811" s="19" t="n">
        <v>78</v>
      </c>
      <c r="I1811" s="19" t="n">
        <v>1</v>
      </c>
      <c r="J1811" s="19" t="n">
        <v>48</v>
      </c>
      <c r="K1811" s="39" t="n">
        <v>445000</v>
      </c>
      <c r="L1811" s="39" t="n">
        <f aca="false">K1811/J1811</f>
        <v>9270.83333333333</v>
      </c>
      <c r="M1811" s="18"/>
      <c r="N1811" s="40"/>
      <c r="O1811" s="30" t="n">
        <f aca="false">K1811+N1811</f>
        <v>445000</v>
      </c>
      <c r="P1811" s="39" t="n">
        <f aca="false">O1811/J1811</f>
        <v>9270.83333333333</v>
      </c>
      <c r="Q1811" s="19" t="s">
        <v>1486</v>
      </c>
      <c r="R1811" s="22" t="s">
        <v>36</v>
      </c>
      <c r="S1811" s="19" t="s">
        <v>29</v>
      </c>
      <c r="T1811" s="19" t="s">
        <v>30</v>
      </c>
      <c r="U1811" s="19" t="s">
        <v>31</v>
      </c>
      <c r="V1811" s="41" t="n">
        <v>43703</v>
      </c>
      <c r="W1811" s="34" t="s">
        <v>2690</v>
      </c>
      <c r="X1811" s="18"/>
    </row>
    <row r="1812" s="32" customFormat="true" ht="13.8" hidden="false" customHeight="false" outlineLevel="0" collapsed="false">
      <c r="A1812" s="34"/>
      <c r="B1812" s="19" t="n">
        <v>444</v>
      </c>
      <c r="C1812" s="20" t="n">
        <v>43528</v>
      </c>
      <c r="D1812" s="38" t="s">
        <v>22</v>
      </c>
      <c r="E1812" s="22" t="s">
        <v>175</v>
      </c>
      <c r="F1812" s="34" t="s">
        <v>450</v>
      </c>
      <c r="G1812" s="19" t="n">
        <v>63</v>
      </c>
      <c r="H1812" s="19" t="n">
        <v>7</v>
      </c>
      <c r="I1812" s="19" t="n">
        <v>3</v>
      </c>
      <c r="J1812" s="19" t="n">
        <v>38.21</v>
      </c>
      <c r="K1812" s="39" t="n">
        <v>280000</v>
      </c>
      <c r="L1812" s="39" t="n">
        <f aca="false">K1812/J1812</f>
        <v>7327.92462706098</v>
      </c>
      <c r="M1812" s="34"/>
      <c r="N1812" s="40"/>
      <c r="O1812" s="30" t="n">
        <f aca="false">K1812+N1812</f>
        <v>280000</v>
      </c>
      <c r="P1812" s="39" t="n">
        <f aca="false">O1812/J1812</f>
        <v>7327.92462706098</v>
      </c>
      <c r="Q1812" s="19" t="s">
        <v>1320</v>
      </c>
      <c r="R1812" s="22" t="s">
        <v>27</v>
      </c>
      <c r="S1812" s="19" t="s">
        <v>29</v>
      </c>
      <c r="T1812" s="19" t="s">
        <v>30</v>
      </c>
      <c r="U1812" s="19" t="s">
        <v>31</v>
      </c>
      <c r="V1812" s="41" t="n">
        <v>43703</v>
      </c>
      <c r="W1812" s="34" t="s">
        <v>2691</v>
      </c>
      <c r="X1812" s="34"/>
    </row>
    <row r="1813" customFormat="false" ht="13.8" hidden="false" customHeight="false" outlineLevel="0" collapsed="false">
      <c r="A1813" s="34"/>
      <c r="B1813" s="19" t="n">
        <v>555</v>
      </c>
      <c r="C1813" s="20" t="n">
        <v>43529</v>
      </c>
      <c r="D1813" s="38" t="s">
        <v>22</v>
      </c>
      <c r="E1813" s="22" t="s">
        <v>212</v>
      </c>
      <c r="F1813" s="34" t="s">
        <v>94</v>
      </c>
      <c r="G1813" s="19" t="s">
        <v>295</v>
      </c>
      <c r="H1813" s="19" t="n">
        <v>4</v>
      </c>
      <c r="I1813" s="19" t="n">
        <v>2</v>
      </c>
      <c r="J1813" s="19" t="n">
        <v>73.9</v>
      </c>
      <c r="K1813" s="39" t="n">
        <v>599000</v>
      </c>
      <c r="L1813" s="39" t="n">
        <f aca="false">K1813/J1813</f>
        <v>8105.54803788904</v>
      </c>
      <c r="M1813" s="18"/>
      <c r="N1813" s="40"/>
      <c r="O1813" s="30" t="n">
        <f aca="false">K1813+N1813</f>
        <v>599000</v>
      </c>
      <c r="P1813" s="39" t="n">
        <f aca="false">O1813/J1813</f>
        <v>8105.54803788904</v>
      </c>
      <c r="Q1813" s="19" t="s">
        <v>2469</v>
      </c>
      <c r="R1813" s="22" t="s">
        <v>57</v>
      </c>
      <c r="S1813" s="19" t="s">
        <v>29</v>
      </c>
      <c r="T1813" s="19" t="s">
        <v>30</v>
      </c>
      <c r="U1813" s="19" t="s">
        <v>31</v>
      </c>
      <c r="V1813" s="41" t="n">
        <v>43703</v>
      </c>
      <c r="W1813" s="34" t="s">
        <v>2692</v>
      </c>
      <c r="X1813" s="34"/>
    </row>
    <row r="1814" customFormat="false" ht="13.8" hidden="false" customHeight="false" outlineLevel="0" collapsed="false">
      <c r="A1814" s="34"/>
      <c r="B1814" s="19" t="s">
        <v>887</v>
      </c>
      <c r="C1814" s="20" t="n">
        <v>43529</v>
      </c>
      <c r="D1814" s="38" t="s">
        <v>22</v>
      </c>
      <c r="E1814" s="22" t="s">
        <v>212</v>
      </c>
      <c r="F1814" s="45" t="s">
        <v>94</v>
      </c>
      <c r="G1814" s="19" t="s">
        <v>2693</v>
      </c>
      <c r="H1814" s="19"/>
      <c r="I1814" s="19" t="n">
        <v>2</v>
      </c>
      <c r="J1814" s="25" t="n">
        <v>73.9</v>
      </c>
      <c r="K1814" s="39" t="n">
        <v>599000</v>
      </c>
      <c r="L1814" s="39" t="n">
        <f aca="false">K1814/J1814</f>
        <v>8105.54803788904</v>
      </c>
      <c r="M1814" s="18"/>
      <c r="N1814" s="40"/>
      <c r="O1814" s="30" t="n">
        <f aca="false">K1814+N1814</f>
        <v>599000</v>
      </c>
      <c r="P1814" s="39" t="n">
        <f aca="false">O1814/J1814</f>
        <v>8105.54803788904</v>
      </c>
      <c r="Q1814" s="19" t="s">
        <v>889</v>
      </c>
      <c r="R1814" s="19" t="n">
        <v>6</v>
      </c>
      <c r="S1814" s="19" t="s">
        <v>890</v>
      </c>
      <c r="T1814" s="19"/>
      <c r="U1814" s="19" t="s">
        <v>31</v>
      </c>
      <c r="V1814" s="41" t="n">
        <v>43727</v>
      </c>
      <c r="W1814" s="34"/>
      <c r="X1814" s="34"/>
    </row>
    <row r="1815" customFormat="false" ht="13.8" hidden="false" customHeight="false" outlineLevel="0" collapsed="false">
      <c r="A1815" s="34"/>
      <c r="B1815" s="19" t="n">
        <v>663</v>
      </c>
      <c r="C1815" s="20" t="n">
        <v>43529</v>
      </c>
      <c r="D1815" s="38" t="s">
        <v>22</v>
      </c>
      <c r="E1815" s="22" t="s">
        <v>75</v>
      </c>
      <c r="F1815" s="34" t="s">
        <v>528</v>
      </c>
      <c r="G1815" s="19" t="n">
        <v>115</v>
      </c>
      <c r="H1815" s="19" t="n">
        <v>50</v>
      </c>
      <c r="I1815" s="19" t="n">
        <v>5</v>
      </c>
      <c r="J1815" s="19" t="n">
        <v>98.6</v>
      </c>
      <c r="K1815" s="39" t="n">
        <v>730000</v>
      </c>
      <c r="L1815" s="39" t="n">
        <f aca="false">K1815/J1815</f>
        <v>7403.65111561866</v>
      </c>
      <c r="M1815" s="34" t="s">
        <v>2694</v>
      </c>
      <c r="N1815" s="40"/>
      <c r="O1815" s="30" t="n">
        <f aca="false">K1815+N1815</f>
        <v>730000</v>
      </c>
      <c r="P1815" s="39" t="n">
        <f aca="false">O1815/J1815</f>
        <v>7403.65111561866</v>
      </c>
      <c r="Q1815" s="19" t="s">
        <v>2695</v>
      </c>
      <c r="R1815" s="22" t="s">
        <v>26</v>
      </c>
      <c r="S1815" s="19" t="s">
        <v>29</v>
      </c>
      <c r="T1815" s="19" t="s">
        <v>30</v>
      </c>
      <c r="U1815" s="19" t="s">
        <v>31</v>
      </c>
      <c r="V1815" s="41" t="n">
        <v>43703</v>
      </c>
      <c r="W1815" s="34" t="s">
        <v>2696</v>
      </c>
      <c r="X1815" s="34"/>
    </row>
    <row r="1816" customFormat="false" ht="13.8" hidden="false" customHeight="false" outlineLevel="0" collapsed="false">
      <c r="A1816" s="34"/>
      <c r="B1816" s="19" t="n">
        <v>1006</v>
      </c>
      <c r="C1816" s="20" t="n">
        <v>43529</v>
      </c>
      <c r="D1816" s="38" t="s">
        <v>22</v>
      </c>
      <c r="E1816" s="22" t="s">
        <v>144</v>
      </c>
      <c r="F1816" s="34" t="s">
        <v>145</v>
      </c>
      <c r="G1816" s="19" t="n">
        <v>16</v>
      </c>
      <c r="H1816" s="19" t="n">
        <v>5</v>
      </c>
      <c r="I1816" s="19" t="n">
        <v>4</v>
      </c>
      <c r="J1816" s="19" t="n">
        <v>61.9</v>
      </c>
      <c r="K1816" s="39" t="n">
        <v>490000</v>
      </c>
      <c r="L1816" s="39" t="n">
        <f aca="false">K1816/J1816</f>
        <v>7915.99353796446</v>
      </c>
      <c r="M1816" s="34" t="s">
        <v>2697</v>
      </c>
      <c r="N1816" s="40"/>
      <c r="O1816" s="30" t="n">
        <f aca="false">K1816+N1816</f>
        <v>490000</v>
      </c>
      <c r="P1816" s="39" t="n">
        <f aca="false">O1816/J1816</f>
        <v>7915.99353796446</v>
      </c>
      <c r="Q1816" s="19" t="s">
        <v>2698</v>
      </c>
      <c r="R1816" s="22" t="s">
        <v>36</v>
      </c>
      <c r="S1816" s="19" t="s">
        <v>29</v>
      </c>
      <c r="T1816" s="19" t="s">
        <v>30</v>
      </c>
      <c r="U1816" s="19" t="s">
        <v>31</v>
      </c>
      <c r="V1816" s="41" t="n">
        <v>43703</v>
      </c>
      <c r="W1816" s="34" t="s">
        <v>2699</v>
      </c>
      <c r="X1816" s="34"/>
    </row>
    <row r="1817" customFormat="false" ht="13.8" hidden="false" customHeight="false" outlineLevel="0" collapsed="false">
      <c r="A1817" s="34"/>
      <c r="B1817" s="19" t="n">
        <v>763</v>
      </c>
      <c r="C1817" s="20" t="n">
        <v>43529</v>
      </c>
      <c r="D1817" s="38" t="s">
        <v>22</v>
      </c>
      <c r="E1817" s="22" t="s">
        <v>350</v>
      </c>
      <c r="F1817" s="34" t="s">
        <v>351</v>
      </c>
      <c r="G1817" s="19" t="s">
        <v>1156</v>
      </c>
      <c r="H1817" s="19" t="n">
        <v>25</v>
      </c>
      <c r="I1817" s="19" t="n">
        <v>2</v>
      </c>
      <c r="J1817" s="19" t="n">
        <v>53.12</v>
      </c>
      <c r="K1817" s="39" t="n">
        <v>604000</v>
      </c>
      <c r="L1817" s="39" t="n">
        <f aca="false">K1817/J1817</f>
        <v>11370.4819277108</v>
      </c>
      <c r="M1817" s="18"/>
      <c r="N1817" s="40"/>
      <c r="O1817" s="30" t="n">
        <f aca="false">K1817+N1817</f>
        <v>604000</v>
      </c>
      <c r="P1817" s="39" t="n">
        <f aca="false">O1817/J1817</f>
        <v>11370.4819277108</v>
      </c>
      <c r="Q1817" s="19" t="s">
        <v>1660</v>
      </c>
      <c r="R1817" s="22" t="s">
        <v>36</v>
      </c>
      <c r="S1817" s="19" t="s">
        <v>29</v>
      </c>
      <c r="T1817" s="19" t="s">
        <v>30</v>
      </c>
      <c r="U1817" s="19" t="s">
        <v>31</v>
      </c>
      <c r="V1817" s="41" t="n">
        <v>43703</v>
      </c>
      <c r="W1817" s="34" t="s">
        <v>2700</v>
      </c>
      <c r="X1817" s="34"/>
      <c r="Y1817" s="35"/>
      <c r="Z1817" s="43"/>
    </row>
    <row r="1818" customFormat="false" ht="13.8" hidden="false" customHeight="false" outlineLevel="0" collapsed="false">
      <c r="A1818" s="34"/>
      <c r="B1818" s="19" t="n">
        <v>763</v>
      </c>
      <c r="C1818" s="20" t="n">
        <v>43529</v>
      </c>
      <c r="D1818" s="38" t="s">
        <v>22</v>
      </c>
      <c r="E1818" s="22" t="s">
        <v>350</v>
      </c>
      <c r="F1818" s="34" t="s">
        <v>351</v>
      </c>
      <c r="G1818" s="19" t="s">
        <v>1156</v>
      </c>
      <c r="H1818" s="19" t="n">
        <v>25</v>
      </c>
      <c r="I1818" s="19" t="n">
        <v>2</v>
      </c>
      <c r="J1818" s="19" t="n">
        <v>53.12</v>
      </c>
      <c r="K1818" s="39" t="n">
        <v>604000</v>
      </c>
      <c r="L1818" s="39" t="n">
        <f aca="false">K1818/J1818</f>
        <v>11370.4819277108</v>
      </c>
      <c r="M1818" s="18"/>
      <c r="N1818" s="40"/>
      <c r="O1818" s="30" t="n">
        <f aca="false">K1818+N1818</f>
        <v>604000</v>
      </c>
      <c r="P1818" s="39" t="n">
        <f aca="false">O1818/J1818</f>
        <v>11370.4819277108</v>
      </c>
      <c r="Q1818" s="19" t="s">
        <v>1660</v>
      </c>
      <c r="R1818" s="22" t="s">
        <v>36</v>
      </c>
      <c r="S1818" s="19" t="s">
        <v>29</v>
      </c>
      <c r="T1818" s="19" t="s">
        <v>30</v>
      </c>
      <c r="U1818" s="19" t="s">
        <v>31</v>
      </c>
      <c r="V1818" s="41" t="n">
        <v>43703</v>
      </c>
      <c r="W1818" s="34" t="s">
        <v>2700</v>
      </c>
      <c r="X1818" s="34"/>
    </row>
    <row r="1819" customFormat="false" ht="13.8" hidden="false" customHeight="false" outlineLevel="0" collapsed="false">
      <c r="A1819" s="34"/>
      <c r="B1819" s="19" t="n">
        <v>2555</v>
      </c>
      <c r="C1819" s="20" t="n">
        <v>43529</v>
      </c>
      <c r="D1819" s="38" t="s">
        <v>22</v>
      </c>
      <c r="E1819" s="22" t="s">
        <v>480</v>
      </c>
      <c r="F1819" s="34" t="s">
        <v>46</v>
      </c>
      <c r="G1819" s="19" t="n">
        <v>130</v>
      </c>
      <c r="H1819" s="19" t="n">
        <v>5</v>
      </c>
      <c r="I1819" s="19" t="n">
        <v>3</v>
      </c>
      <c r="J1819" s="19" t="n">
        <v>85.35</v>
      </c>
      <c r="K1819" s="39" t="n">
        <v>750000</v>
      </c>
      <c r="L1819" s="39" t="n">
        <f aca="false">K1819/J1819</f>
        <v>8787.34622144112</v>
      </c>
      <c r="M1819" s="18"/>
      <c r="N1819" s="40"/>
      <c r="O1819" s="30" t="n">
        <f aca="false">K1819+N1819</f>
        <v>750000</v>
      </c>
      <c r="P1819" s="39" t="n">
        <f aca="false">O1819/J1819</f>
        <v>8787.34622144112</v>
      </c>
      <c r="Q1819" s="19" t="s">
        <v>2701</v>
      </c>
      <c r="R1819" s="22" t="s">
        <v>26</v>
      </c>
      <c r="S1819" s="19" t="s">
        <v>29</v>
      </c>
      <c r="T1819" s="19" t="s">
        <v>30</v>
      </c>
      <c r="U1819" s="19" t="s">
        <v>31</v>
      </c>
      <c r="V1819" s="41" t="n">
        <v>43703</v>
      </c>
      <c r="W1819" s="34" t="s">
        <v>2702</v>
      </c>
      <c r="X1819" s="34"/>
    </row>
    <row r="1820" customFormat="false" ht="13.8" hidden="false" customHeight="false" outlineLevel="0" collapsed="false">
      <c r="A1820" s="34"/>
      <c r="B1820" s="19" t="n">
        <v>24925</v>
      </c>
      <c r="C1820" s="20" t="n">
        <v>43529</v>
      </c>
      <c r="D1820" s="38" t="s">
        <v>22</v>
      </c>
      <c r="E1820" s="22" t="s">
        <v>882</v>
      </c>
      <c r="F1820" s="34" t="s">
        <v>1192</v>
      </c>
      <c r="G1820" s="19" t="s">
        <v>752</v>
      </c>
      <c r="H1820" s="19" t="n">
        <v>15</v>
      </c>
      <c r="I1820" s="19" t="n">
        <v>3</v>
      </c>
      <c r="J1820" s="19" t="n">
        <v>46.69</v>
      </c>
      <c r="K1820" s="39" t="n">
        <v>505000</v>
      </c>
      <c r="L1820" s="39" t="n">
        <f aca="false">K1820/J1820</f>
        <v>10816.020561148</v>
      </c>
      <c r="M1820" s="18"/>
      <c r="N1820" s="40"/>
      <c r="O1820" s="30" t="n">
        <f aca="false">K1820+N1820</f>
        <v>505000</v>
      </c>
      <c r="P1820" s="39" t="n">
        <f aca="false">O1820/J1820</f>
        <v>10816.020561148</v>
      </c>
      <c r="Q1820" s="19" t="s">
        <v>2703</v>
      </c>
      <c r="R1820" s="22" t="s">
        <v>36</v>
      </c>
      <c r="S1820" s="19" t="s">
        <v>29</v>
      </c>
      <c r="T1820" s="19" t="s">
        <v>30</v>
      </c>
      <c r="U1820" s="19" t="s">
        <v>31</v>
      </c>
      <c r="V1820" s="41" t="n">
        <v>43703</v>
      </c>
      <c r="W1820" s="34" t="s">
        <v>2704</v>
      </c>
      <c r="X1820" s="34"/>
    </row>
    <row r="1821" customFormat="false" ht="13.8" hidden="false" customHeight="false" outlineLevel="0" collapsed="false">
      <c r="A1821" s="34"/>
      <c r="B1821" s="19" t="s">
        <v>887</v>
      </c>
      <c r="C1821" s="20" t="n">
        <v>43529</v>
      </c>
      <c r="D1821" s="38" t="s">
        <v>22</v>
      </c>
      <c r="E1821" s="22" t="s">
        <v>934</v>
      </c>
      <c r="F1821" s="45" t="s">
        <v>486</v>
      </c>
      <c r="G1821" s="19" t="n">
        <v>12</v>
      </c>
      <c r="H1821" s="19"/>
      <c r="I1821" s="19" t="n">
        <v>9</v>
      </c>
      <c r="J1821" s="25" t="n">
        <v>36.3</v>
      </c>
      <c r="K1821" s="39" t="n">
        <v>390000</v>
      </c>
      <c r="L1821" s="39" t="n">
        <f aca="false">K1821/J1821</f>
        <v>10743.8016528926</v>
      </c>
      <c r="M1821" s="34" t="s">
        <v>1140</v>
      </c>
      <c r="N1821" s="40"/>
      <c r="O1821" s="30" t="n">
        <f aca="false">K1821+N1821</f>
        <v>390000</v>
      </c>
      <c r="P1821" s="39" t="n">
        <f aca="false">O1821/J1821</f>
        <v>10743.8016528926</v>
      </c>
      <c r="Q1821" s="19" t="s">
        <v>889</v>
      </c>
      <c r="R1821" s="19" t="n">
        <v>3</v>
      </c>
      <c r="S1821" s="19" t="s">
        <v>1141</v>
      </c>
      <c r="T1821" s="19"/>
      <c r="U1821" s="19" t="s">
        <v>31</v>
      </c>
      <c r="V1821" s="41" t="n">
        <v>43727</v>
      </c>
      <c r="W1821" s="18"/>
      <c r="X1821" s="18"/>
    </row>
    <row r="1822" customFormat="false" ht="13.8" hidden="false" customHeight="false" outlineLevel="0" collapsed="false">
      <c r="A1822" s="34"/>
      <c r="B1822" s="19" t="n">
        <v>673</v>
      </c>
      <c r="C1822" s="20" t="n">
        <v>43530</v>
      </c>
      <c r="D1822" s="38" t="s">
        <v>22</v>
      </c>
      <c r="E1822" s="22" t="s">
        <v>171</v>
      </c>
      <c r="F1822" s="34" t="s">
        <v>221</v>
      </c>
      <c r="G1822" s="19" t="n">
        <v>12</v>
      </c>
      <c r="H1822" s="19" t="n">
        <v>58</v>
      </c>
      <c r="I1822" s="19" t="n">
        <v>4</v>
      </c>
      <c r="J1822" s="19" t="n">
        <v>47.18</v>
      </c>
      <c r="K1822" s="39" t="n">
        <v>389000</v>
      </c>
      <c r="L1822" s="39" t="n">
        <f aca="false">K1822/J1822</f>
        <v>8245.01907587961</v>
      </c>
      <c r="M1822" s="34"/>
      <c r="N1822" s="40"/>
      <c r="O1822" s="30" t="n">
        <f aca="false">K1822+N1822</f>
        <v>389000</v>
      </c>
      <c r="P1822" s="39" t="n">
        <f aca="false">O1822/J1822</f>
        <v>8245.01907587961</v>
      </c>
      <c r="Q1822" s="19" t="s">
        <v>2705</v>
      </c>
      <c r="R1822" s="22" t="s">
        <v>26</v>
      </c>
      <c r="S1822" s="19" t="s">
        <v>29</v>
      </c>
      <c r="T1822" s="19" t="s">
        <v>30</v>
      </c>
      <c r="U1822" s="19" t="s">
        <v>31</v>
      </c>
      <c r="V1822" s="41" t="n">
        <v>43703</v>
      </c>
      <c r="W1822" s="34" t="s">
        <v>2706</v>
      </c>
      <c r="X1822" s="34"/>
      <c r="AMJ1822" s="32"/>
    </row>
    <row r="1823" s="32" customFormat="true" ht="13.8" hidden="false" customHeight="false" outlineLevel="0" collapsed="false">
      <c r="A1823" s="34"/>
      <c r="B1823" s="19" t="n">
        <v>1151</v>
      </c>
      <c r="C1823" s="20" t="n">
        <v>43530</v>
      </c>
      <c r="D1823" s="38" t="s">
        <v>22</v>
      </c>
      <c r="E1823" s="22" t="s">
        <v>203</v>
      </c>
      <c r="F1823" s="34" t="s">
        <v>138</v>
      </c>
      <c r="G1823" s="19" t="n">
        <v>10</v>
      </c>
      <c r="H1823" s="19" t="n">
        <v>156</v>
      </c>
      <c r="I1823" s="19" t="n">
        <v>2</v>
      </c>
      <c r="J1823" s="19" t="n">
        <v>33.53</v>
      </c>
      <c r="K1823" s="39" t="n">
        <v>355418</v>
      </c>
      <c r="L1823" s="39" t="n">
        <f aca="false">K1823/J1823</f>
        <v>10600</v>
      </c>
      <c r="M1823" s="18"/>
      <c r="N1823" s="40"/>
      <c r="O1823" s="30" t="n">
        <f aca="false">K1823+N1823</f>
        <v>355418</v>
      </c>
      <c r="P1823" s="39" t="n">
        <f aca="false">O1823/J1823</f>
        <v>10600</v>
      </c>
      <c r="Q1823" s="19" t="s">
        <v>2707</v>
      </c>
      <c r="R1823" s="22" t="s">
        <v>27</v>
      </c>
      <c r="S1823" s="19" t="s">
        <v>29</v>
      </c>
      <c r="T1823" s="19" t="s">
        <v>30</v>
      </c>
      <c r="U1823" s="19" t="s">
        <v>31</v>
      </c>
      <c r="V1823" s="41" t="n">
        <v>43703</v>
      </c>
      <c r="W1823" s="34" t="s">
        <v>2708</v>
      </c>
      <c r="X1823" s="34"/>
    </row>
    <row r="1824" customFormat="false" ht="13.8" hidden="false" customHeight="false" outlineLevel="0" collapsed="false">
      <c r="A1824" s="34"/>
      <c r="B1824" s="19" t="n">
        <v>1334</v>
      </c>
      <c r="C1824" s="20" t="n">
        <v>43530</v>
      </c>
      <c r="D1824" s="38" t="s">
        <v>22</v>
      </c>
      <c r="E1824" s="22" t="s">
        <v>175</v>
      </c>
      <c r="F1824" s="34" t="s">
        <v>485</v>
      </c>
      <c r="G1824" s="19" t="n">
        <v>56</v>
      </c>
      <c r="H1824" s="19" t="n">
        <v>14</v>
      </c>
      <c r="I1824" s="19" t="n">
        <v>2</v>
      </c>
      <c r="J1824" s="19" t="n">
        <v>60.51</v>
      </c>
      <c r="K1824" s="39" t="n">
        <v>707500</v>
      </c>
      <c r="L1824" s="39" t="n">
        <f aca="false">K1824/J1824</f>
        <v>11692.2822673938</v>
      </c>
      <c r="M1824" s="18"/>
      <c r="N1824" s="40"/>
      <c r="O1824" s="30" t="n">
        <f aca="false">K1824+N1824</f>
        <v>707500</v>
      </c>
      <c r="P1824" s="39" t="n">
        <f aca="false">O1824/J1824</f>
        <v>11692.2822673938</v>
      </c>
      <c r="Q1824" s="19" t="s">
        <v>2709</v>
      </c>
      <c r="R1824" s="22" t="s">
        <v>26</v>
      </c>
      <c r="S1824" s="19" t="s">
        <v>29</v>
      </c>
      <c r="T1824" s="19" t="s">
        <v>30</v>
      </c>
      <c r="U1824" s="19" t="s">
        <v>31</v>
      </c>
      <c r="V1824" s="41" t="n">
        <v>43703</v>
      </c>
      <c r="W1824" s="34" t="s">
        <v>2710</v>
      </c>
      <c r="X1824" s="34"/>
      <c r="Y1824" s="32"/>
      <c r="Z1824" s="32"/>
    </row>
    <row r="1825" customFormat="false" ht="13.8" hidden="false" customHeight="false" outlineLevel="0" collapsed="false">
      <c r="A1825" s="34"/>
      <c r="B1825" s="19" t="n">
        <v>429</v>
      </c>
      <c r="C1825" s="20" t="n">
        <v>43530</v>
      </c>
      <c r="D1825" s="38" t="s">
        <v>22</v>
      </c>
      <c r="E1825" s="22" t="s">
        <v>299</v>
      </c>
      <c r="F1825" s="34" t="s">
        <v>271</v>
      </c>
      <c r="G1825" s="19" t="n">
        <v>29</v>
      </c>
      <c r="H1825" s="19" t="n">
        <v>8</v>
      </c>
      <c r="I1825" s="19" t="n">
        <v>3</v>
      </c>
      <c r="J1825" s="19" t="n">
        <v>47.47</v>
      </c>
      <c r="K1825" s="39" t="n">
        <v>420000</v>
      </c>
      <c r="L1825" s="39" t="n">
        <f aca="false">K1825/J1825</f>
        <v>8847.6932799663</v>
      </c>
      <c r="M1825" s="18"/>
      <c r="N1825" s="40"/>
      <c r="O1825" s="30" t="n">
        <f aca="false">K1825+N1825</f>
        <v>420000</v>
      </c>
      <c r="P1825" s="39" t="n">
        <f aca="false">O1825/J1825</f>
        <v>8847.6932799663</v>
      </c>
      <c r="Q1825" s="19" t="s">
        <v>1486</v>
      </c>
      <c r="R1825" s="22" t="s">
        <v>36</v>
      </c>
      <c r="S1825" s="19" t="s">
        <v>29</v>
      </c>
      <c r="T1825" s="19" t="s">
        <v>30</v>
      </c>
      <c r="U1825" s="19" t="s">
        <v>31</v>
      </c>
      <c r="V1825" s="41" t="n">
        <v>43703</v>
      </c>
      <c r="W1825" s="34" t="s">
        <v>2711</v>
      </c>
      <c r="X1825" s="34"/>
      <c r="Y1825" s="32"/>
      <c r="Z1825" s="32"/>
    </row>
    <row r="1826" customFormat="false" ht="13.8" hidden="false" customHeight="false" outlineLevel="0" collapsed="false">
      <c r="A1826" s="34"/>
      <c r="B1826" s="19" t="n">
        <v>1294</v>
      </c>
      <c r="C1826" s="20" t="n">
        <v>43531</v>
      </c>
      <c r="D1826" s="38" t="s">
        <v>22</v>
      </c>
      <c r="E1826" s="22" t="s">
        <v>319</v>
      </c>
      <c r="F1826" s="34" t="s">
        <v>320</v>
      </c>
      <c r="G1826" s="19" t="s">
        <v>321</v>
      </c>
      <c r="H1826" s="19" t="n">
        <v>54</v>
      </c>
      <c r="I1826" s="19" t="n">
        <v>2</v>
      </c>
      <c r="J1826" s="19" t="n">
        <v>93.27</v>
      </c>
      <c r="K1826" s="39" t="n">
        <v>840000</v>
      </c>
      <c r="L1826" s="39" t="n">
        <f aca="false">K1826/J1826</f>
        <v>9006.1112898038</v>
      </c>
      <c r="M1826" s="18"/>
      <c r="N1826" s="40"/>
      <c r="O1826" s="30" t="n">
        <f aca="false">K1826+N1826</f>
        <v>840000</v>
      </c>
      <c r="P1826" s="39" t="n">
        <f aca="false">O1826/J1826</f>
        <v>9006.1112898038</v>
      </c>
      <c r="Q1826" s="19" t="s">
        <v>2712</v>
      </c>
      <c r="R1826" s="22" t="s">
        <v>49</v>
      </c>
      <c r="S1826" s="19" t="s">
        <v>29</v>
      </c>
      <c r="T1826" s="19" t="s">
        <v>30</v>
      </c>
      <c r="U1826" s="19" t="s">
        <v>31</v>
      </c>
      <c r="V1826" s="41" t="n">
        <v>43703</v>
      </c>
      <c r="W1826" s="34" t="s">
        <v>2713</v>
      </c>
      <c r="X1826" s="34"/>
      <c r="Y1826" s="32"/>
      <c r="Z1826" s="32"/>
      <c r="AMJ1826" s="32"/>
    </row>
    <row r="1827" s="32" customFormat="true" ht="13.8" hidden="false" customHeight="false" outlineLevel="0" collapsed="false">
      <c r="A1827" s="34"/>
      <c r="B1827" s="19" t="n">
        <v>1149</v>
      </c>
      <c r="C1827" s="20" t="n">
        <v>43531</v>
      </c>
      <c r="D1827" s="38" t="s">
        <v>22</v>
      </c>
      <c r="E1827" s="22" t="s">
        <v>171</v>
      </c>
      <c r="F1827" s="34" t="s">
        <v>315</v>
      </c>
      <c r="G1827" s="19" t="n">
        <v>48</v>
      </c>
      <c r="H1827" s="19" t="n">
        <v>48</v>
      </c>
      <c r="I1827" s="19" t="n">
        <v>2</v>
      </c>
      <c r="J1827" s="19" t="n">
        <v>28.29</v>
      </c>
      <c r="K1827" s="39" t="n">
        <v>315000</v>
      </c>
      <c r="L1827" s="39" t="n">
        <f aca="false">K1827/J1827</f>
        <v>11134.6765641569</v>
      </c>
      <c r="M1827" s="34"/>
      <c r="N1827" s="40"/>
      <c r="O1827" s="30" t="n">
        <f aca="false">K1827+N1827</f>
        <v>315000</v>
      </c>
      <c r="P1827" s="39" t="n">
        <f aca="false">O1827/J1827</f>
        <v>11134.6765641569</v>
      </c>
      <c r="Q1827" s="19" t="s">
        <v>2714</v>
      </c>
      <c r="R1827" s="22" t="s">
        <v>27</v>
      </c>
      <c r="S1827" s="19" t="s">
        <v>29</v>
      </c>
      <c r="T1827" s="19" t="s">
        <v>30</v>
      </c>
      <c r="U1827" s="19" t="s">
        <v>31</v>
      </c>
      <c r="V1827" s="41" t="n">
        <v>43703</v>
      </c>
      <c r="W1827" s="34" t="s">
        <v>2715</v>
      </c>
      <c r="X1827" s="34"/>
    </row>
    <row r="1828" s="32" customFormat="true" ht="13.8" hidden="false" customHeight="false" outlineLevel="0" collapsed="false">
      <c r="A1828" s="34"/>
      <c r="B1828" s="19" t="n">
        <v>1282</v>
      </c>
      <c r="C1828" s="20" t="n">
        <v>43531</v>
      </c>
      <c r="D1828" s="38" t="s">
        <v>22</v>
      </c>
      <c r="E1828" s="22" t="s">
        <v>65</v>
      </c>
      <c r="F1828" s="34" t="s">
        <v>764</v>
      </c>
      <c r="G1828" s="19" t="n">
        <v>2</v>
      </c>
      <c r="H1828" s="19" t="n">
        <v>36</v>
      </c>
      <c r="I1828" s="19" t="n">
        <v>4</v>
      </c>
      <c r="J1828" s="19" t="n">
        <v>52.9</v>
      </c>
      <c r="K1828" s="39" t="n">
        <v>425000</v>
      </c>
      <c r="L1828" s="39" t="n">
        <f aca="false">K1828/J1828</f>
        <v>8034.02646502835</v>
      </c>
      <c r="M1828" s="34"/>
      <c r="N1828" s="40"/>
      <c r="O1828" s="30" t="n">
        <f aca="false">K1828+N1828</f>
        <v>425000</v>
      </c>
      <c r="P1828" s="39" t="n">
        <f aca="false">O1828/J1828</f>
        <v>8034.02646502835</v>
      </c>
      <c r="Q1828" s="19" t="s">
        <v>2709</v>
      </c>
      <c r="R1828" s="22" t="s">
        <v>26</v>
      </c>
      <c r="S1828" s="19" t="s">
        <v>29</v>
      </c>
      <c r="T1828" s="19" t="s">
        <v>30</v>
      </c>
      <c r="U1828" s="19" t="s">
        <v>31</v>
      </c>
      <c r="V1828" s="41" t="n">
        <v>43703</v>
      </c>
      <c r="W1828" s="34" t="s">
        <v>2716</v>
      </c>
      <c r="X1828" s="34"/>
    </row>
    <row r="1829" s="32" customFormat="true" ht="13.8" hidden="false" customHeight="false" outlineLevel="0" collapsed="false">
      <c r="A1829" s="34"/>
      <c r="B1829" s="19" t="n">
        <v>25888</v>
      </c>
      <c r="C1829" s="20" t="n">
        <v>43532</v>
      </c>
      <c r="D1829" s="38" t="s">
        <v>22</v>
      </c>
      <c r="E1829" s="22" t="s">
        <v>322</v>
      </c>
      <c r="F1829" s="34" t="s">
        <v>323</v>
      </c>
      <c r="G1829" s="19" t="s">
        <v>1245</v>
      </c>
      <c r="H1829" s="19" t="n">
        <v>96</v>
      </c>
      <c r="I1829" s="19" t="n">
        <v>5</v>
      </c>
      <c r="J1829" s="19" t="n">
        <v>67.8</v>
      </c>
      <c r="K1829" s="39" t="n">
        <v>835000</v>
      </c>
      <c r="L1829" s="39" t="n">
        <f aca="false">K1829/J1829</f>
        <v>12315.6342182891</v>
      </c>
      <c r="M1829" s="34" t="s">
        <v>987</v>
      </c>
      <c r="N1829" s="40" t="n">
        <v>40000</v>
      </c>
      <c r="O1829" s="30" t="n">
        <f aca="false">K1829+N1829</f>
        <v>875000</v>
      </c>
      <c r="P1829" s="39" t="n">
        <f aca="false">O1829/J1829</f>
        <v>12905.604719764</v>
      </c>
      <c r="Q1829" s="19" t="s">
        <v>2717</v>
      </c>
      <c r="R1829" s="22" t="s">
        <v>26</v>
      </c>
      <c r="S1829" s="19" t="s">
        <v>29</v>
      </c>
      <c r="T1829" s="19" t="s">
        <v>30</v>
      </c>
      <c r="U1829" s="19" t="s">
        <v>31</v>
      </c>
      <c r="V1829" s="41" t="n">
        <v>43703</v>
      </c>
      <c r="W1829" s="34" t="s">
        <v>2718</v>
      </c>
      <c r="X1829" s="34"/>
    </row>
    <row r="1830" s="32" customFormat="true" ht="13.8" hidden="false" customHeight="false" outlineLevel="0" collapsed="false">
      <c r="A1830" s="34"/>
      <c r="B1830" s="19" t="n">
        <v>1146</v>
      </c>
      <c r="C1830" s="20" t="n">
        <v>43532</v>
      </c>
      <c r="D1830" s="38" t="s">
        <v>22</v>
      </c>
      <c r="E1830" s="22" t="s">
        <v>522</v>
      </c>
      <c r="F1830" s="34" t="s">
        <v>1400</v>
      </c>
      <c r="G1830" s="19" t="n">
        <v>5</v>
      </c>
      <c r="H1830" s="19" t="n">
        <v>66</v>
      </c>
      <c r="I1830" s="19" t="n">
        <v>7</v>
      </c>
      <c r="J1830" s="19" t="n">
        <v>40.17</v>
      </c>
      <c r="K1830" s="39" t="n">
        <v>520000</v>
      </c>
      <c r="L1830" s="39" t="n">
        <f aca="false">K1830/J1830</f>
        <v>12944.9838187702</v>
      </c>
      <c r="M1830" s="34" t="s">
        <v>2719</v>
      </c>
      <c r="N1830" s="40"/>
      <c r="O1830" s="30" t="n">
        <f aca="false">K1830+N1830</f>
        <v>520000</v>
      </c>
      <c r="P1830" s="39" t="n">
        <f aca="false">O1830/J1830</f>
        <v>12944.9838187702</v>
      </c>
      <c r="Q1830" s="19" t="s">
        <v>2720</v>
      </c>
      <c r="R1830" s="22" t="s">
        <v>36</v>
      </c>
      <c r="S1830" s="19" t="s">
        <v>29</v>
      </c>
      <c r="T1830" s="19" t="s">
        <v>30</v>
      </c>
      <c r="U1830" s="19" t="s">
        <v>31</v>
      </c>
      <c r="V1830" s="41" t="n">
        <v>43703</v>
      </c>
      <c r="W1830" s="34" t="s">
        <v>2721</v>
      </c>
      <c r="X1830" s="34"/>
    </row>
    <row r="1831" customFormat="false" ht="13.8" hidden="false" customHeight="false" outlineLevel="0" collapsed="false">
      <c r="A1831" s="34"/>
      <c r="B1831" s="19" t="n">
        <v>1520</v>
      </c>
      <c r="C1831" s="20" t="n">
        <v>43532</v>
      </c>
      <c r="D1831" s="38" t="s">
        <v>22</v>
      </c>
      <c r="E1831" s="22" t="s">
        <v>284</v>
      </c>
      <c r="F1831" s="34" t="s">
        <v>46</v>
      </c>
      <c r="G1831" s="19" t="s">
        <v>2722</v>
      </c>
      <c r="H1831" s="19" t="n">
        <v>12</v>
      </c>
      <c r="I1831" s="19" t="n">
        <v>3</v>
      </c>
      <c r="J1831" s="19" t="n">
        <v>64.48</v>
      </c>
      <c r="K1831" s="39" t="n">
        <v>820000</v>
      </c>
      <c r="L1831" s="39" t="n">
        <f aca="false">K1831/J1831</f>
        <v>12717.1215880893</v>
      </c>
      <c r="M1831" s="34" t="s">
        <v>2723</v>
      </c>
      <c r="N1831" s="40"/>
      <c r="O1831" s="30" t="n">
        <f aca="false">K1831+N1831</f>
        <v>820000</v>
      </c>
      <c r="P1831" s="39" t="n">
        <f aca="false">O1831/J1831</f>
        <v>12717.1215880893</v>
      </c>
      <c r="Q1831" s="19" t="s">
        <v>2724</v>
      </c>
      <c r="R1831" s="22" t="s">
        <v>26</v>
      </c>
      <c r="S1831" s="19" t="s">
        <v>29</v>
      </c>
      <c r="T1831" s="19" t="s">
        <v>30</v>
      </c>
      <c r="U1831" s="19" t="s">
        <v>31</v>
      </c>
      <c r="V1831" s="41" t="n">
        <v>43703</v>
      </c>
      <c r="W1831" s="34" t="s">
        <v>2725</v>
      </c>
      <c r="X1831" s="34"/>
    </row>
    <row r="1832" s="32" customFormat="true" ht="13.8" hidden="false" customHeight="false" outlineLevel="0" collapsed="false">
      <c r="A1832" s="34"/>
      <c r="B1832" s="19" t="n">
        <v>871</v>
      </c>
      <c r="C1832" s="81" t="n">
        <v>43532</v>
      </c>
      <c r="D1832" s="38" t="s">
        <v>22</v>
      </c>
      <c r="E1832" s="22" t="s">
        <v>369</v>
      </c>
      <c r="F1832" s="34" t="s">
        <v>1041</v>
      </c>
      <c r="G1832" s="19" t="n">
        <v>19</v>
      </c>
      <c r="H1832" s="19" t="n">
        <v>7</v>
      </c>
      <c r="I1832" s="19" t="n">
        <v>1</v>
      </c>
      <c r="J1832" s="19" t="n">
        <v>55.45</v>
      </c>
      <c r="K1832" s="39" t="n">
        <v>497000</v>
      </c>
      <c r="L1832" s="39" t="n">
        <f aca="false">K1832/J1832</f>
        <v>8963.02975653742</v>
      </c>
      <c r="M1832" s="18"/>
      <c r="N1832" s="40"/>
      <c r="O1832" s="30" t="n">
        <f aca="false">K1832+N1832</f>
        <v>497000</v>
      </c>
      <c r="P1832" s="39" t="n">
        <f aca="false">O1832/J1832</f>
        <v>8963.02975653742</v>
      </c>
      <c r="Q1832" s="19" t="s">
        <v>1486</v>
      </c>
      <c r="R1832" s="22" t="s">
        <v>36</v>
      </c>
      <c r="S1832" s="19" t="s">
        <v>29</v>
      </c>
      <c r="T1832" s="19" t="s">
        <v>30</v>
      </c>
      <c r="U1832" s="19" t="s">
        <v>31</v>
      </c>
      <c r="V1832" s="41" t="n">
        <v>43703</v>
      </c>
      <c r="W1832" s="34" t="s">
        <v>2726</v>
      </c>
      <c r="X1832" s="34"/>
    </row>
    <row r="1833" s="32" customFormat="true" ht="13.8" hidden="false" customHeight="false" outlineLevel="0" collapsed="false">
      <c r="A1833" s="34"/>
      <c r="B1833" s="19" t="n">
        <v>707</v>
      </c>
      <c r="C1833" s="20" t="n">
        <v>43535</v>
      </c>
      <c r="D1833" s="38" t="s">
        <v>22</v>
      </c>
      <c r="E1833" s="22" t="s">
        <v>23</v>
      </c>
      <c r="F1833" s="34" t="s">
        <v>94</v>
      </c>
      <c r="G1833" s="19" t="n">
        <v>103</v>
      </c>
      <c r="H1833" s="19" t="n">
        <v>4</v>
      </c>
      <c r="I1833" s="19" t="n">
        <v>2</v>
      </c>
      <c r="J1833" s="19" t="n">
        <v>52.59</v>
      </c>
      <c r="K1833" s="39" t="n">
        <v>385000</v>
      </c>
      <c r="L1833" s="39" t="n">
        <f aca="false">K1833/J1833</f>
        <v>7320.78341890093</v>
      </c>
      <c r="M1833" s="18"/>
      <c r="N1833" s="40"/>
      <c r="O1833" s="30" t="n">
        <f aca="false">K1833+N1833</f>
        <v>385000</v>
      </c>
      <c r="P1833" s="39" t="n">
        <f aca="false">O1833/J1833</f>
        <v>7320.78341890093</v>
      </c>
      <c r="Q1833" s="19" t="s">
        <v>1340</v>
      </c>
      <c r="R1833" s="22" t="s">
        <v>26</v>
      </c>
      <c r="S1833" s="19" t="s">
        <v>29</v>
      </c>
      <c r="T1833" s="19" t="s">
        <v>30</v>
      </c>
      <c r="U1833" s="19" t="s">
        <v>31</v>
      </c>
      <c r="V1833" s="41" t="n">
        <v>43703</v>
      </c>
      <c r="W1833" s="34" t="s">
        <v>2727</v>
      </c>
      <c r="X1833" s="34"/>
    </row>
    <row r="1834" customFormat="false" ht="13.8" hidden="false" customHeight="false" outlineLevel="0" collapsed="false">
      <c r="A1834" s="34"/>
      <c r="B1834" s="19" t="n">
        <v>912</v>
      </c>
      <c r="C1834" s="20" t="n">
        <v>43535</v>
      </c>
      <c r="D1834" s="38" t="s">
        <v>22</v>
      </c>
      <c r="E1834" s="22" t="s">
        <v>23</v>
      </c>
      <c r="F1834" s="34" t="s">
        <v>361</v>
      </c>
      <c r="G1834" s="19" t="n">
        <v>96</v>
      </c>
      <c r="H1834" s="19" t="n">
        <v>74</v>
      </c>
      <c r="I1834" s="19" t="n">
        <v>10</v>
      </c>
      <c r="J1834" s="19" t="n">
        <v>46.3</v>
      </c>
      <c r="K1834" s="39" t="n">
        <v>420000</v>
      </c>
      <c r="L1834" s="39" t="n">
        <f aca="false">K1834/J1834</f>
        <v>9071.27429805616</v>
      </c>
      <c r="M1834" s="18"/>
      <c r="N1834" s="40"/>
      <c r="O1834" s="30" t="n">
        <f aca="false">K1834+N1834</f>
        <v>420000</v>
      </c>
      <c r="P1834" s="39" t="n">
        <f aca="false">O1834/J1834</f>
        <v>9071.27429805616</v>
      </c>
      <c r="Q1834" s="19" t="s">
        <v>1340</v>
      </c>
      <c r="R1834" s="22" t="s">
        <v>26</v>
      </c>
      <c r="S1834" s="19" t="s">
        <v>29</v>
      </c>
      <c r="T1834" s="19" t="s">
        <v>30</v>
      </c>
      <c r="U1834" s="19" t="s">
        <v>31</v>
      </c>
      <c r="V1834" s="41" t="n">
        <v>43703</v>
      </c>
      <c r="W1834" s="34" t="s">
        <v>2728</v>
      </c>
      <c r="X1834" s="34"/>
      <c r="Y1834" s="32"/>
      <c r="Z1834" s="32"/>
    </row>
    <row r="1835" customFormat="false" ht="13.8" hidden="false" customHeight="false" outlineLevel="0" collapsed="false">
      <c r="A1835" s="34"/>
      <c r="B1835" s="19" t="n">
        <v>26499</v>
      </c>
      <c r="C1835" s="20" t="n">
        <v>43536</v>
      </c>
      <c r="D1835" s="38" t="s">
        <v>22</v>
      </c>
      <c r="E1835" s="22" t="s">
        <v>343</v>
      </c>
      <c r="F1835" s="34" t="s">
        <v>344</v>
      </c>
      <c r="G1835" s="19" t="s">
        <v>726</v>
      </c>
      <c r="H1835" s="19" t="n">
        <v>43</v>
      </c>
      <c r="I1835" s="19" t="n">
        <v>5</v>
      </c>
      <c r="J1835" s="19" t="n">
        <v>47</v>
      </c>
      <c r="K1835" s="39" t="n">
        <v>418000</v>
      </c>
      <c r="L1835" s="39" t="n">
        <f aca="false">K1835/J1835</f>
        <v>8893.6170212766</v>
      </c>
      <c r="M1835" s="34" t="s">
        <v>987</v>
      </c>
      <c r="N1835" s="40"/>
      <c r="O1835" s="30" t="n">
        <f aca="false">K1835+N1835</f>
        <v>418000</v>
      </c>
      <c r="P1835" s="39" t="n">
        <f aca="false">O1835/J1835</f>
        <v>8893.6170212766</v>
      </c>
      <c r="Q1835" s="19" t="s">
        <v>1660</v>
      </c>
      <c r="R1835" s="22" t="s">
        <v>36</v>
      </c>
      <c r="S1835" s="19" t="s">
        <v>29</v>
      </c>
      <c r="T1835" s="19" t="s">
        <v>30</v>
      </c>
      <c r="U1835" s="19" t="s">
        <v>31</v>
      </c>
      <c r="V1835" s="41" t="n">
        <v>43703</v>
      </c>
      <c r="W1835" s="34" t="s">
        <v>2729</v>
      </c>
      <c r="X1835" s="34"/>
      <c r="Y1835" s="35"/>
      <c r="Z1835" s="36"/>
    </row>
    <row r="1836" customFormat="false" ht="13.8" hidden="false" customHeight="false" outlineLevel="0" collapsed="false">
      <c r="A1836" s="34"/>
      <c r="B1836" s="19" t="n">
        <v>16868</v>
      </c>
      <c r="C1836" s="20" t="n">
        <v>43536</v>
      </c>
      <c r="D1836" s="38" t="s">
        <v>22</v>
      </c>
      <c r="E1836" s="22" t="s">
        <v>527</v>
      </c>
      <c r="F1836" s="34" t="s">
        <v>240</v>
      </c>
      <c r="G1836" s="19" t="n">
        <v>114</v>
      </c>
      <c r="H1836" s="19" t="n">
        <v>39</v>
      </c>
      <c r="I1836" s="19" t="n">
        <v>8</v>
      </c>
      <c r="J1836" s="19" t="n">
        <v>58</v>
      </c>
      <c r="K1836" s="39" t="n">
        <v>583950</v>
      </c>
      <c r="L1836" s="39" t="n">
        <f aca="false">K1836/J1836</f>
        <v>10068.1034482759</v>
      </c>
      <c r="M1836" s="18"/>
      <c r="N1836" s="40"/>
      <c r="O1836" s="30" t="n">
        <f aca="false">K1836+N1836</f>
        <v>583950</v>
      </c>
      <c r="P1836" s="39" t="n">
        <f aca="false">O1836/J1836</f>
        <v>10068.1034482759</v>
      </c>
      <c r="Q1836" s="19" t="s">
        <v>1471</v>
      </c>
      <c r="R1836" s="22" t="s">
        <v>36</v>
      </c>
      <c r="S1836" s="19" t="s">
        <v>29</v>
      </c>
      <c r="T1836" s="19" t="s">
        <v>30</v>
      </c>
      <c r="U1836" s="19" t="s">
        <v>31</v>
      </c>
      <c r="V1836" s="41" t="n">
        <v>43703</v>
      </c>
      <c r="W1836" s="34" t="s">
        <v>2730</v>
      </c>
      <c r="X1836" s="34"/>
      <c r="Y1836" s="32"/>
      <c r="Z1836" s="32"/>
    </row>
    <row r="1837" customFormat="false" ht="13.8" hidden="false" customHeight="false" outlineLevel="0" collapsed="false">
      <c r="A1837" s="34"/>
      <c r="B1837" s="19" t="n">
        <v>1094</v>
      </c>
      <c r="C1837" s="20" t="n">
        <v>43537</v>
      </c>
      <c r="D1837" s="38" t="s">
        <v>22</v>
      </c>
      <c r="E1837" s="22" t="s">
        <v>171</v>
      </c>
      <c r="F1837" s="34" t="s">
        <v>315</v>
      </c>
      <c r="G1837" s="19" t="n">
        <v>38</v>
      </c>
      <c r="H1837" s="19" t="n">
        <v>37</v>
      </c>
      <c r="I1837" s="19" t="n">
        <v>3</v>
      </c>
      <c r="J1837" s="19" t="n">
        <v>23.46</v>
      </c>
      <c r="K1837" s="39" t="n">
        <v>285000</v>
      </c>
      <c r="L1837" s="39" t="n">
        <f aca="false">K1837/J1837</f>
        <v>12148.3375959079</v>
      </c>
      <c r="M1837" s="34" t="s">
        <v>189</v>
      </c>
      <c r="N1837" s="40"/>
      <c r="O1837" s="30" t="n">
        <f aca="false">K1837+N1837</f>
        <v>285000</v>
      </c>
      <c r="P1837" s="39" t="n">
        <f aca="false">O1837/J1837</f>
        <v>12148.3375959079</v>
      </c>
      <c r="Q1837" s="19" t="s">
        <v>2731</v>
      </c>
      <c r="R1837" s="22" t="s">
        <v>27</v>
      </c>
      <c r="S1837" s="19" t="s">
        <v>29</v>
      </c>
      <c r="T1837" s="19" t="s">
        <v>30</v>
      </c>
      <c r="U1837" s="19" t="s">
        <v>31</v>
      </c>
      <c r="V1837" s="41" t="n">
        <v>43703</v>
      </c>
      <c r="W1837" s="34" t="s">
        <v>2732</v>
      </c>
      <c r="X1837" s="18"/>
      <c r="Y1837" s="32"/>
      <c r="Z1837" s="32"/>
      <c r="AMJ1837" s="32"/>
    </row>
    <row r="1838" s="32" customFormat="true" ht="13.8" hidden="false" customHeight="false" outlineLevel="0" collapsed="false">
      <c r="A1838" s="34"/>
      <c r="B1838" s="19" t="n">
        <v>714</v>
      </c>
      <c r="C1838" s="20" t="n">
        <v>43537</v>
      </c>
      <c r="D1838" s="38" t="s">
        <v>22</v>
      </c>
      <c r="E1838" s="22" t="s">
        <v>354</v>
      </c>
      <c r="F1838" s="34" t="s">
        <v>565</v>
      </c>
      <c r="G1838" s="19" t="s">
        <v>674</v>
      </c>
      <c r="H1838" s="19" t="n">
        <v>3</v>
      </c>
      <c r="I1838" s="19" t="n">
        <v>1</v>
      </c>
      <c r="J1838" s="19" t="n">
        <v>52.8</v>
      </c>
      <c r="K1838" s="39" t="n">
        <v>486000</v>
      </c>
      <c r="L1838" s="39" t="n">
        <f aca="false">K1838/J1838</f>
        <v>9204.54545454546</v>
      </c>
      <c r="M1838" s="18"/>
      <c r="N1838" s="40"/>
      <c r="O1838" s="30" t="n">
        <f aca="false">K1838+N1838</f>
        <v>486000</v>
      </c>
      <c r="P1838" s="39" t="n">
        <f aca="false">O1838/J1838</f>
        <v>9204.54545454546</v>
      </c>
      <c r="Q1838" s="19" t="s">
        <v>1573</v>
      </c>
      <c r="R1838" s="22" t="s">
        <v>26</v>
      </c>
      <c r="S1838" s="19" t="s">
        <v>29</v>
      </c>
      <c r="T1838" s="19" t="s">
        <v>30</v>
      </c>
      <c r="U1838" s="19" t="s">
        <v>31</v>
      </c>
      <c r="V1838" s="41" t="n">
        <v>43703</v>
      </c>
      <c r="W1838" s="34" t="s">
        <v>2733</v>
      </c>
      <c r="X1838" s="18"/>
    </row>
    <row r="1839" s="32" customFormat="true" ht="13.8" hidden="false" customHeight="false" outlineLevel="0" collapsed="false">
      <c r="A1839" s="34"/>
      <c r="B1839" s="19" t="s">
        <v>887</v>
      </c>
      <c r="C1839" s="20" t="n">
        <v>43538</v>
      </c>
      <c r="D1839" s="38" t="s">
        <v>22</v>
      </c>
      <c r="E1839" s="22" t="s">
        <v>125</v>
      </c>
      <c r="F1839" s="45" t="s">
        <v>528</v>
      </c>
      <c r="G1839" s="19" t="s">
        <v>1540</v>
      </c>
      <c r="H1839" s="19"/>
      <c r="I1839" s="19" t="n">
        <v>6</v>
      </c>
      <c r="J1839" s="25" t="n">
        <v>37.08</v>
      </c>
      <c r="K1839" s="39" t="n">
        <v>435000</v>
      </c>
      <c r="L1839" s="39" t="n">
        <f aca="false">K1839/J1839</f>
        <v>11731.3915857605</v>
      </c>
      <c r="M1839" s="34" t="s">
        <v>2734</v>
      </c>
      <c r="N1839" s="40"/>
      <c r="O1839" s="30" t="n">
        <f aca="false">K1839+N1839</f>
        <v>435000</v>
      </c>
      <c r="P1839" s="39" t="n">
        <f aca="false">O1839/J1839</f>
        <v>11731.3915857605</v>
      </c>
      <c r="Q1839" s="19" t="s">
        <v>889</v>
      </c>
      <c r="R1839" s="19" t="n">
        <v>2</v>
      </c>
      <c r="S1839" s="19" t="s">
        <v>1141</v>
      </c>
      <c r="T1839" s="19"/>
      <c r="U1839" s="19" t="s">
        <v>31</v>
      </c>
      <c r="V1839" s="41" t="n">
        <v>43727</v>
      </c>
      <c r="W1839" s="18"/>
      <c r="X1839" s="18"/>
    </row>
    <row r="1840" s="32" customFormat="true" ht="13.8" hidden="false" customHeight="false" outlineLevel="0" collapsed="false">
      <c r="A1840" s="34"/>
      <c r="B1840" s="19" t="n">
        <v>1071</v>
      </c>
      <c r="C1840" s="20" t="n">
        <v>43538</v>
      </c>
      <c r="D1840" s="38" t="s">
        <v>22</v>
      </c>
      <c r="E1840" s="22" t="s">
        <v>354</v>
      </c>
      <c r="F1840" s="34" t="s">
        <v>565</v>
      </c>
      <c r="G1840" s="19" t="n">
        <v>3</v>
      </c>
      <c r="H1840" s="19" t="n">
        <v>11</v>
      </c>
      <c r="I1840" s="19" t="n">
        <v>4</v>
      </c>
      <c r="J1840" s="19" t="n">
        <v>67.34</v>
      </c>
      <c r="K1840" s="39" t="n">
        <v>607000</v>
      </c>
      <c r="L1840" s="39" t="n">
        <f aca="false">K1840/J1840</f>
        <v>9013.95901395901</v>
      </c>
      <c r="M1840" s="18"/>
      <c r="N1840" s="40"/>
      <c r="O1840" s="30" t="n">
        <f aca="false">K1840+N1840</f>
        <v>607000</v>
      </c>
      <c r="P1840" s="39" t="n">
        <f aca="false">O1840/J1840</f>
        <v>9013.95901395901</v>
      </c>
      <c r="Q1840" s="19" t="s">
        <v>1340</v>
      </c>
      <c r="R1840" s="22" t="s">
        <v>26</v>
      </c>
      <c r="S1840" s="19" t="s">
        <v>29</v>
      </c>
      <c r="T1840" s="19" t="s">
        <v>30</v>
      </c>
      <c r="U1840" s="19" t="s">
        <v>31</v>
      </c>
      <c r="V1840" s="41" t="n">
        <v>43703</v>
      </c>
      <c r="W1840" s="34" t="s">
        <v>2735</v>
      </c>
      <c r="X1840" s="18"/>
    </row>
    <row r="1841" s="32" customFormat="true" ht="13.8" hidden="false" customHeight="false" outlineLevel="0" collapsed="false">
      <c r="A1841" s="34"/>
      <c r="B1841" s="19" t="n">
        <v>1438</v>
      </c>
      <c r="C1841" s="20" t="n">
        <v>43539</v>
      </c>
      <c r="D1841" s="38" t="s">
        <v>22</v>
      </c>
      <c r="E1841" s="22" t="s">
        <v>278</v>
      </c>
      <c r="F1841" s="34" t="s">
        <v>338</v>
      </c>
      <c r="G1841" s="19" t="n">
        <v>122</v>
      </c>
      <c r="H1841" s="19" t="n">
        <v>48</v>
      </c>
      <c r="I1841" s="19" t="n">
        <v>1</v>
      </c>
      <c r="J1841" s="19" t="n">
        <v>56.61</v>
      </c>
      <c r="K1841" s="39" t="n">
        <v>469000</v>
      </c>
      <c r="L1841" s="39" t="n">
        <f aca="false">K1841/J1841</f>
        <v>8284.75534357887</v>
      </c>
      <c r="M1841" s="18"/>
      <c r="N1841" s="40"/>
      <c r="O1841" s="30" t="n">
        <f aca="false">K1841+N1841</f>
        <v>469000</v>
      </c>
      <c r="P1841" s="39" t="n">
        <f aca="false">O1841/J1841</f>
        <v>8284.75534357887</v>
      </c>
      <c r="Q1841" s="19" t="s">
        <v>2736</v>
      </c>
      <c r="R1841" s="22" t="s">
        <v>26</v>
      </c>
      <c r="S1841" s="19" t="s">
        <v>29</v>
      </c>
      <c r="T1841" s="19" t="s">
        <v>30</v>
      </c>
      <c r="U1841" s="19" t="s">
        <v>31</v>
      </c>
      <c r="V1841" s="41" t="n">
        <v>43703</v>
      </c>
      <c r="W1841" s="34" t="s">
        <v>2737</v>
      </c>
      <c r="X1841" s="18"/>
    </row>
    <row r="1842" s="32" customFormat="true" ht="13.8" hidden="false" customHeight="false" outlineLevel="0" collapsed="false">
      <c r="A1842" s="34"/>
      <c r="B1842" s="22" t="s">
        <v>2441</v>
      </c>
      <c r="C1842" s="20" t="n">
        <v>43544</v>
      </c>
      <c r="D1842" s="38" t="s">
        <v>22</v>
      </c>
      <c r="E1842" s="22" t="s">
        <v>113</v>
      </c>
      <c r="F1842" s="23" t="s">
        <v>2738</v>
      </c>
      <c r="G1842" s="22" t="s">
        <v>27</v>
      </c>
      <c r="H1842" s="22" t="s">
        <v>826</v>
      </c>
      <c r="I1842" s="22" t="n">
        <v>8</v>
      </c>
      <c r="J1842" s="25" t="n">
        <v>27.9</v>
      </c>
      <c r="K1842" s="26" t="n">
        <v>280000</v>
      </c>
      <c r="L1842" s="39" t="n">
        <f aca="false">K1842/J1842</f>
        <v>10035.8422939068</v>
      </c>
      <c r="M1842" s="34" t="s">
        <v>189</v>
      </c>
      <c r="N1842" s="40"/>
      <c r="O1842" s="30" t="n">
        <f aca="false">K1842+N1842</f>
        <v>280000</v>
      </c>
      <c r="P1842" s="39" t="n">
        <f aca="false">O1842/J1842</f>
        <v>10035.8422939068</v>
      </c>
      <c r="Q1842" s="59"/>
      <c r="R1842" s="57" t="n">
        <v>2</v>
      </c>
      <c r="S1842" s="19" t="s">
        <v>29</v>
      </c>
      <c r="T1842" s="19" t="s">
        <v>30</v>
      </c>
      <c r="U1842" s="19" t="s">
        <v>31</v>
      </c>
      <c r="V1842" s="22" t="s">
        <v>2184</v>
      </c>
      <c r="W1842" s="22"/>
      <c r="X1842" s="22"/>
      <c r="Y1842" s="35"/>
      <c r="Z1842" s="36"/>
    </row>
    <row r="1843" s="32" customFormat="true" ht="13.8" hidden="false" customHeight="false" outlineLevel="0" collapsed="false">
      <c r="A1843" s="34"/>
      <c r="B1843" s="19" t="s">
        <v>2739</v>
      </c>
      <c r="C1843" s="20" t="n">
        <v>43545</v>
      </c>
      <c r="D1843" s="38" t="s">
        <v>22</v>
      </c>
      <c r="E1843" s="22" t="s">
        <v>178</v>
      </c>
      <c r="F1843" s="23" t="s">
        <v>2328</v>
      </c>
      <c r="G1843" s="22" t="s">
        <v>345</v>
      </c>
      <c r="H1843" s="24" t="s">
        <v>141</v>
      </c>
      <c r="I1843" s="24" t="n">
        <v>3</v>
      </c>
      <c r="J1843" s="25" t="n">
        <v>34.8</v>
      </c>
      <c r="K1843" s="26" t="n">
        <v>340000</v>
      </c>
      <c r="L1843" s="39" t="n">
        <f aca="false">K1843/J1843</f>
        <v>9770.11494252874</v>
      </c>
      <c r="M1843" s="34" t="s">
        <v>189</v>
      </c>
      <c r="N1843" s="40"/>
      <c r="O1843" s="30" t="n">
        <f aca="false">K1843+N1843</f>
        <v>340000</v>
      </c>
      <c r="P1843" s="39" t="n">
        <f aca="false">O1843/J1843</f>
        <v>9770.11494252874</v>
      </c>
      <c r="Q1843" s="28"/>
      <c r="R1843" s="55" t="n">
        <v>1</v>
      </c>
      <c r="S1843" s="19" t="s">
        <v>29</v>
      </c>
      <c r="T1843" s="19" t="s">
        <v>30</v>
      </c>
      <c r="U1843" s="19" t="s">
        <v>31</v>
      </c>
      <c r="V1843" s="22" t="s">
        <v>2184</v>
      </c>
      <c r="W1843" s="53"/>
      <c r="X1843" s="25"/>
      <c r="Y1843" s="1"/>
      <c r="Z1843" s="1"/>
    </row>
    <row r="1844" s="32" customFormat="true" ht="13.8" hidden="false" customHeight="false" outlineLevel="0" collapsed="false">
      <c r="A1844" s="34"/>
      <c r="B1844" s="19" t="s">
        <v>887</v>
      </c>
      <c r="C1844" s="20" t="n">
        <v>43550</v>
      </c>
      <c r="D1844" s="38" t="s">
        <v>22</v>
      </c>
      <c r="E1844" s="22" t="s">
        <v>251</v>
      </c>
      <c r="F1844" s="45" t="s">
        <v>252</v>
      </c>
      <c r="G1844" s="19" t="n">
        <v>3</v>
      </c>
      <c r="H1844" s="19"/>
      <c r="I1844" s="19" t="n">
        <v>9</v>
      </c>
      <c r="J1844" s="25" t="n">
        <v>31.44</v>
      </c>
      <c r="K1844" s="39" t="n">
        <v>315000</v>
      </c>
      <c r="L1844" s="39" t="n">
        <f aca="false">K1844/J1844</f>
        <v>10019.0839694656</v>
      </c>
      <c r="M1844" s="18"/>
      <c r="N1844" s="40"/>
      <c r="O1844" s="30" t="n">
        <f aca="false">K1844+N1844</f>
        <v>315000</v>
      </c>
      <c r="P1844" s="39" t="n">
        <f aca="false">O1844/J1844</f>
        <v>10019.0839694656</v>
      </c>
      <c r="Q1844" s="19" t="s">
        <v>889</v>
      </c>
      <c r="R1844" s="19" t="n">
        <v>2</v>
      </c>
      <c r="S1844" s="19" t="s">
        <v>890</v>
      </c>
      <c r="T1844" s="19"/>
      <c r="U1844" s="19" t="s">
        <v>31</v>
      </c>
      <c r="V1844" s="41" t="n">
        <v>43727</v>
      </c>
      <c r="W1844" s="18"/>
      <c r="X1844" s="18"/>
      <c r="Y1844" s="1"/>
      <c r="Z1844" s="1"/>
    </row>
    <row r="1845" s="32" customFormat="true" ht="13.8" hidden="false" customHeight="false" outlineLevel="0" collapsed="false">
      <c r="A1845" s="34"/>
      <c r="B1845" s="19" t="s">
        <v>887</v>
      </c>
      <c r="C1845" s="20" t="n">
        <v>43552</v>
      </c>
      <c r="D1845" s="38" t="s">
        <v>22</v>
      </c>
      <c r="E1845" s="22" t="s">
        <v>281</v>
      </c>
      <c r="F1845" s="45" t="s">
        <v>1041</v>
      </c>
      <c r="G1845" s="19" t="n">
        <v>86</v>
      </c>
      <c r="H1845" s="19"/>
      <c r="I1845" s="19" t="n">
        <v>12</v>
      </c>
      <c r="J1845" s="25" t="n">
        <v>41</v>
      </c>
      <c r="K1845" s="39" t="n">
        <v>400000</v>
      </c>
      <c r="L1845" s="39" t="n">
        <f aca="false">K1845/J1845</f>
        <v>9756.09756097561</v>
      </c>
      <c r="M1845" s="34" t="s">
        <v>2740</v>
      </c>
      <c r="N1845" s="40"/>
      <c r="O1845" s="30" t="n">
        <f aca="false">K1845+N1845</f>
        <v>400000</v>
      </c>
      <c r="P1845" s="39" t="n">
        <f aca="false">O1845/J1845</f>
        <v>9756.09756097561</v>
      </c>
      <c r="Q1845" s="19" t="s">
        <v>889</v>
      </c>
      <c r="R1845" s="19" t="n">
        <v>3</v>
      </c>
      <c r="S1845" s="19" t="s">
        <v>890</v>
      </c>
      <c r="T1845" s="19"/>
      <c r="U1845" s="19" t="s">
        <v>31</v>
      </c>
      <c r="V1845" s="41" t="n">
        <v>43727</v>
      </c>
      <c r="W1845" s="18"/>
      <c r="X1845" s="18"/>
      <c r="Y1845" s="1"/>
      <c r="Z1845" s="1"/>
    </row>
    <row r="1846" s="32" customFormat="true" ht="13.8" hidden="false" customHeight="false" outlineLevel="0" collapsed="false">
      <c r="A1846" s="34"/>
      <c r="B1846" s="19" t="s">
        <v>887</v>
      </c>
      <c r="C1846" s="20" t="n">
        <v>43553</v>
      </c>
      <c r="D1846" s="38" t="s">
        <v>22</v>
      </c>
      <c r="E1846" s="22" t="s">
        <v>251</v>
      </c>
      <c r="F1846" s="45" t="s">
        <v>2741</v>
      </c>
      <c r="G1846" s="19" t="n">
        <v>8</v>
      </c>
      <c r="H1846" s="19"/>
      <c r="I1846" s="19" t="n">
        <v>5</v>
      </c>
      <c r="J1846" s="25" t="n">
        <v>42.37</v>
      </c>
      <c r="K1846" s="39" t="n">
        <v>360000</v>
      </c>
      <c r="L1846" s="39" t="n">
        <f aca="false">K1846/J1846</f>
        <v>8496.57776728818</v>
      </c>
      <c r="M1846" s="18"/>
      <c r="N1846" s="40"/>
      <c r="O1846" s="30" t="n">
        <f aca="false">K1846+N1846</f>
        <v>360000</v>
      </c>
      <c r="P1846" s="39" t="n">
        <f aca="false">O1846/J1846</f>
        <v>8496.57776728818</v>
      </c>
      <c r="Q1846" s="19" t="s">
        <v>889</v>
      </c>
      <c r="R1846" s="19" t="n">
        <v>3</v>
      </c>
      <c r="S1846" s="19" t="s">
        <v>890</v>
      </c>
      <c r="T1846" s="19"/>
      <c r="U1846" s="19" t="s">
        <v>31</v>
      </c>
      <c r="V1846" s="41" t="n">
        <v>43727</v>
      </c>
      <c r="W1846" s="18"/>
      <c r="X1846" s="18"/>
      <c r="Y1846" s="1"/>
      <c r="Z1846" s="1"/>
    </row>
    <row r="1847" customFormat="false" ht="13.8" hidden="false" customHeight="false" outlineLevel="0" collapsed="false">
      <c r="A1847" s="34"/>
      <c r="B1847" s="19" t="s">
        <v>887</v>
      </c>
      <c r="C1847" s="20" t="n">
        <v>43557</v>
      </c>
      <c r="D1847" s="38" t="s">
        <v>22</v>
      </c>
      <c r="E1847" s="22" t="s">
        <v>281</v>
      </c>
      <c r="F1847" s="45" t="s">
        <v>1041</v>
      </c>
      <c r="G1847" s="19" t="n">
        <v>118</v>
      </c>
      <c r="H1847" s="19"/>
      <c r="I1847" s="19" t="n">
        <v>1</v>
      </c>
      <c r="J1847" s="25" t="n">
        <v>33.1</v>
      </c>
      <c r="K1847" s="39" t="n">
        <v>310000</v>
      </c>
      <c r="L1847" s="39" t="n">
        <f aca="false">K1847/J1847</f>
        <v>9365.55891238671</v>
      </c>
      <c r="M1847" s="18"/>
      <c r="N1847" s="40"/>
      <c r="O1847" s="30" t="n">
        <f aca="false">K1847+N1847</f>
        <v>310000</v>
      </c>
      <c r="P1847" s="39" t="n">
        <f aca="false">O1847/J1847</f>
        <v>9365.55891238671</v>
      </c>
      <c r="Q1847" s="19" t="s">
        <v>889</v>
      </c>
      <c r="R1847" s="19" t="n">
        <v>2</v>
      </c>
      <c r="S1847" s="19" t="s">
        <v>890</v>
      </c>
      <c r="T1847" s="19"/>
      <c r="U1847" s="19" t="s">
        <v>31</v>
      </c>
      <c r="V1847" s="41" t="n">
        <v>43727</v>
      </c>
      <c r="W1847" s="18"/>
      <c r="X1847" s="18"/>
      <c r="Y1847" s="35"/>
      <c r="Z1847" s="36"/>
    </row>
    <row r="1848" customFormat="false" ht="13.8" hidden="false" customHeight="false" outlineLevel="0" collapsed="false">
      <c r="A1848" s="34"/>
      <c r="B1848" s="19" t="s">
        <v>887</v>
      </c>
      <c r="C1848" s="20" t="n">
        <v>43558</v>
      </c>
      <c r="D1848" s="38" t="s">
        <v>22</v>
      </c>
      <c r="E1848" s="22" t="s">
        <v>93</v>
      </c>
      <c r="F1848" s="45" t="s">
        <v>514</v>
      </c>
      <c r="G1848" s="19" t="n">
        <v>22</v>
      </c>
      <c r="H1848" s="19"/>
      <c r="I1848" s="19" t="n">
        <v>7</v>
      </c>
      <c r="J1848" s="25" t="n">
        <v>78.1</v>
      </c>
      <c r="K1848" s="39" t="n">
        <v>685000</v>
      </c>
      <c r="L1848" s="39" t="n">
        <f aca="false">K1848/J1848</f>
        <v>8770.8066581306</v>
      </c>
      <c r="M1848" s="34" t="s">
        <v>2734</v>
      </c>
      <c r="N1848" s="40"/>
      <c r="O1848" s="30" t="n">
        <f aca="false">K1848+N1848</f>
        <v>685000</v>
      </c>
      <c r="P1848" s="39" t="n">
        <f aca="false">O1848/J1848</f>
        <v>8770.8066581306</v>
      </c>
      <c r="Q1848" s="19" t="s">
        <v>889</v>
      </c>
      <c r="R1848" s="19" t="n">
        <v>4</v>
      </c>
      <c r="S1848" s="19" t="s">
        <v>890</v>
      </c>
      <c r="T1848" s="19"/>
      <c r="U1848" s="19" t="s">
        <v>31</v>
      </c>
      <c r="V1848" s="41" t="n">
        <v>43727</v>
      </c>
      <c r="W1848" s="18"/>
      <c r="X1848" s="18"/>
    </row>
    <row r="1849" customFormat="false" ht="13.8" hidden="false" customHeight="false" outlineLevel="0" collapsed="false">
      <c r="A1849" s="34"/>
      <c r="B1849" s="19" t="s">
        <v>887</v>
      </c>
      <c r="C1849" s="20" t="n">
        <v>43558</v>
      </c>
      <c r="D1849" s="38" t="s">
        <v>22</v>
      </c>
      <c r="E1849" s="22" t="s">
        <v>212</v>
      </c>
      <c r="F1849" s="45" t="s">
        <v>361</v>
      </c>
      <c r="G1849" s="19" t="n">
        <v>60</v>
      </c>
      <c r="H1849" s="19"/>
      <c r="I1849" s="19" t="n">
        <v>4</v>
      </c>
      <c r="J1849" s="25" t="n">
        <v>45.5</v>
      </c>
      <c r="K1849" s="39" t="n">
        <v>435000</v>
      </c>
      <c r="L1849" s="39" t="n">
        <f aca="false">K1849/J1849</f>
        <v>9560.43956043956</v>
      </c>
      <c r="M1849" s="18"/>
      <c r="N1849" s="40"/>
      <c r="O1849" s="30" t="n">
        <f aca="false">K1849+N1849</f>
        <v>435000</v>
      </c>
      <c r="P1849" s="39" t="n">
        <f aca="false">O1849/J1849</f>
        <v>9560.43956043956</v>
      </c>
      <c r="Q1849" s="19" t="s">
        <v>889</v>
      </c>
      <c r="R1849" s="19" t="n">
        <v>3</v>
      </c>
      <c r="S1849" s="19" t="s">
        <v>1141</v>
      </c>
      <c r="T1849" s="19"/>
      <c r="U1849" s="19" t="s">
        <v>31</v>
      </c>
      <c r="V1849" s="41" t="n">
        <v>43727</v>
      </c>
      <c r="W1849" s="18"/>
      <c r="X1849" s="18"/>
      <c r="Y1849" s="35"/>
      <c r="Z1849" s="36"/>
    </row>
    <row r="1850" customFormat="false" ht="13.8" hidden="false" customHeight="false" outlineLevel="0" collapsed="false">
      <c r="A1850" s="34"/>
      <c r="B1850" s="19" t="s">
        <v>887</v>
      </c>
      <c r="C1850" s="20" t="n">
        <v>43559</v>
      </c>
      <c r="D1850" s="38" t="s">
        <v>22</v>
      </c>
      <c r="E1850" s="22" t="s">
        <v>187</v>
      </c>
      <c r="F1850" s="45" t="s">
        <v>2315</v>
      </c>
      <c r="G1850" s="19" t="n">
        <v>1</v>
      </c>
      <c r="H1850" s="19"/>
      <c r="I1850" s="19" t="n">
        <v>2</v>
      </c>
      <c r="J1850" s="25" t="n">
        <v>40.5</v>
      </c>
      <c r="K1850" s="39" t="n">
        <v>400000</v>
      </c>
      <c r="L1850" s="39" t="n">
        <f aca="false">K1850/J1850</f>
        <v>9876.54320987654</v>
      </c>
      <c r="M1850" s="34" t="s">
        <v>1173</v>
      </c>
      <c r="N1850" s="40"/>
      <c r="O1850" s="30" t="n">
        <f aca="false">K1850+N1850</f>
        <v>400000</v>
      </c>
      <c r="P1850" s="39" t="n">
        <f aca="false">O1850/J1850</f>
        <v>9876.54320987654</v>
      </c>
      <c r="Q1850" s="19" t="s">
        <v>889</v>
      </c>
      <c r="R1850" s="19" t="n">
        <v>3</v>
      </c>
      <c r="S1850" s="19" t="s">
        <v>1141</v>
      </c>
      <c r="T1850" s="19"/>
      <c r="U1850" s="19" t="s">
        <v>31</v>
      </c>
      <c r="V1850" s="41" t="n">
        <v>43727</v>
      </c>
      <c r="W1850" s="18"/>
      <c r="X1850" s="18"/>
    </row>
    <row r="1851" customFormat="false" ht="13.8" hidden="false" customHeight="false" outlineLevel="0" collapsed="false">
      <c r="A1851" s="34"/>
      <c r="B1851" s="19" t="s">
        <v>887</v>
      </c>
      <c r="C1851" s="20" t="n">
        <v>43559</v>
      </c>
      <c r="D1851" s="38" t="s">
        <v>22</v>
      </c>
      <c r="E1851" s="22" t="s">
        <v>934</v>
      </c>
      <c r="F1851" s="45" t="s">
        <v>486</v>
      </c>
      <c r="G1851" s="19" t="n">
        <v>18</v>
      </c>
      <c r="H1851" s="19"/>
      <c r="I1851" s="19" t="n">
        <v>3</v>
      </c>
      <c r="J1851" s="25" t="n">
        <v>36.3</v>
      </c>
      <c r="K1851" s="39" t="n">
        <v>300000</v>
      </c>
      <c r="L1851" s="39" t="n">
        <f aca="false">K1851/J1851</f>
        <v>8264.46280991735</v>
      </c>
      <c r="M1851" s="18"/>
      <c r="N1851" s="40"/>
      <c r="O1851" s="30" t="n">
        <f aca="false">K1851+N1851</f>
        <v>300000</v>
      </c>
      <c r="P1851" s="39" t="n">
        <f aca="false">O1851/J1851</f>
        <v>8264.46280991735</v>
      </c>
      <c r="Q1851" s="19" t="s">
        <v>889</v>
      </c>
      <c r="R1851" s="19" t="n">
        <v>3</v>
      </c>
      <c r="S1851" s="19" t="s">
        <v>1141</v>
      </c>
      <c r="T1851" s="19"/>
      <c r="U1851" s="19" t="s">
        <v>31</v>
      </c>
      <c r="V1851" s="41" t="n">
        <v>43727</v>
      </c>
      <c r="W1851" s="18"/>
      <c r="X1851" s="18"/>
    </row>
    <row r="1852" customFormat="false" ht="13.8" hidden="false" customHeight="false" outlineLevel="0" collapsed="false">
      <c r="A1852" s="34"/>
      <c r="B1852" s="19" t="s">
        <v>887</v>
      </c>
      <c r="C1852" s="20" t="n">
        <v>43560</v>
      </c>
      <c r="D1852" s="38" t="s">
        <v>22</v>
      </c>
      <c r="E1852" s="22" t="s">
        <v>652</v>
      </c>
      <c r="F1852" s="45" t="s">
        <v>54</v>
      </c>
      <c r="G1852" s="19" t="n">
        <v>48</v>
      </c>
      <c r="H1852" s="19"/>
      <c r="I1852" s="19" t="n">
        <v>16</v>
      </c>
      <c r="J1852" s="25" t="n">
        <v>74.2</v>
      </c>
      <c r="K1852" s="39" t="n">
        <v>590000</v>
      </c>
      <c r="L1852" s="39" t="n">
        <f aca="false">K1852/J1852</f>
        <v>7951.48247978437</v>
      </c>
      <c r="M1852" s="18"/>
      <c r="N1852" s="40"/>
      <c r="O1852" s="30" t="n">
        <f aca="false">K1852+N1852</f>
        <v>590000</v>
      </c>
      <c r="P1852" s="39" t="n">
        <f aca="false">O1852/J1852</f>
        <v>7951.48247978437</v>
      </c>
      <c r="Q1852" s="19" t="s">
        <v>889</v>
      </c>
      <c r="R1852" s="19" t="n">
        <v>5</v>
      </c>
      <c r="S1852" s="19" t="s">
        <v>1141</v>
      </c>
      <c r="T1852" s="19"/>
      <c r="U1852" s="19" t="s">
        <v>31</v>
      </c>
      <c r="V1852" s="41" t="n">
        <v>43727</v>
      </c>
      <c r="W1852" s="18"/>
      <c r="X1852" s="18"/>
    </row>
    <row r="1853" customFormat="false" ht="13.8" hidden="false" customHeight="false" outlineLevel="0" collapsed="false">
      <c r="A1853" s="34"/>
      <c r="B1853" s="19" t="s">
        <v>887</v>
      </c>
      <c r="C1853" s="20" t="n">
        <v>43564</v>
      </c>
      <c r="D1853" s="38" t="s">
        <v>22</v>
      </c>
      <c r="E1853" s="22" t="s">
        <v>281</v>
      </c>
      <c r="F1853" s="45" t="s">
        <v>1029</v>
      </c>
      <c r="G1853" s="19" t="n">
        <v>2</v>
      </c>
      <c r="H1853" s="19"/>
      <c r="I1853" s="19" t="n">
        <v>2</v>
      </c>
      <c r="J1853" s="25" t="n">
        <v>28.5</v>
      </c>
      <c r="K1853" s="39" t="n">
        <v>289000</v>
      </c>
      <c r="L1853" s="39" t="n">
        <f aca="false">K1853/J1853</f>
        <v>10140.350877193</v>
      </c>
      <c r="M1853" s="34" t="s">
        <v>1173</v>
      </c>
      <c r="N1853" s="40"/>
      <c r="O1853" s="30" t="n">
        <f aca="false">K1853+N1853</f>
        <v>289000</v>
      </c>
      <c r="P1853" s="39" t="n">
        <f aca="false">O1853/J1853</f>
        <v>10140.350877193</v>
      </c>
      <c r="Q1853" s="19" t="s">
        <v>889</v>
      </c>
      <c r="R1853" s="19" t="n">
        <v>2</v>
      </c>
      <c r="S1853" s="19" t="s">
        <v>1141</v>
      </c>
      <c r="T1853" s="19"/>
      <c r="U1853" s="19" t="s">
        <v>31</v>
      </c>
      <c r="V1853" s="41" t="n">
        <v>43727</v>
      </c>
      <c r="W1853" s="18"/>
      <c r="X1853" s="18"/>
    </row>
    <row r="1854" customFormat="false" ht="13.8" hidden="false" customHeight="false" outlineLevel="0" collapsed="false">
      <c r="A1854" s="34"/>
      <c r="B1854" s="19" t="s">
        <v>887</v>
      </c>
      <c r="C1854" s="20" t="n">
        <v>43570</v>
      </c>
      <c r="D1854" s="38" t="s">
        <v>22</v>
      </c>
      <c r="E1854" s="22" t="s">
        <v>212</v>
      </c>
      <c r="F1854" s="45" t="s">
        <v>528</v>
      </c>
      <c r="G1854" s="19" t="s">
        <v>1832</v>
      </c>
      <c r="H1854" s="19"/>
      <c r="I1854" s="19" t="n">
        <v>7</v>
      </c>
      <c r="J1854" s="25" t="n">
        <v>57.4</v>
      </c>
      <c r="K1854" s="39" t="n">
        <v>435000</v>
      </c>
      <c r="L1854" s="39" t="n">
        <f aca="false">K1854/J1854</f>
        <v>7578.39721254355</v>
      </c>
      <c r="M1854" s="18"/>
      <c r="N1854" s="40"/>
      <c r="O1854" s="30" t="n">
        <f aca="false">K1854+N1854</f>
        <v>435000</v>
      </c>
      <c r="P1854" s="39" t="n">
        <f aca="false">O1854/J1854</f>
        <v>7578.39721254355</v>
      </c>
      <c r="Q1854" s="19" t="s">
        <v>889</v>
      </c>
      <c r="R1854" s="19" t="n">
        <v>4</v>
      </c>
      <c r="S1854" s="19" t="s">
        <v>890</v>
      </c>
      <c r="T1854" s="19"/>
      <c r="U1854" s="19" t="s">
        <v>31</v>
      </c>
      <c r="V1854" s="41" t="n">
        <v>43727</v>
      </c>
      <c r="W1854" s="18"/>
      <c r="X1854" s="18"/>
    </row>
    <row r="1855" customFormat="false" ht="13.8" hidden="false" customHeight="false" outlineLevel="0" collapsed="false">
      <c r="A1855" s="18"/>
      <c r="B1855" s="65" t="s">
        <v>2742</v>
      </c>
      <c r="C1855" s="81" t="n">
        <v>43580</v>
      </c>
      <c r="D1855" s="38" t="s">
        <v>22</v>
      </c>
      <c r="E1855" s="22" t="s">
        <v>61</v>
      </c>
      <c r="F1855" s="82" t="s">
        <v>581</v>
      </c>
      <c r="G1855" s="65" t="s">
        <v>128</v>
      </c>
      <c r="H1855" s="65" t="s">
        <v>181</v>
      </c>
      <c r="I1855" s="65" t="s">
        <v>25</v>
      </c>
      <c r="J1855" s="83" t="n">
        <v>57.3</v>
      </c>
      <c r="K1855" s="84" t="n">
        <v>595000</v>
      </c>
      <c r="L1855" s="85" t="n">
        <f aca="false">K1855/J1855</f>
        <v>10383.9441535777</v>
      </c>
      <c r="M1855" s="86"/>
      <c r="N1855" s="87"/>
      <c r="O1855" s="88" t="n">
        <f aca="false">K1855+N1855</f>
        <v>595000</v>
      </c>
      <c r="P1855" s="88" t="n">
        <f aca="false">O1855/J1855</f>
        <v>10383.9441535777</v>
      </c>
      <c r="Q1855" s="83" t="s">
        <v>2743</v>
      </c>
      <c r="R1855" s="65" t="s">
        <v>49</v>
      </c>
      <c r="S1855" s="65"/>
      <c r="T1855" s="65"/>
      <c r="U1855" s="24"/>
      <c r="V1855" s="89"/>
      <c r="W1855" s="18"/>
      <c r="X1855" s="18"/>
    </row>
    <row r="1856" customFormat="false" ht="13.8" hidden="false" customHeight="false" outlineLevel="0" collapsed="false">
      <c r="A1856" s="34"/>
      <c r="B1856" s="19" t="s">
        <v>887</v>
      </c>
      <c r="C1856" s="20" t="n">
        <v>43584</v>
      </c>
      <c r="D1856" s="38" t="s">
        <v>22</v>
      </c>
      <c r="E1856" s="22" t="s">
        <v>934</v>
      </c>
      <c r="F1856" s="45" t="s">
        <v>486</v>
      </c>
      <c r="G1856" s="19" t="n">
        <v>18</v>
      </c>
      <c r="H1856" s="19"/>
      <c r="I1856" s="19" t="n">
        <v>8</v>
      </c>
      <c r="J1856" s="25" t="n">
        <v>36.3</v>
      </c>
      <c r="K1856" s="39" t="n">
        <v>300000</v>
      </c>
      <c r="L1856" s="39" t="n">
        <f aca="false">K1856/J1856</f>
        <v>8264.46280991735</v>
      </c>
      <c r="M1856" s="18"/>
      <c r="N1856" s="40"/>
      <c r="O1856" s="30" t="n">
        <f aca="false">K1856+N1856</f>
        <v>300000</v>
      </c>
      <c r="P1856" s="39" t="n">
        <f aca="false">O1856/J1856</f>
        <v>8264.46280991735</v>
      </c>
      <c r="Q1856" s="19" t="s">
        <v>889</v>
      </c>
      <c r="R1856" s="19" t="n">
        <v>3</v>
      </c>
      <c r="S1856" s="19" t="s">
        <v>1141</v>
      </c>
      <c r="T1856" s="19"/>
      <c r="U1856" s="19" t="s">
        <v>31</v>
      </c>
      <c r="V1856" s="41" t="n">
        <v>43727</v>
      </c>
      <c r="W1856" s="18"/>
      <c r="X1856" s="18"/>
    </row>
    <row r="1857" customFormat="false" ht="13.8" hidden="false" customHeight="false" outlineLevel="0" collapsed="false">
      <c r="A1857" s="34"/>
      <c r="B1857" s="19" t="s">
        <v>887</v>
      </c>
      <c r="C1857" s="20" t="n">
        <v>43584</v>
      </c>
      <c r="D1857" s="38" t="s">
        <v>22</v>
      </c>
      <c r="E1857" s="22" t="s">
        <v>934</v>
      </c>
      <c r="F1857" s="45" t="s">
        <v>486</v>
      </c>
      <c r="G1857" s="19" t="n">
        <v>16</v>
      </c>
      <c r="H1857" s="19"/>
      <c r="I1857" s="19" t="n">
        <v>4</v>
      </c>
      <c r="J1857" s="25" t="n">
        <v>36.3</v>
      </c>
      <c r="K1857" s="39" t="n">
        <v>348000</v>
      </c>
      <c r="L1857" s="39" t="n">
        <f aca="false">K1857/J1857</f>
        <v>9586.77685950413</v>
      </c>
      <c r="M1857" s="34" t="s">
        <v>1140</v>
      </c>
      <c r="N1857" s="40"/>
      <c r="O1857" s="30" t="n">
        <f aca="false">K1857+N1857</f>
        <v>348000</v>
      </c>
      <c r="P1857" s="39" t="n">
        <f aca="false">O1857/J1857</f>
        <v>9586.77685950413</v>
      </c>
      <c r="Q1857" s="19" t="s">
        <v>889</v>
      </c>
      <c r="R1857" s="19" t="n">
        <v>3</v>
      </c>
      <c r="S1857" s="19" t="s">
        <v>1141</v>
      </c>
      <c r="T1857" s="19"/>
      <c r="U1857" s="19" t="s">
        <v>31</v>
      </c>
      <c r="V1857" s="41" t="n">
        <v>43727</v>
      </c>
      <c r="W1857" s="18"/>
      <c r="X1857" s="18"/>
    </row>
    <row r="1858" customFormat="false" ht="13.8" hidden="false" customHeight="false" outlineLevel="0" collapsed="false">
      <c r="A1858" s="34"/>
      <c r="B1858" s="19" t="s">
        <v>887</v>
      </c>
      <c r="C1858" s="20" t="n">
        <v>43585</v>
      </c>
      <c r="D1858" s="38" t="s">
        <v>22</v>
      </c>
      <c r="E1858" s="22" t="s">
        <v>251</v>
      </c>
      <c r="F1858" s="45" t="s">
        <v>1693</v>
      </c>
      <c r="G1858" s="19" t="n">
        <v>3</v>
      </c>
      <c r="H1858" s="19"/>
      <c r="I1858" s="19" t="n">
        <v>6</v>
      </c>
      <c r="J1858" s="25" t="n">
        <v>30.94</v>
      </c>
      <c r="K1858" s="39" t="n">
        <v>285000</v>
      </c>
      <c r="L1858" s="39" t="n">
        <f aca="false">K1858/J1858</f>
        <v>9211.37685843568</v>
      </c>
      <c r="M1858" s="18"/>
      <c r="N1858" s="40"/>
      <c r="O1858" s="30" t="n">
        <f aca="false">K1858+N1858</f>
        <v>285000</v>
      </c>
      <c r="P1858" s="39" t="n">
        <f aca="false">O1858/J1858</f>
        <v>9211.37685843568</v>
      </c>
      <c r="Q1858" s="19" t="s">
        <v>889</v>
      </c>
      <c r="R1858" s="19" t="n">
        <v>2</v>
      </c>
      <c r="S1858" s="19" t="s">
        <v>890</v>
      </c>
      <c r="T1858" s="19"/>
      <c r="U1858" s="19" t="s">
        <v>31</v>
      </c>
      <c r="V1858" s="41" t="n">
        <v>43727</v>
      </c>
      <c r="W1858" s="18"/>
      <c r="X1858" s="18"/>
    </row>
    <row r="1859" customFormat="false" ht="13.8" hidden="false" customHeight="false" outlineLevel="0" collapsed="false">
      <c r="A1859" s="34"/>
      <c r="B1859" s="22" t="s">
        <v>2744</v>
      </c>
      <c r="C1859" s="20" t="n">
        <v>43609</v>
      </c>
      <c r="D1859" s="38" t="s">
        <v>22</v>
      </c>
      <c r="E1859" s="22" t="s">
        <v>572</v>
      </c>
      <c r="F1859" s="23" t="s">
        <v>2745</v>
      </c>
      <c r="G1859" s="22" t="s">
        <v>25</v>
      </c>
      <c r="H1859" s="22" t="s">
        <v>2442</v>
      </c>
      <c r="I1859" s="22" t="n">
        <v>6</v>
      </c>
      <c r="J1859" s="25" t="n">
        <v>46</v>
      </c>
      <c r="K1859" s="26" t="n">
        <v>310000</v>
      </c>
      <c r="L1859" s="39" t="n">
        <f aca="false">K1859/J1859</f>
        <v>6739.13043478261</v>
      </c>
      <c r="M1859" s="18"/>
      <c r="N1859" s="54"/>
      <c r="O1859" s="30" t="n">
        <f aca="false">K1859+N1859</f>
        <v>310000</v>
      </c>
      <c r="P1859" s="39" t="n">
        <f aca="false">O1859/J1859</f>
        <v>6739.13043478261</v>
      </c>
      <c r="Q1859" s="60"/>
      <c r="R1859" s="55" t="n">
        <v>3</v>
      </c>
      <c r="S1859" s="19" t="s">
        <v>29</v>
      </c>
      <c r="T1859" s="19" t="s">
        <v>30</v>
      </c>
      <c r="U1859" s="19" t="s">
        <v>31</v>
      </c>
      <c r="V1859" s="22" t="s">
        <v>2184</v>
      </c>
      <c r="W1859" s="22"/>
      <c r="X1859" s="22"/>
    </row>
    <row r="1860" customFormat="false" ht="13.8" hidden="false" customHeight="false" outlineLevel="0" collapsed="false">
      <c r="A1860" s="18"/>
      <c r="B1860" s="22" t="s">
        <v>2746</v>
      </c>
      <c r="C1860" s="20" t="n">
        <v>43618</v>
      </c>
      <c r="D1860" s="38" t="s">
        <v>22</v>
      </c>
      <c r="E1860" s="22" t="s">
        <v>350</v>
      </c>
      <c r="F1860" s="23" t="s">
        <v>351</v>
      </c>
      <c r="G1860" s="22" t="s">
        <v>26</v>
      </c>
      <c r="H1860" s="22" t="s">
        <v>464</v>
      </c>
      <c r="I1860" s="22" t="n">
        <v>6</v>
      </c>
      <c r="J1860" s="25" t="n">
        <v>40.29</v>
      </c>
      <c r="K1860" s="26" t="n">
        <v>520000</v>
      </c>
      <c r="L1860" s="39" t="n">
        <f aca="false">K1860/J1860</f>
        <v>12906.4283941425</v>
      </c>
      <c r="M1860" s="18"/>
      <c r="N1860" s="54"/>
      <c r="O1860" s="30" t="n">
        <f aca="false">K1860+N1860</f>
        <v>520000</v>
      </c>
      <c r="P1860" s="39" t="n">
        <f aca="false">O1860/J1860</f>
        <v>12906.4283941425</v>
      </c>
      <c r="Q1860" s="59"/>
      <c r="R1860" s="57" t="n">
        <v>2</v>
      </c>
      <c r="S1860" s="19" t="s">
        <v>29</v>
      </c>
      <c r="T1860" s="19" t="s">
        <v>30</v>
      </c>
      <c r="U1860" s="19" t="s">
        <v>31</v>
      </c>
      <c r="V1860" s="22" t="s">
        <v>2184</v>
      </c>
      <c r="W1860" s="22"/>
      <c r="X1860" s="22"/>
    </row>
    <row r="1861" customFormat="false" ht="13.8" hidden="false" customHeight="false" outlineLevel="0" collapsed="false">
      <c r="A1861" s="18"/>
      <c r="B1861" s="65" t="s">
        <v>2747</v>
      </c>
      <c r="C1861" s="81" t="n">
        <v>43618</v>
      </c>
      <c r="D1861" s="38" t="s">
        <v>22</v>
      </c>
      <c r="E1861" s="22" t="s">
        <v>350</v>
      </c>
      <c r="F1861" s="82" t="s">
        <v>351</v>
      </c>
      <c r="G1861" s="65" t="s">
        <v>26</v>
      </c>
      <c r="H1861" s="65" t="s">
        <v>464</v>
      </c>
      <c r="I1861" s="65" t="s">
        <v>25</v>
      </c>
      <c r="J1861" s="83" t="n">
        <v>40.29</v>
      </c>
      <c r="K1861" s="84" t="n">
        <v>520000</v>
      </c>
      <c r="L1861" s="85" t="n">
        <f aca="false">K1861/J1861</f>
        <v>12906.4283941425</v>
      </c>
      <c r="M1861" s="90"/>
      <c r="N1861" s="87"/>
      <c r="O1861" s="88" t="n">
        <f aca="false">K1861+N1861</f>
        <v>520000</v>
      </c>
      <c r="P1861" s="88" t="n">
        <f aca="false">O1861/J1861</f>
        <v>12906.4283941425</v>
      </c>
      <c r="Q1861" s="83" t="s">
        <v>2748</v>
      </c>
      <c r="R1861" s="65" t="s">
        <v>36</v>
      </c>
      <c r="S1861" s="19" t="s">
        <v>29</v>
      </c>
      <c r="T1861" s="19" t="s">
        <v>30</v>
      </c>
      <c r="U1861" s="19" t="s">
        <v>31</v>
      </c>
      <c r="V1861" s="22" t="s">
        <v>2184</v>
      </c>
      <c r="W1861" s="18"/>
      <c r="X1861" s="18"/>
    </row>
    <row r="1862" customFormat="false" ht="13.8" hidden="false" customHeight="false" outlineLevel="0" collapsed="false">
      <c r="A1862" s="18"/>
      <c r="B1862" s="22" t="s">
        <v>2749</v>
      </c>
      <c r="C1862" s="20" t="n">
        <v>43627</v>
      </c>
      <c r="D1862" s="38" t="s">
        <v>22</v>
      </c>
      <c r="E1862" s="22" t="s">
        <v>677</v>
      </c>
      <c r="F1862" s="23" t="s">
        <v>344</v>
      </c>
      <c r="G1862" s="22" t="s">
        <v>95</v>
      </c>
      <c r="H1862" s="22" t="s">
        <v>515</v>
      </c>
      <c r="I1862" s="22" t="n">
        <v>3</v>
      </c>
      <c r="J1862" s="25" t="n">
        <v>59.3</v>
      </c>
      <c r="K1862" s="26" t="n">
        <v>540000</v>
      </c>
      <c r="L1862" s="39" t="n">
        <f aca="false">K1862/J1862</f>
        <v>9106.239460371</v>
      </c>
      <c r="M1862" s="18"/>
      <c r="N1862" s="54"/>
      <c r="O1862" s="30" t="n">
        <f aca="false">K1862+N1862</f>
        <v>540000</v>
      </c>
      <c r="P1862" s="39" t="n">
        <f aca="false">O1862/J1862</f>
        <v>9106.239460371</v>
      </c>
      <c r="Q1862" s="58"/>
      <c r="R1862" s="57" t="n">
        <v>2</v>
      </c>
      <c r="S1862" s="19" t="s">
        <v>29</v>
      </c>
      <c r="T1862" s="19" t="s">
        <v>30</v>
      </c>
      <c r="U1862" s="19" t="s">
        <v>31</v>
      </c>
      <c r="V1862" s="22" t="s">
        <v>2184</v>
      </c>
      <c r="W1862" s="22"/>
      <c r="X1862" s="22"/>
    </row>
    <row r="1863" customFormat="false" ht="13.8" hidden="false" customHeight="false" outlineLevel="0" collapsed="false">
      <c r="A1863" s="34"/>
      <c r="B1863" s="22" t="s">
        <v>2750</v>
      </c>
      <c r="C1863" s="20" t="n">
        <v>43640</v>
      </c>
      <c r="D1863" s="38" t="s">
        <v>22</v>
      </c>
      <c r="E1863" s="22" t="s">
        <v>407</v>
      </c>
      <c r="F1863" s="23" t="s">
        <v>230</v>
      </c>
      <c r="G1863" s="22" t="s">
        <v>408</v>
      </c>
      <c r="H1863" s="22" t="s">
        <v>49</v>
      </c>
      <c r="I1863" s="22" t="n">
        <v>3</v>
      </c>
      <c r="J1863" s="25" t="n">
        <v>41.42</v>
      </c>
      <c r="K1863" s="26" t="n">
        <v>377000</v>
      </c>
      <c r="L1863" s="39" t="n">
        <f aca="false">K1863/J1863</f>
        <v>9101.88314823757</v>
      </c>
      <c r="M1863" s="18"/>
      <c r="N1863" s="54"/>
      <c r="O1863" s="30" t="n">
        <f aca="false">K1863+N1863</f>
        <v>377000</v>
      </c>
      <c r="P1863" s="39" t="n">
        <f aca="false">O1863/J1863</f>
        <v>9101.88314823757</v>
      </c>
      <c r="Q1863" s="58"/>
      <c r="R1863" s="57" t="n">
        <v>3</v>
      </c>
      <c r="S1863" s="19" t="s">
        <v>29</v>
      </c>
      <c r="T1863" s="19" t="s">
        <v>30</v>
      </c>
      <c r="U1863" s="19" t="s">
        <v>31</v>
      </c>
      <c r="V1863" s="22" t="s">
        <v>2184</v>
      </c>
      <c r="W1863" s="22"/>
      <c r="X1863" s="22"/>
    </row>
    <row r="1864" customFormat="false" ht="13.8" hidden="false" customHeight="false" outlineLevel="0" collapsed="false">
      <c r="A1864" s="18"/>
      <c r="B1864" s="65" t="s">
        <v>2751</v>
      </c>
      <c r="C1864" s="81" t="n">
        <v>43654</v>
      </c>
      <c r="D1864" s="38" t="s">
        <v>22</v>
      </c>
      <c r="E1864" s="22" t="s">
        <v>375</v>
      </c>
      <c r="F1864" s="91" t="s">
        <v>544</v>
      </c>
      <c r="G1864" s="65" t="s">
        <v>197</v>
      </c>
      <c r="H1864" s="65" t="s">
        <v>200</v>
      </c>
      <c r="I1864" s="65" t="s">
        <v>26</v>
      </c>
      <c r="J1864" s="83" t="n">
        <v>62.2</v>
      </c>
      <c r="K1864" s="88" t="n">
        <v>770000</v>
      </c>
      <c r="L1864" s="85" t="n">
        <f aca="false">K1864/J1864</f>
        <v>12379.421221865</v>
      </c>
      <c r="M1864" s="92" t="s">
        <v>1140</v>
      </c>
      <c r="N1864" s="93"/>
      <c r="O1864" s="88" t="n">
        <f aca="false">K1864+N1864</f>
        <v>770000</v>
      </c>
      <c r="P1864" s="85" t="n">
        <f aca="false">O1864/J1864</f>
        <v>12379.421221865</v>
      </c>
      <c r="Q1864" s="94" t="s">
        <v>2752</v>
      </c>
      <c r="R1864" s="65" t="s">
        <v>26</v>
      </c>
      <c r="S1864" s="19" t="s">
        <v>29</v>
      </c>
      <c r="T1864" s="19" t="s">
        <v>30</v>
      </c>
      <c r="U1864" s="19" t="s">
        <v>31</v>
      </c>
      <c r="V1864" s="22" t="s">
        <v>2184</v>
      </c>
      <c r="W1864" s="18"/>
      <c r="X1864" s="18"/>
    </row>
    <row r="1865" s="108" customFormat="true" ht="13.8" hidden="false" customHeight="false" outlineLevel="0" collapsed="false">
      <c r="A1865" s="95"/>
      <c r="B1865" s="96" t="s">
        <v>2753</v>
      </c>
      <c r="C1865" s="97" t="n">
        <v>43662</v>
      </c>
      <c r="D1865" s="98" t="s">
        <v>22</v>
      </c>
      <c r="E1865" s="96" t="s">
        <v>144</v>
      </c>
      <c r="F1865" s="99" t="s">
        <v>145</v>
      </c>
      <c r="G1865" s="96" t="s">
        <v>300</v>
      </c>
      <c r="H1865" s="96" t="s">
        <v>111</v>
      </c>
      <c r="I1865" s="96" t="s">
        <v>26</v>
      </c>
      <c r="J1865" s="100" t="n">
        <v>91.31</v>
      </c>
      <c r="K1865" s="101" t="n">
        <v>260000</v>
      </c>
      <c r="L1865" s="102" t="n">
        <f aca="false">K1865/J1865</f>
        <v>2847.44277735188</v>
      </c>
      <c r="M1865" s="103"/>
      <c r="N1865" s="104"/>
      <c r="O1865" s="105" t="n">
        <v>260000</v>
      </c>
      <c r="P1865" s="105" t="n">
        <v>2847.44277735188</v>
      </c>
      <c r="Q1865" s="100" t="s">
        <v>2754</v>
      </c>
      <c r="R1865" s="96" t="s">
        <v>26</v>
      </c>
      <c r="S1865" s="96" t="s">
        <v>29</v>
      </c>
      <c r="T1865" s="96" t="s">
        <v>30</v>
      </c>
      <c r="U1865" s="106" t="s">
        <v>31</v>
      </c>
      <c r="V1865" s="107" t="n">
        <v>43881</v>
      </c>
      <c r="W1865" s="95" t="s">
        <v>2755</v>
      </c>
      <c r="X1865" s="95"/>
    </row>
    <row r="1866" customFormat="false" ht="13.8" hidden="false" customHeight="false" outlineLevel="0" collapsed="false">
      <c r="A1866" s="18"/>
      <c r="B1866" s="65" t="s">
        <v>2756</v>
      </c>
      <c r="C1866" s="81" t="n">
        <v>43664</v>
      </c>
      <c r="D1866" s="38" t="s">
        <v>22</v>
      </c>
      <c r="E1866" s="65" t="s">
        <v>265</v>
      </c>
      <c r="F1866" s="82" t="s">
        <v>152</v>
      </c>
      <c r="G1866" s="65" t="s">
        <v>345</v>
      </c>
      <c r="H1866" s="65" t="s">
        <v>57</v>
      </c>
      <c r="I1866" s="65" t="s">
        <v>36</v>
      </c>
      <c r="J1866" s="83" t="n">
        <v>185</v>
      </c>
      <c r="K1866" s="84" t="n">
        <v>2545000</v>
      </c>
      <c r="L1866" s="85" t="n">
        <f aca="false">K1866/J1866</f>
        <v>13756.7567567568</v>
      </c>
      <c r="M1866" s="86" t="s">
        <v>940</v>
      </c>
      <c r="N1866" s="87"/>
      <c r="O1866" s="88" t="n">
        <f aca="false">K1866+N1866</f>
        <v>2545000</v>
      </c>
      <c r="P1866" s="88" t="n">
        <f aca="false">O1866/J1866</f>
        <v>13756.7567567568</v>
      </c>
      <c r="Q1866" s="83" t="s">
        <v>2757</v>
      </c>
      <c r="R1866" s="65" t="s">
        <v>25</v>
      </c>
      <c r="S1866" s="19" t="s">
        <v>29</v>
      </c>
      <c r="T1866" s="19" t="s">
        <v>30</v>
      </c>
      <c r="U1866" s="19" t="s">
        <v>31</v>
      </c>
      <c r="V1866" s="22" t="s">
        <v>2184</v>
      </c>
      <c r="W1866" s="18"/>
      <c r="X1866" s="18"/>
    </row>
    <row r="1867" customFormat="false" ht="13.8" hidden="false" customHeight="false" outlineLevel="0" collapsed="false">
      <c r="A1867" s="18"/>
      <c r="B1867" s="65" t="s">
        <v>2758</v>
      </c>
      <c r="C1867" s="81" t="n">
        <v>43666</v>
      </c>
      <c r="D1867" s="38" t="s">
        <v>22</v>
      </c>
      <c r="E1867" s="65" t="s">
        <v>343</v>
      </c>
      <c r="F1867" s="82" t="s">
        <v>344</v>
      </c>
      <c r="G1867" s="65" t="s">
        <v>345</v>
      </c>
      <c r="H1867" s="65" t="s">
        <v>246</v>
      </c>
      <c r="I1867" s="65" t="s">
        <v>26</v>
      </c>
      <c r="J1867" s="83" t="n">
        <v>70.46</v>
      </c>
      <c r="K1867" s="84" t="n">
        <v>800000</v>
      </c>
      <c r="L1867" s="85" t="n">
        <f aca="false">K1867/J1867</f>
        <v>11353.9596934431</v>
      </c>
      <c r="M1867" s="109" t="s">
        <v>2759</v>
      </c>
      <c r="N1867" s="87"/>
      <c r="O1867" s="88" t="n">
        <f aca="false">K1867+N1867</f>
        <v>800000</v>
      </c>
      <c r="P1867" s="85" t="n">
        <f aca="false">O1867/J1867</f>
        <v>11353.9596934431</v>
      </c>
      <c r="Q1867" s="65" t="s">
        <v>2760</v>
      </c>
      <c r="R1867" s="65" t="s">
        <v>49</v>
      </c>
      <c r="S1867" s="19" t="s">
        <v>29</v>
      </c>
      <c r="T1867" s="19" t="s">
        <v>30</v>
      </c>
      <c r="U1867" s="19" t="s">
        <v>31</v>
      </c>
      <c r="V1867" s="22" t="s">
        <v>2184</v>
      </c>
      <c r="W1867" s="18"/>
      <c r="X1867" s="18"/>
    </row>
    <row r="1868" customFormat="false" ht="13.8" hidden="false" customHeight="false" outlineLevel="0" collapsed="false">
      <c r="A1868" s="18"/>
      <c r="B1868" s="65" t="s">
        <v>2761</v>
      </c>
      <c r="C1868" s="81" t="n">
        <v>43667</v>
      </c>
      <c r="D1868" s="38" t="s">
        <v>22</v>
      </c>
      <c r="E1868" s="22" t="s">
        <v>717</v>
      </c>
      <c r="F1868" s="91" t="s">
        <v>718</v>
      </c>
      <c r="G1868" s="65" t="s">
        <v>49</v>
      </c>
      <c r="H1868" s="65" t="s">
        <v>253</v>
      </c>
      <c r="I1868" s="65" t="s">
        <v>143</v>
      </c>
      <c r="J1868" s="83" t="n">
        <v>43.8</v>
      </c>
      <c r="K1868" s="84" t="n">
        <v>375000</v>
      </c>
      <c r="L1868" s="85" t="n">
        <f aca="false">K1868/J1868</f>
        <v>8561.64383561644</v>
      </c>
      <c r="M1868" s="90"/>
      <c r="N1868" s="87"/>
      <c r="O1868" s="88" t="n">
        <f aca="false">K1868+N1868</f>
        <v>375000</v>
      </c>
      <c r="P1868" s="88" t="n">
        <f aca="false">O1868/J1868</f>
        <v>8561.64383561644</v>
      </c>
      <c r="Q1868" s="65" t="s">
        <v>2762</v>
      </c>
      <c r="R1868" s="65" t="s">
        <v>26</v>
      </c>
      <c r="S1868" s="19" t="s">
        <v>29</v>
      </c>
      <c r="T1868" s="19" t="s">
        <v>30</v>
      </c>
      <c r="U1868" s="19" t="s">
        <v>31</v>
      </c>
      <c r="V1868" s="22" t="s">
        <v>2184</v>
      </c>
      <c r="W1868" s="23"/>
      <c r="X1868" s="110"/>
    </row>
    <row r="1869" customFormat="false" ht="13.8" hidden="false" customHeight="false" outlineLevel="0" collapsed="false">
      <c r="A1869" s="18"/>
      <c r="B1869" s="65" t="s">
        <v>2763</v>
      </c>
      <c r="C1869" s="81" t="n">
        <v>43669</v>
      </c>
      <c r="D1869" s="38" t="s">
        <v>22</v>
      </c>
      <c r="E1869" s="22" t="s">
        <v>440</v>
      </c>
      <c r="F1869" s="82" t="s">
        <v>441</v>
      </c>
      <c r="G1869" s="65" t="s">
        <v>74</v>
      </c>
      <c r="H1869" s="65" t="s">
        <v>352</v>
      </c>
      <c r="I1869" s="65" t="s">
        <v>126</v>
      </c>
      <c r="J1869" s="83" t="n">
        <v>56.6</v>
      </c>
      <c r="K1869" s="84" t="n">
        <v>570000</v>
      </c>
      <c r="L1869" s="85" t="n">
        <f aca="false">K1869/J1869</f>
        <v>10070.6713780919</v>
      </c>
      <c r="M1869" s="90"/>
      <c r="N1869" s="87"/>
      <c r="O1869" s="88" t="n">
        <f aca="false">K1869+N1869</f>
        <v>570000</v>
      </c>
      <c r="P1869" s="85" t="n">
        <f aca="false">O1869/J1869</f>
        <v>10070.6713780919</v>
      </c>
      <c r="Q1869" s="83" t="s">
        <v>2764</v>
      </c>
      <c r="R1869" s="65" t="s">
        <v>26</v>
      </c>
      <c r="S1869" s="19" t="s">
        <v>29</v>
      </c>
      <c r="T1869" s="19" t="s">
        <v>30</v>
      </c>
      <c r="U1869" s="19" t="s">
        <v>31</v>
      </c>
      <c r="V1869" s="22" t="s">
        <v>2184</v>
      </c>
      <c r="W1869" s="18"/>
      <c r="X1869" s="18"/>
    </row>
    <row r="1870" customFormat="false" ht="13.8" hidden="false" customHeight="false" outlineLevel="0" collapsed="false">
      <c r="A1870" s="18"/>
      <c r="B1870" s="65" t="s">
        <v>2765</v>
      </c>
      <c r="C1870" s="81" t="n">
        <v>43670</v>
      </c>
      <c r="D1870" s="38" t="s">
        <v>22</v>
      </c>
      <c r="E1870" s="65" t="s">
        <v>75</v>
      </c>
      <c r="F1870" s="82" t="s">
        <v>528</v>
      </c>
      <c r="G1870" s="65" t="s">
        <v>472</v>
      </c>
      <c r="H1870" s="65" t="s">
        <v>82</v>
      </c>
      <c r="I1870" s="65" t="s">
        <v>49</v>
      </c>
      <c r="J1870" s="83" t="n">
        <v>99.3</v>
      </c>
      <c r="K1870" s="84" t="n">
        <v>810000</v>
      </c>
      <c r="L1870" s="85" t="n">
        <f aca="false">K1870/J1870</f>
        <v>8157.0996978852</v>
      </c>
      <c r="M1870" s="111" t="s">
        <v>2766</v>
      </c>
      <c r="N1870" s="87"/>
      <c r="O1870" s="88" t="n">
        <f aca="false">K1870+N1870</f>
        <v>810000</v>
      </c>
      <c r="P1870" s="88" t="n">
        <f aca="false">O1870/J1870</f>
        <v>8157.0996978852</v>
      </c>
      <c r="Q1870" s="83" t="s">
        <v>2767</v>
      </c>
      <c r="R1870" s="65" t="s">
        <v>49</v>
      </c>
      <c r="S1870" s="19" t="s">
        <v>29</v>
      </c>
      <c r="T1870" s="19" t="s">
        <v>30</v>
      </c>
      <c r="U1870" s="19" t="s">
        <v>31</v>
      </c>
      <c r="V1870" s="22" t="s">
        <v>2184</v>
      </c>
      <c r="W1870" s="18"/>
      <c r="X1870" s="18"/>
    </row>
    <row r="1871" customFormat="false" ht="13.8" hidden="false" customHeight="false" outlineLevel="0" collapsed="false">
      <c r="A1871" s="18"/>
      <c r="B1871" s="65" t="s">
        <v>2768</v>
      </c>
      <c r="C1871" s="81" t="n">
        <v>43670</v>
      </c>
      <c r="D1871" s="38" t="s">
        <v>22</v>
      </c>
      <c r="E1871" s="65" t="s">
        <v>212</v>
      </c>
      <c r="F1871" s="82" t="s">
        <v>514</v>
      </c>
      <c r="G1871" s="65" t="s">
        <v>1794</v>
      </c>
      <c r="H1871" s="65" t="s">
        <v>2769</v>
      </c>
      <c r="I1871" s="65" t="s">
        <v>82</v>
      </c>
      <c r="J1871" s="83" t="n">
        <v>44.17</v>
      </c>
      <c r="K1871" s="84" t="n">
        <v>480000</v>
      </c>
      <c r="L1871" s="85" t="n">
        <f aca="false">K1871/J1871</f>
        <v>10867.1043694815</v>
      </c>
      <c r="M1871" s="90"/>
      <c r="N1871" s="87"/>
      <c r="O1871" s="66" t="n">
        <f aca="false">K1871+N1871</f>
        <v>480000</v>
      </c>
      <c r="P1871" s="88" t="n">
        <f aca="false">O1871/J1871</f>
        <v>10867.1043694815</v>
      </c>
      <c r="Q1871" s="83" t="s">
        <v>2770</v>
      </c>
      <c r="R1871" s="65" t="s">
        <v>26</v>
      </c>
      <c r="S1871" s="19" t="s">
        <v>29</v>
      </c>
      <c r="T1871" s="19" t="s">
        <v>30</v>
      </c>
      <c r="U1871" s="19" t="s">
        <v>31</v>
      </c>
      <c r="V1871" s="22" t="s">
        <v>2184</v>
      </c>
      <c r="W1871" s="18"/>
      <c r="X1871" s="18"/>
      <c r="Y1871" s="35"/>
      <c r="Z1871" s="36"/>
    </row>
    <row r="1872" customFormat="false" ht="13.8" hidden="false" customHeight="false" outlineLevel="0" collapsed="false">
      <c r="A1872" s="18"/>
      <c r="B1872" s="65" t="s">
        <v>2771</v>
      </c>
      <c r="C1872" s="81" t="n">
        <v>43670</v>
      </c>
      <c r="D1872" s="38" t="s">
        <v>22</v>
      </c>
      <c r="E1872" s="65" t="s">
        <v>42</v>
      </c>
      <c r="F1872" s="82" t="s">
        <v>1028</v>
      </c>
      <c r="G1872" s="65" t="s">
        <v>2772</v>
      </c>
      <c r="H1872" s="65" t="s">
        <v>101</v>
      </c>
      <c r="I1872" s="65" t="s">
        <v>26</v>
      </c>
      <c r="J1872" s="83" t="n">
        <v>34.4</v>
      </c>
      <c r="K1872" s="84" t="n">
        <v>430000</v>
      </c>
      <c r="L1872" s="85" t="n">
        <f aca="false">K1872/J1872</f>
        <v>12500</v>
      </c>
      <c r="M1872" s="90"/>
      <c r="N1872" s="87"/>
      <c r="O1872" s="88" t="n">
        <f aca="false">K1872+N1872</f>
        <v>430000</v>
      </c>
      <c r="P1872" s="88" t="n">
        <f aca="false">O1872/J1872</f>
        <v>12500</v>
      </c>
      <c r="Q1872" s="83" t="s">
        <v>2773</v>
      </c>
      <c r="R1872" s="65" t="s">
        <v>26</v>
      </c>
      <c r="S1872" s="19" t="s">
        <v>29</v>
      </c>
      <c r="T1872" s="19" t="s">
        <v>30</v>
      </c>
      <c r="U1872" s="19" t="s">
        <v>31</v>
      </c>
      <c r="V1872" s="22" t="s">
        <v>2184</v>
      </c>
      <c r="W1872" s="18"/>
      <c r="X1872" s="18"/>
    </row>
    <row r="1873" customFormat="false" ht="13.8" hidden="false" customHeight="false" outlineLevel="0" collapsed="false">
      <c r="A1873" s="18"/>
      <c r="B1873" s="62" t="n">
        <v>10970</v>
      </c>
      <c r="C1873" s="81" t="n">
        <v>43671</v>
      </c>
      <c r="D1873" s="38" t="s">
        <v>22</v>
      </c>
      <c r="E1873" s="22" t="s">
        <v>53</v>
      </c>
      <c r="F1873" s="82" t="s">
        <v>366</v>
      </c>
      <c r="G1873" s="65" t="s">
        <v>141</v>
      </c>
      <c r="H1873" s="112" t="s">
        <v>743</v>
      </c>
      <c r="I1873" s="112" t="s">
        <v>27</v>
      </c>
      <c r="J1873" s="83" t="n">
        <v>48.2</v>
      </c>
      <c r="K1873" s="84" t="n">
        <v>425000</v>
      </c>
      <c r="L1873" s="113" t="n">
        <f aca="false">K1873/J1873</f>
        <v>8817.42738589212</v>
      </c>
      <c r="M1873" s="114"/>
      <c r="N1873" s="93"/>
      <c r="O1873" s="88" t="n">
        <f aca="false">K1873+N1873</f>
        <v>425000</v>
      </c>
      <c r="P1873" s="88" t="n">
        <f aca="false">O1873/J1873</f>
        <v>8817.42738589212</v>
      </c>
      <c r="Q1873" s="83" t="s">
        <v>2774</v>
      </c>
      <c r="R1873" s="65" t="s">
        <v>26</v>
      </c>
      <c r="S1873" s="19" t="s">
        <v>29</v>
      </c>
      <c r="T1873" s="19" t="s">
        <v>30</v>
      </c>
      <c r="U1873" s="19" t="s">
        <v>31</v>
      </c>
      <c r="V1873" s="22" t="s">
        <v>2184</v>
      </c>
      <c r="W1873" s="18"/>
      <c r="X1873" s="18"/>
    </row>
    <row r="1874" customFormat="false" ht="13.8" hidden="false" customHeight="false" outlineLevel="0" collapsed="false">
      <c r="A1874" s="18"/>
      <c r="B1874" s="65" t="s">
        <v>2775</v>
      </c>
      <c r="C1874" s="81" t="n">
        <v>43671</v>
      </c>
      <c r="D1874" s="38" t="s">
        <v>22</v>
      </c>
      <c r="E1874" s="22" t="s">
        <v>517</v>
      </c>
      <c r="F1874" s="82" t="s">
        <v>592</v>
      </c>
      <c r="G1874" s="65" t="s">
        <v>143</v>
      </c>
      <c r="H1874" s="65" t="s">
        <v>126</v>
      </c>
      <c r="I1874" s="65" t="s">
        <v>36</v>
      </c>
      <c r="J1874" s="83" t="n">
        <v>51.8</v>
      </c>
      <c r="K1874" s="84" t="n">
        <v>485000</v>
      </c>
      <c r="L1874" s="85" t="n">
        <f aca="false">K1874/J1874</f>
        <v>9362.93436293436</v>
      </c>
      <c r="M1874" s="90"/>
      <c r="N1874" s="87"/>
      <c r="O1874" s="88" t="n">
        <f aca="false">K1874+N1874</f>
        <v>485000</v>
      </c>
      <c r="P1874" s="88" t="n">
        <f aca="false">O1874/J1874</f>
        <v>9362.93436293436</v>
      </c>
      <c r="Q1874" s="65" t="s">
        <v>2776</v>
      </c>
      <c r="R1874" s="65" t="s">
        <v>49</v>
      </c>
      <c r="S1874" s="19" t="s">
        <v>29</v>
      </c>
      <c r="T1874" s="19" t="s">
        <v>30</v>
      </c>
      <c r="U1874" s="19" t="s">
        <v>31</v>
      </c>
      <c r="V1874" s="22" t="s">
        <v>2184</v>
      </c>
      <c r="W1874" s="18"/>
      <c r="X1874" s="18"/>
    </row>
    <row r="1875" customFormat="false" ht="13.8" hidden="false" customHeight="false" outlineLevel="0" collapsed="false">
      <c r="A1875" s="18"/>
      <c r="B1875" s="65" t="s">
        <v>2777</v>
      </c>
      <c r="C1875" s="81" t="n">
        <v>43672</v>
      </c>
      <c r="D1875" s="38" t="s">
        <v>22</v>
      </c>
      <c r="E1875" s="22" t="s">
        <v>350</v>
      </c>
      <c r="F1875" s="91" t="s">
        <v>323</v>
      </c>
      <c r="G1875" s="65" t="s">
        <v>2778</v>
      </c>
      <c r="H1875" s="65" t="s">
        <v>222</v>
      </c>
      <c r="I1875" s="65" t="s">
        <v>82</v>
      </c>
      <c r="J1875" s="83" t="n">
        <v>49.89</v>
      </c>
      <c r="K1875" s="84" t="n">
        <v>630000</v>
      </c>
      <c r="L1875" s="85" t="n">
        <f aca="false">K1875/J1875</f>
        <v>12627.7811184606</v>
      </c>
      <c r="M1875" s="90" t="s">
        <v>940</v>
      </c>
      <c r="N1875" s="87" t="n">
        <v>39000</v>
      </c>
      <c r="O1875" s="88" t="n">
        <f aca="false">K1875+N1875</f>
        <v>669000</v>
      </c>
      <c r="P1875" s="85" t="n">
        <f aca="false">O1875/J1875</f>
        <v>13409.5009019844</v>
      </c>
      <c r="Q1875" s="65"/>
      <c r="R1875" s="65" t="s">
        <v>36</v>
      </c>
      <c r="S1875" s="19" t="s">
        <v>29</v>
      </c>
      <c r="T1875" s="19" t="s">
        <v>30</v>
      </c>
      <c r="U1875" s="19" t="s">
        <v>31</v>
      </c>
      <c r="V1875" s="22" t="s">
        <v>2184</v>
      </c>
      <c r="W1875" s="23"/>
      <c r="X1875" s="110"/>
    </row>
    <row r="1876" customFormat="false" ht="13.8" hidden="false" customHeight="false" outlineLevel="0" collapsed="false">
      <c r="A1876" s="18"/>
      <c r="B1876" s="62" t="n">
        <v>5713</v>
      </c>
      <c r="C1876" s="81" t="n">
        <v>43672</v>
      </c>
      <c r="D1876" s="38" t="s">
        <v>22</v>
      </c>
      <c r="E1876" s="65" t="s">
        <v>187</v>
      </c>
      <c r="F1876" s="82" t="s">
        <v>127</v>
      </c>
      <c r="G1876" s="65" t="s">
        <v>840</v>
      </c>
      <c r="H1876" s="112" t="s">
        <v>49</v>
      </c>
      <c r="I1876" s="112" t="s">
        <v>36</v>
      </c>
      <c r="J1876" s="83" t="n">
        <v>50.73</v>
      </c>
      <c r="K1876" s="84" t="n">
        <v>540000</v>
      </c>
      <c r="L1876" s="113" t="n">
        <f aca="false">K1876/J1876</f>
        <v>10644.5890005914</v>
      </c>
      <c r="M1876" s="114"/>
      <c r="N1876" s="93"/>
      <c r="O1876" s="88" t="n">
        <f aca="false">K1876+N1876</f>
        <v>540000</v>
      </c>
      <c r="P1876" s="88" t="n">
        <f aca="false">O1876/J1876</f>
        <v>10644.5890005914</v>
      </c>
      <c r="Q1876" s="83" t="s">
        <v>2779</v>
      </c>
      <c r="R1876" s="65" t="s">
        <v>49</v>
      </c>
      <c r="S1876" s="19" t="s">
        <v>29</v>
      </c>
      <c r="T1876" s="19" t="s">
        <v>30</v>
      </c>
      <c r="U1876" s="19" t="s">
        <v>31</v>
      </c>
      <c r="V1876" s="22" t="s">
        <v>2184</v>
      </c>
      <c r="W1876" s="18"/>
      <c r="X1876" s="18"/>
    </row>
    <row r="1877" customFormat="false" ht="13.8" hidden="false" customHeight="false" outlineLevel="0" collapsed="false">
      <c r="A1877" s="18"/>
      <c r="B1877" s="65" t="s">
        <v>2780</v>
      </c>
      <c r="C1877" s="81" t="n">
        <v>43672</v>
      </c>
      <c r="D1877" s="115" t="s">
        <v>22</v>
      </c>
      <c r="E1877" s="65" t="s">
        <v>452</v>
      </c>
      <c r="F1877" s="82" t="s">
        <v>199</v>
      </c>
      <c r="G1877" s="65" t="s">
        <v>101</v>
      </c>
      <c r="H1877" s="65" t="s">
        <v>226</v>
      </c>
      <c r="I1877" s="65" t="s">
        <v>82</v>
      </c>
      <c r="J1877" s="83" t="n">
        <v>34.7</v>
      </c>
      <c r="K1877" s="84" t="n">
        <v>298000</v>
      </c>
      <c r="L1877" s="85" t="n">
        <f aca="false">K1877/J1877</f>
        <v>8587.8962536023</v>
      </c>
      <c r="M1877" s="18"/>
      <c r="N1877" s="87"/>
      <c r="O1877" s="88" t="n">
        <v>298000</v>
      </c>
      <c r="P1877" s="88" t="n">
        <v>8587.8962536023</v>
      </c>
      <c r="Q1877" s="83" t="s">
        <v>2781</v>
      </c>
      <c r="R1877" s="65" t="s">
        <v>36</v>
      </c>
      <c r="S1877" s="65" t="s">
        <v>29</v>
      </c>
      <c r="T1877" s="65" t="s">
        <v>30</v>
      </c>
      <c r="U1877" s="24" t="s">
        <v>31</v>
      </c>
      <c r="V1877" s="89" t="n">
        <v>43881</v>
      </c>
      <c r="W1877" s="18" t="s">
        <v>2782</v>
      </c>
      <c r="X1877" s="18"/>
    </row>
    <row r="1878" customFormat="false" ht="13.8" hidden="false" customHeight="false" outlineLevel="0" collapsed="false">
      <c r="A1878" s="18"/>
      <c r="B1878" s="65" t="s">
        <v>2783</v>
      </c>
      <c r="C1878" s="81" t="n">
        <v>43675</v>
      </c>
      <c r="D1878" s="38" t="s">
        <v>22</v>
      </c>
      <c r="E1878" s="22" t="s">
        <v>517</v>
      </c>
      <c r="F1878" s="82" t="s">
        <v>518</v>
      </c>
      <c r="G1878" s="65" t="s">
        <v>2784</v>
      </c>
      <c r="H1878" s="65" t="s">
        <v>821</v>
      </c>
      <c r="I1878" s="65" t="s">
        <v>112</v>
      </c>
      <c r="J1878" s="83" t="n">
        <v>36.8</v>
      </c>
      <c r="K1878" s="84" t="n">
        <v>392000</v>
      </c>
      <c r="L1878" s="85" t="n">
        <f aca="false">K1878/J1878</f>
        <v>10652.1739130435</v>
      </c>
      <c r="M1878" s="90"/>
      <c r="N1878" s="87"/>
      <c r="O1878" s="66" t="n">
        <f aca="false">K1878+N1878</f>
        <v>392000</v>
      </c>
      <c r="P1878" s="88" t="n">
        <f aca="false">O1878/J1878</f>
        <v>10652.1739130435</v>
      </c>
      <c r="Q1878" s="83" t="s">
        <v>2770</v>
      </c>
      <c r="R1878" s="65" t="s">
        <v>26</v>
      </c>
      <c r="S1878" s="19" t="s">
        <v>29</v>
      </c>
      <c r="T1878" s="19" t="s">
        <v>30</v>
      </c>
      <c r="U1878" s="19" t="s">
        <v>31</v>
      </c>
      <c r="V1878" s="22" t="s">
        <v>2184</v>
      </c>
      <c r="W1878" s="18"/>
      <c r="X1878" s="18"/>
      <c r="Y1878" s="116"/>
    </row>
    <row r="1879" customFormat="false" ht="13.8" hidden="false" customHeight="false" outlineLevel="0" collapsed="false">
      <c r="A1879" s="18"/>
      <c r="B1879" s="65" t="s">
        <v>2785</v>
      </c>
      <c r="C1879" s="81" t="n">
        <v>43675</v>
      </c>
      <c r="D1879" s="38" t="s">
        <v>22</v>
      </c>
      <c r="E1879" s="22" t="s">
        <v>354</v>
      </c>
      <c r="F1879" s="82" t="s">
        <v>355</v>
      </c>
      <c r="G1879" s="65" t="s">
        <v>57</v>
      </c>
      <c r="H1879" s="65" t="s">
        <v>200</v>
      </c>
      <c r="I1879" s="65" t="s">
        <v>26</v>
      </c>
      <c r="J1879" s="83" t="n">
        <v>44.1</v>
      </c>
      <c r="K1879" s="84" t="n">
        <f aca="false">208750*2</f>
        <v>417500</v>
      </c>
      <c r="L1879" s="85" t="n">
        <f aca="false">K1879/J1879</f>
        <v>9467.12018140589</v>
      </c>
      <c r="M1879" s="109" t="s">
        <v>2786</v>
      </c>
      <c r="N1879" s="87"/>
      <c r="O1879" s="88" t="n">
        <f aca="false">K1879+N1879</f>
        <v>417500</v>
      </c>
      <c r="P1879" s="85" t="n">
        <f aca="false">O1879/J1879</f>
        <v>9467.12018140589</v>
      </c>
      <c r="Q1879" s="65" t="s">
        <v>2773</v>
      </c>
      <c r="R1879" s="65" t="s">
        <v>26</v>
      </c>
      <c r="S1879" s="19" t="s">
        <v>29</v>
      </c>
      <c r="T1879" s="19" t="s">
        <v>30</v>
      </c>
      <c r="U1879" s="19" t="s">
        <v>31</v>
      </c>
      <c r="V1879" s="22" t="s">
        <v>2184</v>
      </c>
      <c r="W1879" s="18"/>
      <c r="X1879" s="18"/>
      <c r="Y1879" s="116"/>
    </row>
    <row r="1880" customFormat="false" ht="13.8" hidden="false" customHeight="false" outlineLevel="0" collapsed="false">
      <c r="A1880" s="18"/>
      <c r="B1880" s="65" t="s">
        <v>2787</v>
      </c>
      <c r="C1880" s="81" t="n">
        <v>43675</v>
      </c>
      <c r="D1880" s="115" t="s">
        <v>22</v>
      </c>
      <c r="E1880" s="65" t="s">
        <v>281</v>
      </c>
      <c r="F1880" s="82" t="s">
        <v>404</v>
      </c>
      <c r="G1880" s="65" t="s">
        <v>521</v>
      </c>
      <c r="H1880" s="65" t="s">
        <v>105</v>
      </c>
      <c r="I1880" s="65" t="s">
        <v>49</v>
      </c>
      <c r="J1880" s="83" t="n">
        <v>42.24</v>
      </c>
      <c r="K1880" s="84" t="n">
        <v>442000</v>
      </c>
      <c r="L1880" s="85" t="n">
        <f aca="false">K1880/J1880</f>
        <v>10464.0151515152</v>
      </c>
      <c r="M1880" s="90"/>
      <c r="N1880" s="87"/>
      <c r="O1880" s="88" t="n">
        <v>442000</v>
      </c>
      <c r="P1880" s="88" t="n">
        <v>10464.0151515152</v>
      </c>
      <c r="Q1880" s="83" t="s">
        <v>2788</v>
      </c>
      <c r="R1880" s="65" t="s">
        <v>36</v>
      </c>
      <c r="S1880" s="65" t="s">
        <v>29</v>
      </c>
      <c r="T1880" s="65" t="s">
        <v>30</v>
      </c>
      <c r="U1880" s="24" t="s">
        <v>31</v>
      </c>
      <c r="V1880" s="89" t="n">
        <v>43881</v>
      </c>
      <c r="W1880" s="18" t="s">
        <v>2789</v>
      </c>
      <c r="X1880" s="18"/>
    </row>
    <row r="1881" customFormat="false" ht="13.8" hidden="false" customHeight="false" outlineLevel="0" collapsed="false">
      <c r="A1881" s="18"/>
      <c r="B1881" s="65" t="s">
        <v>2790</v>
      </c>
      <c r="C1881" s="81" t="n">
        <v>43676</v>
      </c>
      <c r="D1881" s="38" t="s">
        <v>22</v>
      </c>
      <c r="E1881" s="65" t="s">
        <v>53</v>
      </c>
      <c r="F1881" s="82" t="s">
        <v>366</v>
      </c>
      <c r="G1881" s="65" t="s">
        <v>141</v>
      </c>
      <c r="H1881" s="65" t="s">
        <v>2791</v>
      </c>
      <c r="I1881" s="65" t="s">
        <v>143</v>
      </c>
      <c r="J1881" s="83" t="n">
        <v>45.7</v>
      </c>
      <c r="K1881" s="84" t="n">
        <v>399000</v>
      </c>
      <c r="L1881" s="85" t="n">
        <f aca="false">K1881/J1881</f>
        <v>8730.8533916849</v>
      </c>
      <c r="M1881" s="90" t="s">
        <v>2792</v>
      </c>
      <c r="N1881" s="87"/>
      <c r="O1881" s="88" t="n">
        <f aca="false">K1881+N1881</f>
        <v>399000</v>
      </c>
      <c r="P1881" s="88" t="n">
        <f aca="false">O1881/J1881</f>
        <v>8730.8533916849</v>
      </c>
      <c r="Q1881" s="65" t="s">
        <v>2793</v>
      </c>
      <c r="R1881" s="65" t="s">
        <v>26</v>
      </c>
      <c r="S1881" s="19" t="s">
        <v>29</v>
      </c>
      <c r="T1881" s="19" t="s">
        <v>30</v>
      </c>
      <c r="U1881" s="19" t="s">
        <v>31</v>
      </c>
      <c r="V1881" s="22" t="s">
        <v>2184</v>
      </c>
      <c r="W1881" s="18"/>
      <c r="X1881" s="18"/>
    </row>
    <row r="1882" customFormat="false" ht="13.8" hidden="false" customHeight="false" outlineLevel="0" collapsed="false">
      <c r="A1882" s="18"/>
      <c r="B1882" s="65" t="s">
        <v>2794</v>
      </c>
      <c r="C1882" s="81" t="n">
        <v>43676</v>
      </c>
      <c r="D1882" s="38" t="s">
        <v>22</v>
      </c>
      <c r="E1882" s="65" t="s">
        <v>2795</v>
      </c>
      <c r="F1882" s="91" t="s">
        <v>199</v>
      </c>
      <c r="G1882" s="65" t="s">
        <v>2796</v>
      </c>
      <c r="H1882" s="65" t="s">
        <v>635</v>
      </c>
      <c r="I1882" s="65" t="s">
        <v>49</v>
      </c>
      <c r="J1882" s="83" t="n">
        <f aca="false">52.18-3.01</f>
        <v>49.17</v>
      </c>
      <c r="K1882" s="88" t="n">
        <v>615000</v>
      </c>
      <c r="L1882" s="85" t="n">
        <f aca="false">K1882/J1882</f>
        <v>12507.6266015863</v>
      </c>
      <c r="M1882" s="92" t="s">
        <v>2797</v>
      </c>
      <c r="N1882" s="93"/>
      <c r="O1882" s="88" t="n">
        <f aca="false">K1882+N1882</f>
        <v>615000</v>
      </c>
      <c r="P1882" s="85" t="n">
        <f aca="false">O1882/J1882</f>
        <v>12507.6266015863</v>
      </c>
      <c r="Q1882" s="94" t="s">
        <v>2798</v>
      </c>
      <c r="R1882" s="65" t="s">
        <v>36</v>
      </c>
      <c r="S1882" s="19" t="s">
        <v>29</v>
      </c>
      <c r="T1882" s="19" t="s">
        <v>30</v>
      </c>
      <c r="U1882" s="19" t="s">
        <v>31</v>
      </c>
      <c r="V1882" s="22" t="s">
        <v>2184</v>
      </c>
      <c r="W1882" s="18"/>
      <c r="X1882" s="18"/>
    </row>
    <row r="1883" customFormat="false" ht="13.8" hidden="false" customHeight="false" outlineLevel="0" collapsed="false">
      <c r="A1883" s="18"/>
      <c r="B1883" s="62" t="n">
        <v>5914</v>
      </c>
      <c r="C1883" s="81" t="n">
        <v>43676</v>
      </c>
      <c r="D1883" s="38" t="s">
        <v>22</v>
      </c>
      <c r="E1883" s="65" t="s">
        <v>156</v>
      </c>
      <c r="F1883" s="82" t="s">
        <v>392</v>
      </c>
      <c r="G1883" s="65" t="s">
        <v>102</v>
      </c>
      <c r="H1883" s="112" t="s">
        <v>126</v>
      </c>
      <c r="I1883" s="112" t="s">
        <v>26</v>
      </c>
      <c r="J1883" s="83" t="n">
        <v>99.34</v>
      </c>
      <c r="K1883" s="84" t="n">
        <v>965000</v>
      </c>
      <c r="L1883" s="113" t="n">
        <f aca="false">K1883/J1883</f>
        <v>9714.11314676867</v>
      </c>
      <c r="M1883" s="114" t="s">
        <v>940</v>
      </c>
      <c r="N1883" s="93" t="n">
        <v>35000</v>
      </c>
      <c r="O1883" s="88" t="n">
        <f aca="false">K1883+N1883</f>
        <v>1000000</v>
      </c>
      <c r="P1883" s="88" t="n">
        <f aca="false">O1883/J1883</f>
        <v>10066.4384940608</v>
      </c>
      <c r="Q1883" s="83" t="s">
        <v>1057</v>
      </c>
      <c r="R1883" s="65" t="s">
        <v>57</v>
      </c>
      <c r="S1883" s="19" t="s">
        <v>29</v>
      </c>
      <c r="T1883" s="19" t="s">
        <v>30</v>
      </c>
      <c r="U1883" s="19" t="s">
        <v>31</v>
      </c>
      <c r="V1883" s="22" t="s">
        <v>2184</v>
      </c>
      <c r="W1883" s="18"/>
      <c r="X1883" s="18"/>
    </row>
    <row r="1884" customFormat="false" ht="13.8" hidden="false" customHeight="false" outlineLevel="0" collapsed="false">
      <c r="A1884" s="18"/>
      <c r="B1884" s="62" t="n">
        <v>3746</v>
      </c>
      <c r="C1884" s="81" t="n">
        <v>43676</v>
      </c>
      <c r="D1884" s="38" t="s">
        <v>22</v>
      </c>
      <c r="E1884" s="65" t="s">
        <v>206</v>
      </c>
      <c r="F1884" s="82" t="s">
        <v>191</v>
      </c>
      <c r="G1884" s="65" t="s">
        <v>101</v>
      </c>
      <c r="H1884" s="112" t="s">
        <v>226</v>
      </c>
      <c r="I1884" s="112" t="s">
        <v>57</v>
      </c>
      <c r="J1884" s="83" t="n">
        <v>35.14</v>
      </c>
      <c r="K1884" s="84" t="n">
        <v>390000</v>
      </c>
      <c r="L1884" s="113" t="n">
        <f aca="false">K1884/J1884</f>
        <v>11098.4632896984</v>
      </c>
      <c r="M1884" s="114"/>
      <c r="N1884" s="93"/>
      <c r="O1884" s="88" t="n">
        <f aca="false">K1884+N1884</f>
        <v>390000</v>
      </c>
      <c r="P1884" s="88" t="n">
        <f aca="false">O1884/J1884</f>
        <v>11098.4632896984</v>
      </c>
      <c r="Q1884" s="83" t="s">
        <v>2799</v>
      </c>
      <c r="R1884" s="65" t="s">
        <v>36</v>
      </c>
      <c r="S1884" s="19" t="s">
        <v>29</v>
      </c>
      <c r="T1884" s="19" t="s">
        <v>30</v>
      </c>
      <c r="U1884" s="19" t="s">
        <v>31</v>
      </c>
      <c r="V1884" s="22" t="s">
        <v>2184</v>
      </c>
      <c r="W1884" s="18"/>
      <c r="X1884" s="18"/>
    </row>
    <row r="1885" customFormat="false" ht="13.8" hidden="false" customHeight="false" outlineLevel="0" collapsed="false">
      <c r="A1885" s="18"/>
      <c r="B1885" s="65" t="s">
        <v>2800</v>
      </c>
      <c r="C1885" s="81" t="n">
        <v>43676</v>
      </c>
      <c r="D1885" s="38" t="s">
        <v>22</v>
      </c>
      <c r="E1885" s="65" t="s">
        <v>407</v>
      </c>
      <c r="F1885" s="82" t="s">
        <v>978</v>
      </c>
      <c r="G1885" s="65" t="s">
        <v>26</v>
      </c>
      <c r="H1885" s="65" t="s">
        <v>82</v>
      </c>
      <c r="I1885" s="65" t="s">
        <v>26</v>
      </c>
      <c r="J1885" s="83" t="n">
        <v>169.17</v>
      </c>
      <c r="K1885" s="84" t="n">
        <v>2251000</v>
      </c>
      <c r="L1885" s="85" t="n">
        <f aca="false">K1885/J1885</f>
        <v>13306.1417509015</v>
      </c>
      <c r="M1885" s="86" t="s">
        <v>2801</v>
      </c>
      <c r="N1885" s="87"/>
      <c r="O1885" s="88" t="n">
        <f aca="false">K1885+N1885</f>
        <v>2251000</v>
      </c>
      <c r="P1885" s="88" t="n">
        <f aca="false">O1885/J1885</f>
        <v>13306.1417509015</v>
      </c>
      <c r="Q1885" s="83" t="s">
        <v>2802</v>
      </c>
      <c r="R1885" s="65" t="s">
        <v>49</v>
      </c>
      <c r="S1885" s="19" t="s">
        <v>29</v>
      </c>
      <c r="T1885" s="19" t="s">
        <v>30</v>
      </c>
      <c r="U1885" s="19" t="s">
        <v>31</v>
      </c>
      <c r="V1885" s="22" t="s">
        <v>2184</v>
      </c>
      <c r="W1885" s="18"/>
      <c r="X1885" s="18"/>
      <c r="Y1885" s="116"/>
    </row>
    <row r="1886" customFormat="false" ht="13.8" hidden="false" customHeight="false" outlineLevel="0" collapsed="false">
      <c r="A1886" s="18"/>
      <c r="B1886" s="65" t="s">
        <v>2803</v>
      </c>
      <c r="C1886" s="81" t="n">
        <v>43677</v>
      </c>
      <c r="D1886" s="38" t="s">
        <v>22</v>
      </c>
      <c r="E1886" s="22" t="s">
        <v>665</v>
      </c>
      <c r="F1886" s="82" t="s">
        <v>666</v>
      </c>
      <c r="G1886" s="65" t="s">
        <v>141</v>
      </c>
      <c r="H1886" s="65" t="s">
        <v>120</v>
      </c>
      <c r="I1886" s="65" t="s">
        <v>25</v>
      </c>
      <c r="J1886" s="83" t="n">
        <f aca="false">39.1-1.8</f>
        <v>37.3</v>
      </c>
      <c r="K1886" s="84" t="n">
        <v>325585.7</v>
      </c>
      <c r="L1886" s="85" t="n">
        <f aca="false">K1886/J1886</f>
        <v>8728.83914209115</v>
      </c>
      <c r="M1886" s="86" t="s">
        <v>2804</v>
      </c>
      <c r="N1886" s="87"/>
      <c r="O1886" s="88" t="n">
        <f aca="false">K1886+N1886</f>
        <v>325585.7</v>
      </c>
      <c r="P1886" s="88" t="n">
        <f aca="false">O1886/J1886</f>
        <v>8728.83914209115</v>
      </c>
      <c r="Q1886" s="83" t="s">
        <v>952</v>
      </c>
      <c r="R1886" s="65" t="s">
        <v>26</v>
      </c>
      <c r="S1886" s="19" t="s">
        <v>29</v>
      </c>
      <c r="T1886" s="19" t="s">
        <v>30</v>
      </c>
      <c r="U1886" s="19" t="s">
        <v>31</v>
      </c>
      <c r="V1886" s="22" t="s">
        <v>2184</v>
      </c>
      <c r="W1886" s="18"/>
      <c r="X1886" s="18"/>
    </row>
    <row r="1887" customFormat="false" ht="13.8" hidden="false" customHeight="false" outlineLevel="0" collapsed="false">
      <c r="A1887" s="18"/>
      <c r="B1887" s="65" t="s">
        <v>2805</v>
      </c>
      <c r="C1887" s="81" t="n">
        <v>43677</v>
      </c>
      <c r="D1887" s="38" t="s">
        <v>22</v>
      </c>
      <c r="E1887" s="22" t="s">
        <v>203</v>
      </c>
      <c r="F1887" s="82" t="s">
        <v>138</v>
      </c>
      <c r="G1887" s="65" t="s">
        <v>112</v>
      </c>
      <c r="H1887" s="65" t="s">
        <v>2806</v>
      </c>
      <c r="I1887" s="65" t="s">
        <v>126</v>
      </c>
      <c r="J1887" s="83" t="n">
        <v>73.64</v>
      </c>
      <c r="K1887" s="84" t="n">
        <v>685000</v>
      </c>
      <c r="L1887" s="85" t="n">
        <f aca="false">K1887/J1887</f>
        <v>9302.00977729495</v>
      </c>
      <c r="M1887" s="90"/>
      <c r="N1887" s="87"/>
      <c r="O1887" s="66" t="n">
        <f aca="false">K1887+N1887</f>
        <v>685000</v>
      </c>
      <c r="P1887" s="88" t="n">
        <f aca="false">O1887/J1887</f>
        <v>9302.00977729495</v>
      </c>
      <c r="Q1887" s="83" t="s">
        <v>2807</v>
      </c>
      <c r="R1887" s="65" t="s">
        <v>26</v>
      </c>
      <c r="S1887" s="19" t="s">
        <v>29</v>
      </c>
      <c r="T1887" s="19" t="s">
        <v>30</v>
      </c>
      <c r="U1887" s="19" t="s">
        <v>31</v>
      </c>
      <c r="V1887" s="22" t="s">
        <v>2184</v>
      </c>
      <c r="W1887" s="18"/>
      <c r="X1887" s="18"/>
    </row>
    <row r="1888" customFormat="false" ht="13.8" hidden="false" customHeight="false" outlineLevel="0" collapsed="false">
      <c r="A1888" s="18"/>
      <c r="B1888" s="62" t="n">
        <v>4196</v>
      </c>
      <c r="C1888" s="81" t="n">
        <v>43677</v>
      </c>
      <c r="D1888" s="38" t="s">
        <v>22</v>
      </c>
      <c r="E1888" s="65" t="s">
        <v>140</v>
      </c>
      <c r="F1888" s="82" t="s">
        <v>138</v>
      </c>
      <c r="G1888" s="65" t="s">
        <v>939</v>
      </c>
      <c r="H1888" s="112" t="s">
        <v>442</v>
      </c>
      <c r="I1888" s="112" t="s">
        <v>101</v>
      </c>
      <c r="J1888" s="83" t="n">
        <v>55.48</v>
      </c>
      <c r="K1888" s="84" t="n">
        <v>570000</v>
      </c>
      <c r="L1888" s="113" t="n">
        <f aca="false">K1888/J1888</f>
        <v>10273.9726027397</v>
      </c>
      <c r="M1888" s="114" t="s">
        <v>2734</v>
      </c>
      <c r="N1888" s="93"/>
      <c r="O1888" s="88" t="n">
        <f aca="false">K1888+N1888</f>
        <v>570000</v>
      </c>
      <c r="P1888" s="88" t="n">
        <f aca="false">O1888/J1888</f>
        <v>10273.9726027397</v>
      </c>
      <c r="Q1888" s="83" t="s">
        <v>2808</v>
      </c>
      <c r="R1888" s="65" t="s">
        <v>36</v>
      </c>
      <c r="S1888" s="19" t="s">
        <v>29</v>
      </c>
      <c r="T1888" s="19" t="s">
        <v>30</v>
      </c>
      <c r="U1888" s="19" t="s">
        <v>31</v>
      </c>
      <c r="V1888" s="22" t="s">
        <v>2184</v>
      </c>
      <c r="W1888" s="18"/>
      <c r="X1888" s="18"/>
    </row>
    <row r="1889" customFormat="false" ht="13.8" hidden="false" customHeight="false" outlineLevel="0" collapsed="false">
      <c r="A1889" s="18"/>
      <c r="B1889" s="65" t="s">
        <v>2809</v>
      </c>
      <c r="C1889" s="81" t="n">
        <v>43677</v>
      </c>
      <c r="D1889" s="38" t="s">
        <v>22</v>
      </c>
      <c r="E1889" s="65" t="s">
        <v>175</v>
      </c>
      <c r="F1889" s="82" t="s">
        <v>176</v>
      </c>
      <c r="G1889" s="65" t="s">
        <v>587</v>
      </c>
      <c r="H1889" s="65" t="s">
        <v>259</v>
      </c>
      <c r="I1889" s="65" t="s">
        <v>26</v>
      </c>
      <c r="J1889" s="83" t="n">
        <v>67.97</v>
      </c>
      <c r="K1889" s="84" t="n">
        <v>720800</v>
      </c>
      <c r="L1889" s="85" t="n">
        <f aca="false">K1889/J1889</f>
        <v>10604.6785346476</v>
      </c>
      <c r="M1889" s="90" t="s">
        <v>189</v>
      </c>
      <c r="N1889" s="87"/>
      <c r="O1889" s="88" t="n">
        <f aca="false">K1889+N1889</f>
        <v>720800</v>
      </c>
      <c r="P1889" s="88" t="n">
        <f aca="false">O1889/J1889</f>
        <v>10604.6785346476</v>
      </c>
      <c r="Q1889" s="65" t="s">
        <v>2810</v>
      </c>
      <c r="R1889" s="65" t="s">
        <v>26</v>
      </c>
      <c r="S1889" s="19" t="s">
        <v>29</v>
      </c>
      <c r="T1889" s="19" t="s">
        <v>30</v>
      </c>
      <c r="U1889" s="19" t="s">
        <v>31</v>
      </c>
      <c r="V1889" s="22" t="s">
        <v>2184</v>
      </c>
      <c r="W1889" s="18"/>
      <c r="X1889" s="18"/>
    </row>
    <row r="1890" customFormat="false" ht="13.8" hidden="false" customHeight="false" outlineLevel="0" collapsed="false">
      <c r="A1890" s="18"/>
      <c r="B1890" s="65" t="s">
        <v>2811</v>
      </c>
      <c r="C1890" s="81" t="n">
        <v>43677</v>
      </c>
      <c r="D1890" s="38" t="s">
        <v>22</v>
      </c>
      <c r="E1890" s="22" t="s">
        <v>118</v>
      </c>
      <c r="F1890" s="82" t="s">
        <v>2812</v>
      </c>
      <c r="G1890" s="65" t="s">
        <v>25</v>
      </c>
      <c r="H1890" s="65" t="s">
        <v>188</v>
      </c>
      <c r="I1890" s="65" t="s">
        <v>25</v>
      </c>
      <c r="J1890" s="83" t="n">
        <v>41.7</v>
      </c>
      <c r="K1890" s="84" t="n">
        <v>395000</v>
      </c>
      <c r="L1890" s="85" t="n">
        <f aca="false">K1890/J1890</f>
        <v>9472.42206235012</v>
      </c>
      <c r="M1890" s="86"/>
      <c r="N1890" s="87"/>
      <c r="O1890" s="88" t="n">
        <f aca="false">K1890+N1890</f>
        <v>395000</v>
      </c>
      <c r="P1890" s="88" t="n">
        <f aca="false">O1890/J1890</f>
        <v>9472.42206235012</v>
      </c>
      <c r="Q1890" s="83" t="s">
        <v>2774</v>
      </c>
      <c r="R1890" s="65" t="s">
        <v>26</v>
      </c>
      <c r="S1890" s="19" t="s">
        <v>29</v>
      </c>
      <c r="T1890" s="19" t="s">
        <v>30</v>
      </c>
      <c r="U1890" s="19" t="s">
        <v>31</v>
      </c>
      <c r="V1890" s="22" t="s">
        <v>2184</v>
      </c>
      <c r="W1890" s="18"/>
      <c r="X1890" s="18"/>
    </row>
    <row r="1891" customFormat="false" ht="13.8" hidden="false" customHeight="false" outlineLevel="0" collapsed="false">
      <c r="A1891" s="18"/>
      <c r="B1891" s="65" t="s">
        <v>2813</v>
      </c>
      <c r="C1891" s="81" t="n">
        <v>43677</v>
      </c>
      <c r="D1891" s="38" t="s">
        <v>22</v>
      </c>
      <c r="E1891" s="22" t="s">
        <v>1617</v>
      </c>
      <c r="F1891" s="91" t="s">
        <v>983</v>
      </c>
      <c r="G1891" s="65" t="s">
        <v>111</v>
      </c>
      <c r="H1891" s="65" t="s">
        <v>154</v>
      </c>
      <c r="I1891" s="65" t="s">
        <v>27</v>
      </c>
      <c r="J1891" s="83" t="n">
        <v>65.5</v>
      </c>
      <c r="K1891" s="84" t="n">
        <v>706000</v>
      </c>
      <c r="L1891" s="85" t="n">
        <f aca="false">K1891/J1891</f>
        <v>10778.6259541985</v>
      </c>
      <c r="M1891" s="92"/>
      <c r="N1891" s="93"/>
      <c r="O1891" s="88" t="n">
        <f aca="false">K1891+N1891</f>
        <v>706000</v>
      </c>
      <c r="P1891" s="85" t="n">
        <f aca="false">O1891/J1891</f>
        <v>10778.6259541985</v>
      </c>
      <c r="Q1891" s="65" t="s">
        <v>2760</v>
      </c>
      <c r="R1891" s="65" t="s">
        <v>49</v>
      </c>
      <c r="S1891" s="19" t="s">
        <v>29</v>
      </c>
      <c r="T1891" s="19" t="s">
        <v>30</v>
      </c>
      <c r="U1891" s="19" t="s">
        <v>31</v>
      </c>
      <c r="V1891" s="22" t="s">
        <v>2184</v>
      </c>
      <c r="W1891" s="18"/>
      <c r="X1891" s="18"/>
    </row>
    <row r="1892" customFormat="false" ht="13.8" hidden="false" customHeight="false" outlineLevel="0" collapsed="false">
      <c r="A1892" s="18"/>
      <c r="B1892" s="65" t="s">
        <v>2814</v>
      </c>
      <c r="C1892" s="81" t="n">
        <v>43678</v>
      </c>
      <c r="D1892" s="38" t="s">
        <v>22</v>
      </c>
      <c r="E1892" s="22" t="s">
        <v>80</v>
      </c>
      <c r="F1892" s="91" t="s">
        <v>81</v>
      </c>
      <c r="G1892" s="65" t="s">
        <v>26</v>
      </c>
      <c r="H1892" s="65" t="s">
        <v>2815</v>
      </c>
      <c r="I1892" s="65" t="s">
        <v>49</v>
      </c>
      <c r="J1892" s="83" t="n">
        <v>150.26</v>
      </c>
      <c r="K1892" s="88" t="n">
        <v>2644500</v>
      </c>
      <c r="L1892" s="85" t="n">
        <f aca="false">K1892/J1892</f>
        <v>17599.4942100359</v>
      </c>
      <c r="M1892" s="92" t="s">
        <v>2431</v>
      </c>
      <c r="N1892" s="93" t="n">
        <v>80000</v>
      </c>
      <c r="O1892" s="88" t="n">
        <f aca="false">K1892+N1892</f>
        <v>2724500</v>
      </c>
      <c r="P1892" s="85" t="n">
        <f aca="false">O1892/J1892</f>
        <v>18131.9046985226</v>
      </c>
      <c r="Q1892" s="94" t="s">
        <v>2816</v>
      </c>
      <c r="R1892" s="65" t="s">
        <v>57</v>
      </c>
      <c r="S1892" s="19" t="s">
        <v>29</v>
      </c>
      <c r="T1892" s="19" t="s">
        <v>30</v>
      </c>
      <c r="U1892" s="19" t="s">
        <v>31</v>
      </c>
      <c r="V1892" s="22" t="s">
        <v>2184</v>
      </c>
      <c r="W1892" s="18"/>
      <c r="X1892" s="18"/>
    </row>
    <row r="1893" customFormat="false" ht="13.8" hidden="false" customHeight="false" outlineLevel="0" collapsed="false">
      <c r="A1893" s="18"/>
      <c r="B1893" s="65" t="s">
        <v>2817</v>
      </c>
      <c r="C1893" s="81" t="n">
        <v>43678</v>
      </c>
      <c r="D1893" s="38" t="s">
        <v>22</v>
      </c>
      <c r="E1893" s="22" t="s">
        <v>190</v>
      </c>
      <c r="F1893" s="82" t="s">
        <v>591</v>
      </c>
      <c r="G1893" s="65" t="s">
        <v>120</v>
      </c>
      <c r="H1893" s="65" t="s">
        <v>427</v>
      </c>
      <c r="I1893" s="65" t="s">
        <v>36</v>
      </c>
      <c r="J1893" s="83" t="n">
        <v>72.64</v>
      </c>
      <c r="K1893" s="84" t="n">
        <v>860000</v>
      </c>
      <c r="L1893" s="85" t="n">
        <f aca="false">K1893/J1893</f>
        <v>11839.2070484582</v>
      </c>
      <c r="M1893" s="90"/>
      <c r="N1893" s="87"/>
      <c r="O1893" s="66" t="n">
        <f aca="false">K1893+N1893</f>
        <v>860000</v>
      </c>
      <c r="P1893" s="88" t="n">
        <f aca="false">O1893/J1893</f>
        <v>11839.2070484582</v>
      </c>
      <c r="Q1893" s="83" t="s">
        <v>2807</v>
      </c>
      <c r="R1893" s="65" t="s">
        <v>26</v>
      </c>
      <c r="S1893" s="19" t="s">
        <v>29</v>
      </c>
      <c r="T1893" s="19" t="s">
        <v>30</v>
      </c>
      <c r="U1893" s="19" t="s">
        <v>31</v>
      </c>
      <c r="V1893" s="22" t="s">
        <v>2184</v>
      </c>
      <c r="W1893" s="18"/>
      <c r="X1893" s="18"/>
    </row>
    <row r="1894" customFormat="false" ht="13.8" hidden="false" customHeight="false" outlineLevel="0" collapsed="false">
      <c r="A1894" s="18"/>
      <c r="B1894" s="62" t="n">
        <v>5133</v>
      </c>
      <c r="C1894" s="81" t="n">
        <v>43678</v>
      </c>
      <c r="D1894" s="38" t="s">
        <v>22</v>
      </c>
      <c r="E1894" s="22" t="s">
        <v>622</v>
      </c>
      <c r="F1894" s="82" t="s">
        <v>152</v>
      </c>
      <c r="G1894" s="65" t="s">
        <v>25</v>
      </c>
      <c r="H1894" s="112" t="s">
        <v>217</v>
      </c>
      <c r="I1894" s="112" t="s">
        <v>36</v>
      </c>
      <c r="J1894" s="83" t="n">
        <v>25.74</v>
      </c>
      <c r="K1894" s="84" t="n">
        <v>300000</v>
      </c>
      <c r="L1894" s="113" t="n">
        <f aca="false">K1894/J1894</f>
        <v>11655.0116550117</v>
      </c>
      <c r="M1894" s="114"/>
      <c r="N1894" s="93"/>
      <c r="O1894" s="88" t="n">
        <f aca="false">K1894+N1894</f>
        <v>300000</v>
      </c>
      <c r="P1894" s="88" t="n">
        <f aca="false">O1894/J1894</f>
        <v>11655.0116550117</v>
      </c>
      <c r="Q1894" s="83" t="s">
        <v>2818</v>
      </c>
      <c r="R1894" s="65" t="s">
        <v>36</v>
      </c>
      <c r="S1894" s="19" t="s">
        <v>29</v>
      </c>
      <c r="T1894" s="19" t="s">
        <v>30</v>
      </c>
      <c r="U1894" s="19" t="s">
        <v>31</v>
      </c>
      <c r="V1894" s="22" t="s">
        <v>2184</v>
      </c>
      <c r="W1894" s="18"/>
      <c r="X1894" s="18"/>
    </row>
    <row r="1895" customFormat="false" ht="13.8" hidden="false" customHeight="false" outlineLevel="0" collapsed="false">
      <c r="A1895" s="18"/>
      <c r="B1895" s="65" t="s">
        <v>2819</v>
      </c>
      <c r="C1895" s="81" t="n">
        <v>43678</v>
      </c>
      <c r="D1895" s="38" t="s">
        <v>22</v>
      </c>
      <c r="E1895" s="65" t="s">
        <v>302</v>
      </c>
      <c r="F1895" s="82" t="s">
        <v>544</v>
      </c>
      <c r="G1895" s="65" t="s">
        <v>1165</v>
      </c>
      <c r="H1895" s="65" t="s">
        <v>286</v>
      </c>
      <c r="I1895" s="65" t="s">
        <v>57</v>
      </c>
      <c r="J1895" s="83" t="n">
        <v>49.49</v>
      </c>
      <c r="K1895" s="84" t="n">
        <v>599999</v>
      </c>
      <c r="L1895" s="85" t="n">
        <f aca="false">K1895/J1895</f>
        <v>12123.6411396242</v>
      </c>
      <c r="M1895" s="86"/>
      <c r="N1895" s="87"/>
      <c r="O1895" s="88" t="n">
        <f aca="false">K1895+N1895</f>
        <v>599999</v>
      </c>
      <c r="P1895" s="88" t="n">
        <f aca="false">O1895/J1895</f>
        <v>12123.6411396242</v>
      </c>
      <c r="Q1895" s="83" t="s">
        <v>2820</v>
      </c>
      <c r="R1895" s="65" t="s">
        <v>26</v>
      </c>
      <c r="S1895" s="19" t="s">
        <v>29</v>
      </c>
      <c r="T1895" s="19" t="s">
        <v>30</v>
      </c>
      <c r="U1895" s="19" t="s">
        <v>31</v>
      </c>
      <c r="V1895" s="22" t="s">
        <v>2184</v>
      </c>
      <c r="W1895" s="18"/>
      <c r="X1895" s="18"/>
    </row>
    <row r="1896" customFormat="false" ht="13.8" hidden="false" customHeight="false" outlineLevel="0" collapsed="false">
      <c r="A1896" s="18"/>
      <c r="B1896" s="62" t="n">
        <v>2049</v>
      </c>
      <c r="C1896" s="81" t="n">
        <v>43678</v>
      </c>
      <c r="D1896" s="38" t="s">
        <v>22</v>
      </c>
      <c r="E1896" s="22" t="s">
        <v>235</v>
      </c>
      <c r="F1896" s="82" t="s">
        <v>1614</v>
      </c>
      <c r="G1896" s="65" t="s">
        <v>410</v>
      </c>
      <c r="H1896" s="112" t="s">
        <v>135</v>
      </c>
      <c r="I1896" s="112" t="s">
        <v>25</v>
      </c>
      <c r="J1896" s="83" t="n">
        <v>127.17</v>
      </c>
      <c r="K1896" s="84" t="n">
        <v>1345000</v>
      </c>
      <c r="L1896" s="113" t="n">
        <f aca="false">K1896/J1896</f>
        <v>10576.39380357</v>
      </c>
      <c r="M1896" s="114"/>
      <c r="N1896" s="93"/>
      <c r="O1896" s="88" t="n">
        <f aca="false">K1896+N1896</f>
        <v>1345000</v>
      </c>
      <c r="P1896" s="88" t="n">
        <f aca="false">O1896/J1896</f>
        <v>10576.39380357</v>
      </c>
      <c r="Q1896" s="83" t="s">
        <v>2821</v>
      </c>
      <c r="R1896" s="65" t="s">
        <v>36</v>
      </c>
      <c r="S1896" s="19" t="s">
        <v>29</v>
      </c>
      <c r="T1896" s="19" t="s">
        <v>30</v>
      </c>
      <c r="U1896" s="19" t="s">
        <v>31</v>
      </c>
      <c r="V1896" s="22" t="s">
        <v>2184</v>
      </c>
      <c r="W1896" s="18"/>
      <c r="X1896" s="18"/>
    </row>
    <row r="1897" customFormat="false" ht="13.8" hidden="false" customHeight="false" outlineLevel="0" collapsed="false">
      <c r="A1897" s="18"/>
      <c r="B1897" s="65" t="s">
        <v>2822</v>
      </c>
      <c r="C1897" s="81" t="n">
        <v>43679</v>
      </c>
      <c r="D1897" s="38" t="s">
        <v>22</v>
      </c>
      <c r="E1897" s="22" t="s">
        <v>190</v>
      </c>
      <c r="F1897" s="82" t="s">
        <v>38</v>
      </c>
      <c r="G1897" s="65" t="s">
        <v>120</v>
      </c>
      <c r="H1897" s="65" t="s">
        <v>2769</v>
      </c>
      <c r="I1897" s="65" t="s">
        <v>111</v>
      </c>
      <c r="J1897" s="83" t="n">
        <v>58.1</v>
      </c>
      <c r="K1897" s="84" t="n">
        <v>495000</v>
      </c>
      <c r="L1897" s="85" t="n">
        <f aca="false">K1897/J1897</f>
        <v>8519.7934595525</v>
      </c>
      <c r="M1897" s="86"/>
      <c r="N1897" s="87"/>
      <c r="O1897" s="88" t="n">
        <f aca="false">K1897+N1897</f>
        <v>495000</v>
      </c>
      <c r="P1897" s="88" t="n">
        <f aca="false">O1897/J1897</f>
        <v>8519.7934595525</v>
      </c>
      <c r="Q1897" s="83" t="s">
        <v>2823</v>
      </c>
      <c r="R1897" s="65" t="s">
        <v>49</v>
      </c>
      <c r="S1897" s="19" t="s">
        <v>29</v>
      </c>
      <c r="T1897" s="19" t="s">
        <v>30</v>
      </c>
      <c r="U1897" s="19" t="s">
        <v>31</v>
      </c>
      <c r="V1897" s="22" t="s">
        <v>2184</v>
      </c>
      <c r="W1897" s="18"/>
      <c r="X1897" s="18"/>
    </row>
    <row r="1898" customFormat="false" ht="13.8" hidden="false" customHeight="false" outlineLevel="0" collapsed="false">
      <c r="A1898" s="18"/>
      <c r="B1898" s="65" t="s">
        <v>2824</v>
      </c>
      <c r="C1898" s="81" t="n">
        <v>43679</v>
      </c>
      <c r="D1898" s="38" t="s">
        <v>22</v>
      </c>
      <c r="E1898" s="65" t="s">
        <v>433</v>
      </c>
      <c r="F1898" s="82" t="s">
        <v>434</v>
      </c>
      <c r="G1898" s="65" t="s">
        <v>101</v>
      </c>
      <c r="H1898" s="65" t="s">
        <v>2186</v>
      </c>
      <c r="I1898" s="65" t="s">
        <v>26</v>
      </c>
      <c r="J1898" s="83" t="n">
        <v>36.05</v>
      </c>
      <c r="K1898" s="84" t="n">
        <v>560000</v>
      </c>
      <c r="L1898" s="85" t="n">
        <f aca="false">K1898/J1898</f>
        <v>15533.9805825243</v>
      </c>
      <c r="M1898" s="86" t="s">
        <v>2825</v>
      </c>
      <c r="N1898" s="87"/>
      <c r="O1898" s="88" t="n">
        <f aca="false">K1898+N1898</f>
        <v>560000</v>
      </c>
      <c r="P1898" s="88" t="n">
        <f aca="false">O1898/J1898</f>
        <v>15533.9805825243</v>
      </c>
      <c r="Q1898" s="83" t="s">
        <v>2826</v>
      </c>
      <c r="R1898" s="65" t="s">
        <v>36</v>
      </c>
      <c r="S1898" s="19" t="s">
        <v>29</v>
      </c>
      <c r="T1898" s="19" t="s">
        <v>30</v>
      </c>
      <c r="U1898" s="19" t="s">
        <v>31</v>
      </c>
      <c r="V1898" s="22" t="s">
        <v>2184</v>
      </c>
      <c r="W1898" s="18"/>
      <c r="X1898" s="18"/>
    </row>
    <row r="1899" customFormat="false" ht="13.8" hidden="false" customHeight="false" outlineLevel="0" collapsed="false">
      <c r="A1899" s="18"/>
      <c r="B1899" s="65" t="s">
        <v>2827</v>
      </c>
      <c r="C1899" s="81" t="n">
        <v>43679</v>
      </c>
      <c r="D1899" s="38" t="s">
        <v>22</v>
      </c>
      <c r="E1899" s="65" t="s">
        <v>302</v>
      </c>
      <c r="F1899" s="91" t="s">
        <v>485</v>
      </c>
      <c r="G1899" s="65" t="s">
        <v>55</v>
      </c>
      <c r="H1899" s="65" t="s">
        <v>25</v>
      </c>
      <c r="I1899" s="65" t="s">
        <v>26</v>
      </c>
      <c r="J1899" s="83" t="n">
        <v>84.37</v>
      </c>
      <c r="K1899" s="30" t="n">
        <v>990000</v>
      </c>
      <c r="L1899" s="85" t="n">
        <f aca="false">K1899/J1899</f>
        <v>11734.0286831812</v>
      </c>
      <c r="M1899" s="92"/>
      <c r="N1899" s="93"/>
      <c r="O1899" s="88" t="n">
        <f aca="false">K1899+N1899</f>
        <v>990000</v>
      </c>
      <c r="P1899" s="88" t="n">
        <f aca="false">O1899/J1899</f>
        <v>11734.0286831812</v>
      </c>
      <c r="Q1899" s="94" t="s">
        <v>2828</v>
      </c>
      <c r="R1899" s="65" t="s">
        <v>49</v>
      </c>
      <c r="S1899" s="19" t="s">
        <v>29</v>
      </c>
      <c r="T1899" s="19" t="s">
        <v>30</v>
      </c>
      <c r="U1899" s="19" t="s">
        <v>31</v>
      </c>
      <c r="V1899" s="22" t="s">
        <v>2184</v>
      </c>
      <c r="W1899" s="18"/>
      <c r="X1899" s="18"/>
    </row>
    <row r="1900" customFormat="false" ht="13.8" hidden="false" customHeight="false" outlineLevel="0" collapsed="false">
      <c r="A1900" s="18"/>
      <c r="B1900" s="65" t="s">
        <v>2829</v>
      </c>
      <c r="C1900" s="81" t="n">
        <v>43679</v>
      </c>
      <c r="D1900" s="38" t="s">
        <v>22</v>
      </c>
      <c r="E1900" s="65" t="s">
        <v>187</v>
      </c>
      <c r="F1900" s="91" t="s">
        <v>271</v>
      </c>
      <c r="G1900" s="65" t="s">
        <v>222</v>
      </c>
      <c r="H1900" s="65" t="s">
        <v>511</v>
      </c>
      <c r="I1900" s="65" t="s">
        <v>26</v>
      </c>
      <c r="J1900" s="83" t="n">
        <v>27.3</v>
      </c>
      <c r="K1900" s="88" t="n">
        <v>347000</v>
      </c>
      <c r="L1900" s="85" t="n">
        <f aca="false">K1900/J1900</f>
        <v>12710.6227106227</v>
      </c>
      <c r="M1900" s="92"/>
      <c r="N1900" s="93"/>
      <c r="O1900" s="88" t="n">
        <f aca="false">K1900+N1900</f>
        <v>347000</v>
      </c>
      <c r="P1900" s="85" t="n">
        <f aca="false">O1900/J1900</f>
        <v>12710.6227106227</v>
      </c>
      <c r="Q1900" s="94" t="s">
        <v>2830</v>
      </c>
      <c r="R1900" s="65" t="s">
        <v>36</v>
      </c>
      <c r="S1900" s="19" t="s">
        <v>29</v>
      </c>
      <c r="T1900" s="19" t="s">
        <v>30</v>
      </c>
      <c r="U1900" s="19" t="s">
        <v>31</v>
      </c>
      <c r="V1900" s="22" t="s">
        <v>2184</v>
      </c>
      <c r="W1900" s="18"/>
      <c r="X1900" s="18"/>
    </row>
    <row r="1901" customFormat="false" ht="13.8" hidden="false" customHeight="false" outlineLevel="0" collapsed="false">
      <c r="A1901" s="18"/>
      <c r="B1901" s="62" t="n">
        <v>1572</v>
      </c>
      <c r="C1901" s="81" t="n">
        <v>43679</v>
      </c>
      <c r="D1901" s="38" t="s">
        <v>22</v>
      </c>
      <c r="E1901" s="65" t="s">
        <v>354</v>
      </c>
      <c r="F1901" s="82" t="s">
        <v>456</v>
      </c>
      <c r="G1901" s="65" t="s">
        <v>49</v>
      </c>
      <c r="H1901" s="112" t="s">
        <v>78</v>
      </c>
      <c r="I1901" s="112" t="s">
        <v>36</v>
      </c>
      <c r="J1901" s="83" t="n">
        <v>46.25</v>
      </c>
      <c r="K1901" s="84" t="n">
        <v>565000</v>
      </c>
      <c r="L1901" s="113" t="n">
        <f aca="false">K1901/J1901</f>
        <v>12216.2162162162</v>
      </c>
      <c r="M1901" s="114"/>
      <c r="N1901" s="93"/>
      <c r="O1901" s="88" t="n">
        <f aca="false">K1901+N1901</f>
        <v>565000</v>
      </c>
      <c r="P1901" s="88" t="n">
        <f aca="false">O1901/J1901</f>
        <v>12216.2162162162</v>
      </c>
      <c r="Q1901" s="83" t="s">
        <v>2770</v>
      </c>
      <c r="R1901" s="65" t="s">
        <v>26</v>
      </c>
      <c r="S1901" s="19" t="s">
        <v>29</v>
      </c>
      <c r="T1901" s="19" t="s">
        <v>30</v>
      </c>
      <c r="U1901" s="19" t="s">
        <v>31</v>
      </c>
      <c r="V1901" s="22" t="s">
        <v>2184</v>
      </c>
      <c r="W1901" s="18"/>
      <c r="X1901" s="18"/>
    </row>
    <row r="1902" customFormat="false" ht="13.8" hidden="false" customHeight="false" outlineLevel="0" collapsed="false">
      <c r="A1902" s="18"/>
      <c r="B1902" s="65" t="s">
        <v>2831</v>
      </c>
      <c r="C1902" s="81" t="n">
        <v>43682</v>
      </c>
      <c r="D1902" s="38" t="s">
        <v>22</v>
      </c>
      <c r="E1902" s="65" t="s">
        <v>212</v>
      </c>
      <c r="F1902" s="82" t="s">
        <v>94</v>
      </c>
      <c r="G1902" s="65" t="s">
        <v>294</v>
      </c>
      <c r="H1902" s="65" t="s">
        <v>135</v>
      </c>
      <c r="I1902" s="65" t="s">
        <v>26</v>
      </c>
      <c r="J1902" s="83" t="n">
        <v>44.45</v>
      </c>
      <c r="K1902" s="84" t="n">
        <v>455000</v>
      </c>
      <c r="L1902" s="85" t="n">
        <f aca="false">K1902/J1902</f>
        <v>10236.2204724409</v>
      </c>
      <c r="M1902" s="86"/>
      <c r="N1902" s="87"/>
      <c r="O1902" s="88" t="n">
        <f aca="false">K1902+N1902</f>
        <v>455000</v>
      </c>
      <c r="P1902" s="88" t="n">
        <f aca="false">O1902/J1902</f>
        <v>10236.2204724409</v>
      </c>
      <c r="Q1902" s="83" t="s">
        <v>2832</v>
      </c>
      <c r="R1902" s="65" t="s">
        <v>26</v>
      </c>
      <c r="S1902" s="19" t="s">
        <v>29</v>
      </c>
      <c r="T1902" s="19" t="s">
        <v>30</v>
      </c>
      <c r="U1902" s="19" t="s">
        <v>31</v>
      </c>
      <c r="V1902" s="22" t="s">
        <v>2184</v>
      </c>
      <c r="W1902" s="18"/>
      <c r="X1902" s="18"/>
    </row>
    <row r="1903" customFormat="false" ht="13.8" hidden="false" customHeight="false" outlineLevel="0" collapsed="false">
      <c r="A1903" s="18"/>
      <c r="B1903" s="65" t="s">
        <v>2833</v>
      </c>
      <c r="C1903" s="81" t="n">
        <v>43682</v>
      </c>
      <c r="D1903" s="38" t="s">
        <v>22</v>
      </c>
      <c r="E1903" s="22" t="s">
        <v>178</v>
      </c>
      <c r="F1903" s="82" t="s">
        <v>220</v>
      </c>
      <c r="G1903" s="65" t="s">
        <v>27</v>
      </c>
      <c r="H1903" s="65" t="s">
        <v>318</v>
      </c>
      <c r="I1903" s="65" t="s">
        <v>36</v>
      </c>
      <c r="J1903" s="83" t="n">
        <v>48.57</v>
      </c>
      <c r="K1903" s="84" t="n">
        <v>515000</v>
      </c>
      <c r="L1903" s="85" t="n">
        <f aca="false">K1903/J1903</f>
        <v>10603.253036854</v>
      </c>
      <c r="M1903" s="90"/>
      <c r="N1903" s="87"/>
      <c r="O1903" s="88" t="n">
        <f aca="false">K1903+N1903</f>
        <v>515000</v>
      </c>
      <c r="P1903" s="88" t="n">
        <f aca="false">O1903/J1903</f>
        <v>10603.253036854</v>
      </c>
      <c r="Q1903" s="83" t="s">
        <v>2770</v>
      </c>
      <c r="R1903" s="65" t="s">
        <v>26</v>
      </c>
      <c r="S1903" s="19" t="s">
        <v>29</v>
      </c>
      <c r="T1903" s="19" t="s">
        <v>30</v>
      </c>
      <c r="U1903" s="19" t="s">
        <v>31</v>
      </c>
      <c r="V1903" s="22" t="s">
        <v>2184</v>
      </c>
      <c r="W1903" s="18"/>
      <c r="X1903" s="18"/>
    </row>
    <row r="1904" customFormat="false" ht="13.8" hidden="false" customHeight="false" outlineLevel="0" collapsed="false">
      <c r="A1904" s="18"/>
      <c r="B1904" s="65" t="s">
        <v>2834</v>
      </c>
      <c r="C1904" s="81" t="n">
        <v>43682</v>
      </c>
      <c r="D1904" s="38" t="s">
        <v>22</v>
      </c>
      <c r="E1904" s="65" t="s">
        <v>2795</v>
      </c>
      <c r="F1904" s="82" t="s">
        <v>199</v>
      </c>
      <c r="G1904" s="65" t="s">
        <v>2835</v>
      </c>
      <c r="H1904" s="65" t="s">
        <v>678</v>
      </c>
      <c r="I1904" s="65" t="s">
        <v>26</v>
      </c>
      <c r="J1904" s="83" t="n">
        <v>96.92</v>
      </c>
      <c r="K1904" s="84" t="n">
        <v>1175000</v>
      </c>
      <c r="L1904" s="85" t="n">
        <f aca="false">K1904/J1904</f>
        <v>12123.4007428807</v>
      </c>
      <c r="M1904" s="90"/>
      <c r="N1904" s="87"/>
      <c r="O1904" s="88" t="n">
        <f aca="false">K1904+N1904</f>
        <v>1175000</v>
      </c>
      <c r="P1904" s="88" t="n">
        <f aca="false">O1904/J1904</f>
        <v>12123.4007428807</v>
      </c>
      <c r="Q1904" s="83" t="s">
        <v>2836</v>
      </c>
      <c r="R1904" s="65" t="s">
        <v>57</v>
      </c>
      <c r="S1904" s="19" t="s">
        <v>29</v>
      </c>
      <c r="T1904" s="19" t="s">
        <v>30</v>
      </c>
      <c r="U1904" s="19" t="s">
        <v>31</v>
      </c>
      <c r="V1904" s="22" t="s">
        <v>2184</v>
      </c>
      <c r="W1904" s="18"/>
      <c r="X1904" s="18"/>
    </row>
    <row r="1905" customFormat="false" ht="13.8" hidden="false" customHeight="false" outlineLevel="0" collapsed="false">
      <c r="A1905" s="18"/>
      <c r="B1905" s="62" t="n">
        <v>4081</v>
      </c>
      <c r="C1905" s="81" t="n">
        <v>43682</v>
      </c>
      <c r="D1905" s="38" t="s">
        <v>22</v>
      </c>
      <c r="E1905" s="22" t="s">
        <v>80</v>
      </c>
      <c r="F1905" s="82" t="s">
        <v>162</v>
      </c>
      <c r="G1905" s="65" t="s">
        <v>36</v>
      </c>
      <c r="H1905" s="112" t="s">
        <v>48</v>
      </c>
      <c r="I1905" s="112" t="s">
        <v>25</v>
      </c>
      <c r="J1905" s="83" t="n">
        <v>44.4</v>
      </c>
      <c r="K1905" s="84" t="n">
        <v>710000</v>
      </c>
      <c r="L1905" s="113" t="n">
        <f aca="false">K1905/J1905</f>
        <v>15990.990990991</v>
      </c>
      <c r="M1905" s="114" t="s">
        <v>940</v>
      </c>
      <c r="N1905" s="93" t="n">
        <v>50000</v>
      </c>
      <c r="O1905" s="88" t="n">
        <f aca="false">K1905+N1905</f>
        <v>760000</v>
      </c>
      <c r="P1905" s="88" t="n">
        <f aca="false">O1905/J1905</f>
        <v>17117.1171171171</v>
      </c>
      <c r="Q1905" s="83" t="s">
        <v>2837</v>
      </c>
      <c r="R1905" s="65" t="s">
        <v>26</v>
      </c>
      <c r="S1905" s="19" t="s">
        <v>29</v>
      </c>
      <c r="T1905" s="19" t="s">
        <v>30</v>
      </c>
      <c r="U1905" s="19" t="s">
        <v>31</v>
      </c>
      <c r="V1905" s="22" t="s">
        <v>2184</v>
      </c>
      <c r="W1905" s="18"/>
      <c r="X1905" s="18"/>
    </row>
    <row r="1906" customFormat="false" ht="13.8" hidden="false" customHeight="false" outlineLevel="0" collapsed="false">
      <c r="A1906" s="18"/>
      <c r="B1906" s="65" t="s">
        <v>2838</v>
      </c>
      <c r="C1906" s="81" t="n">
        <v>43682</v>
      </c>
      <c r="D1906" s="38" t="s">
        <v>22</v>
      </c>
      <c r="E1906" s="22" t="s">
        <v>319</v>
      </c>
      <c r="F1906" s="82" t="s">
        <v>320</v>
      </c>
      <c r="G1906" s="65" t="s">
        <v>26</v>
      </c>
      <c r="H1906" s="65" t="s">
        <v>515</v>
      </c>
      <c r="I1906" s="65" t="s">
        <v>57</v>
      </c>
      <c r="J1906" s="83" t="n">
        <v>62.11</v>
      </c>
      <c r="K1906" s="84" t="n">
        <v>610000</v>
      </c>
      <c r="L1906" s="85" t="n">
        <f aca="false">K1906/J1906</f>
        <v>9821.2848172597</v>
      </c>
      <c r="M1906" s="90" t="s">
        <v>940</v>
      </c>
      <c r="N1906" s="87" t="n">
        <v>15000</v>
      </c>
      <c r="O1906" s="88" t="n">
        <f aca="false">K1906+N1906</f>
        <v>625000</v>
      </c>
      <c r="P1906" s="88" t="n">
        <f aca="false">O1906/J1906</f>
        <v>10062.7918209628</v>
      </c>
      <c r="Q1906" s="83" t="s">
        <v>2774</v>
      </c>
      <c r="R1906" s="65" t="s">
        <v>26</v>
      </c>
      <c r="S1906" s="19" t="s">
        <v>29</v>
      </c>
      <c r="T1906" s="19" t="s">
        <v>30</v>
      </c>
      <c r="U1906" s="19" t="s">
        <v>31</v>
      </c>
      <c r="V1906" s="22" t="s">
        <v>2184</v>
      </c>
      <c r="W1906" s="18"/>
      <c r="X1906" s="18"/>
    </row>
    <row r="1907" customFormat="false" ht="13.8" hidden="false" customHeight="false" outlineLevel="0" collapsed="false">
      <c r="A1907" s="18"/>
      <c r="B1907" s="65" t="s">
        <v>2839</v>
      </c>
      <c r="C1907" s="81" t="n">
        <v>43682</v>
      </c>
      <c r="D1907" s="38" t="s">
        <v>22</v>
      </c>
      <c r="E1907" s="22" t="s">
        <v>118</v>
      </c>
      <c r="F1907" s="91" t="s">
        <v>119</v>
      </c>
      <c r="G1907" s="65" t="s">
        <v>49</v>
      </c>
      <c r="H1907" s="65" t="s">
        <v>193</v>
      </c>
      <c r="I1907" s="65" t="s">
        <v>49</v>
      </c>
      <c r="J1907" s="83" t="n">
        <v>51</v>
      </c>
      <c r="K1907" s="84" t="n">
        <v>440000</v>
      </c>
      <c r="L1907" s="66" t="n">
        <f aca="false">K1907/J1907</f>
        <v>8627.45098039216</v>
      </c>
      <c r="M1907" s="117" t="s">
        <v>189</v>
      </c>
      <c r="N1907" s="87"/>
      <c r="O1907" s="66" t="n">
        <f aca="false">K1907+N1907</f>
        <v>440000</v>
      </c>
      <c r="P1907" s="88" t="n">
        <f aca="false">O1907/J1907</f>
        <v>8627.45098039216</v>
      </c>
      <c r="Q1907" s="65" t="s">
        <v>2840</v>
      </c>
      <c r="R1907" s="65" t="s">
        <v>49</v>
      </c>
      <c r="S1907" s="19" t="s">
        <v>29</v>
      </c>
      <c r="T1907" s="19" t="s">
        <v>30</v>
      </c>
      <c r="U1907" s="19" t="s">
        <v>31</v>
      </c>
      <c r="V1907" s="22" t="s">
        <v>2184</v>
      </c>
      <c r="W1907" s="23"/>
      <c r="X1907" s="110"/>
    </row>
    <row r="1908" customFormat="false" ht="13.8" hidden="false" customHeight="false" outlineLevel="0" collapsed="false">
      <c r="A1908" s="18"/>
      <c r="B1908" s="65" t="s">
        <v>2841</v>
      </c>
      <c r="C1908" s="81" t="n">
        <v>43682</v>
      </c>
      <c r="D1908" s="38" t="s">
        <v>22</v>
      </c>
      <c r="E1908" s="22" t="s">
        <v>140</v>
      </c>
      <c r="F1908" s="82" t="s">
        <v>1278</v>
      </c>
      <c r="G1908" s="65" t="s">
        <v>36</v>
      </c>
      <c r="H1908" s="65" t="s">
        <v>2842</v>
      </c>
      <c r="I1908" s="65" t="s">
        <v>25</v>
      </c>
      <c r="J1908" s="83" t="n">
        <v>101.8</v>
      </c>
      <c r="K1908" s="84" t="n">
        <v>950000</v>
      </c>
      <c r="L1908" s="85" t="n">
        <f aca="false">K1908/J1908</f>
        <v>9332.02357563851</v>
      </c>
      <c r="M1908" s="86"/>
      <c r="N1908" s="87"/>
      <c r="O1908" s="88" t="n">
        <f aca="false">K1908+N1908</f>
        <v>950000</v>
      </c>
      <c r="P1908" s="88" t="n">
        <f aca="false">O1908/J1908</f>
        <v>9332.02357563851</v>
      </c>
      <c r="Q1908" s="83" t="s">
        <v>2843</v>
      </c>
      <c r="R1908" s="65" t="s">
        <v>57</v>
      </c>
      <c r="S1908" s="19" t="s">
        <v>29</v>
      </c>
      <c r="T1908" s="19" t="s">
        <v>30</v>
      </c>
      <c r="U1908" s="19" t="s">
        <v>31</v>
      </c>
      <c r="V1908" s="22" t="s">
        <v>2184</v>
      </c>
      <c r="W1908" s="18"/>
      <c r="X1908" s="18"/>
    </row>
    <row r="1909" customFormat="false" ht="13.8" hidden="false" customHeight="false" outlineLevel="0" collapsed="false">
      <c r="A1909" s="18"/>
      <c r="B1909" s="65" t="s">
        <v>2844</v>
      </c>
      <c r="C1909" s="81" t="n">
        <v>43682</v>
      </c>
      <c r="D1909" s="38" t="s">
        <v>22</v>
      </c>
      <c r="E1909" s="65" t="s">
        <v>235</v>
      </c>
      <c r="F1909" s="82" t="s">
        <v>853</v>
      </c>
      <c r="G1909" s="65" t="s">
        <v>410</v>
      </c>
      <c r="H1909" s="65" t="s">
        <v>408</v>
      </c>
      <c r="I1909" s="65" t="s">
        <v>36</v>
      </c>
      <c r="J1909" s="83" t="n">
        <v>20</v>
      </c>
      <c r="K1909" s="84" t="n">
        <v>270000</v>
      </c>
      <c r="L1909" s="85" t="n">
        <f aca="false">K1909/J1909</f>
        <v>13500</v>
      </c>
      <c r="M1909" s="90"/>
      <c r="N1909" s="87"/>
      <c r="O1909" s="88" t="n">
        <f aca="false">K1909+N1909</f>
        <v>270000</v>
      </c>
      <c r="P1909" s="85" t="n">
        <f aca="false">O1909/J1909</f>
        <v>13500</v>
      </c>
      <c r="Q1909" s="83" t="s">
        <v>2845</v>
      </c>
      <c r="R1909" s="65" t="s">
        <v>36</v>
      </c>
      <c r="S1909" s="19" t="s">
        <v>29</v>
      </c>
      <c r="T1909" s="19" t="s">
        <v>30</v>
      </c>
      <c r="U1909" s="19" t="s">
        <v>31</v>
      </c>
      <c r="V1909" s="22" t="s">
        <v>2184</v>
      </c>
      <c r="W1909" s="18"/>
      <c r="X1909" s="18"/>
    </row>
    <row r="1910" customFormat="false" ht="13.8" hidden="false" customHeight="false" outlineLevel="0" collapsed="false">
      <c r="A1910" s="18"/>
      <c r="B1910" s="65" t="s">
        <v>2846</v>
      </c>
      <c r="C1910" s="81" t="n">
        <v>43682</v>
      </c>
      <c r="D1910" s="38" t="s">
        <v>22</v>
      </c>
      <c r="E1910" s="65" t="s">
        <v>187</v>
      </c>
      <c r="F1910" s="91" t="s">
        <v>569</v>
      </c>
      <c r="G1910" s="65" t="s">
        <v>550</v>
      </c>
      <c r="H1910" s="65" t="s">
        <v>27</v>
      </c>
      <c r="I1910" s="65" t="s">
        <v>27</v>
      </c>
      <c r="J1910" s="83" t="n">
        <v>47.94</v>
      </c>
      <c r="K1910" s="88" t="n">
        <v>315000</v>
      </c>
      <c r="L1910" s="85" t="n">
        <f aca="false">K1910/J1910</f>
        <v>6570.71339173968</v>
      </c>
      <c r="M1910" s="92"/>
      <c r="N1910" s="93"/>
      <c r="O1910" s="88" t="n">
        <f aca="false">K1910+N1910</f>
        <v>315000</v>
      </c>
      <c r="P1910" s="85" t="n">
        <f aca="false">O1910/J1910</f>
        <v>6570.71339173968</v>
      </c>
      <c r="Q1910" s="94" t="s">
        <v>952</v>
      </c>
      <c r="R1910" s="65" t="s">
        <v>26</v>
      </c>
      <c r="S1910" s="19" t="s">
        <v>29</v>
      </c>
      <c r="T1910" s="19" t="s">
        <v>30</v>
      </c>
      <c r="U1910" s="19" t="s">
        <v>31</v>
      </c>
      <c r="V1910" s="22" t="s">
        <v>2184</v>
      </c>
      <c r="W1910" s="91"/>
      <c r="X1910" s="18"/>
    </row>
    <row r="1911" customFormat="false" ht="13.8" hidden="false" customHeight="false" outlineLevel="0" collapsed="false">
      <c r="A1911" s="18"/>
      <c r="B1911" s="62" t="n">
        <v>17902</v>
      </c>
      <c r="C1911" s="81" t="n">
        <v>43682</v>
      </c>
      <c r="D1911" s="38" t="s">
        <v>22</v>
      </c>
      <c r="E1911" s="65" t="s">
        <v>183</v>
      </c>
      <c r="F1911" s="82" t="s">
        <v>486</v>
      </c>
      <c r="G1911" s="65" t="s">
        <v>2693</v>
      </c>
      <c r="H1911" s="112" t="s">
        <v>196</v>
      </c>
      <c r="I1911" s="112" t="s">
        <v>82</v>
      </c>
      <c r="J1911" s="83" t="n">
        <v>36.3</v>
      </c>
      <c r="K1911" s="84" t="n">
        <v>350000</v>
      </c>
      <c r="L1911" s="113" t="n">
        <f aca="false">K1911/J1911</f>
        <v>9641.87327823692</v>
      </c>
      <c r="M1911" s="114" t="s">
        <v>2847</v>
      </c>
      <c r="N1911" s="93"/>
      <c r="O1911" s="88" t="n">
        <f aca="false">K1911+N1911</f>
        <v>350000</v>
      </c>
      <c r="P1911" s="88" t="n">
        <f aca="false">O1911/J1911</f>
        <v>9641.87327823692</v>
      </c>
      <c r="Q1911" s="83" t="s">
        <v>2848</v>
      </c>
      <c r="R1911" s="65" t="s">
        <v>36</v>
      </c>
      <c r="S1911" s="19" t="s">
        <v>29</v>
      </c>
      <c r="T1911" s="19" t="s">
        <v>30</v>
      </c>
      <c r="U1911" s="19" t="s">
        <v>31</v>
      </c>
      <c r="V1911" s="22" t="s">
        <v>2184</v>
      </c>
      <c r="W1911" s="18"/>
      <c r="X1911" s="18"/>
    </row>
    <row r="1912" customFormat="false" ht="13.8" hidden="false" customHeight="false" outlineLevel="0" collapsed="false">
      <c r="A1912" s="18"/>
      <c r="B1912" s="65" t="s">
        <v>2849</v>
      </c>
      <c r="C1912" s="81" t="n">
        <v>43683</v>
      </c>
      <c r="D1912" s="38" t="s">
        <v>22</v>
      </c>
      <c r="E1912" s="65" t="s">
        <v>2795</v>
      </c>
      <c r="F1912" s="82" t="s">
        <v>199</v>
      </c>
      <c r="G1912" s="65" t="s">
        <v>2796</v>
      </c>
      <c r="H1912" s="65" t="s">
        <v>2850</v>
      </c>
      <c r="I1912" s="65" t="s">
        <v>25</v>
      </c>
      <c r="J1912" s="83" t="n">
        <v>123.23</v>
      </c>
      <c r="K1912" s="84" t="n">
        <v>1535000</v>
      </c>
      <c r="L1912" s="85" t="n">
        <f aca="false">K1912/J1912</f>
        <v>12456.3823744218</v>
      </c>
      <c r="M1912" s="111" t="s">
        <v>1739</v>
      </c>
      <c r="N1912" s="87"/>
      <c r="O1912" s="88" t="n">
        <f aca="false">K1912+N1912</f>
        <v>1535000</v>
      </c>
      <c r="P1912" s="88" t="n">
        <f aca="false">O1912/J1912</f>
        <v>12456.3823744218</v>
      </c>
      <c r="Q1912" s="83" t="s">
        <v>2851</v>
      </c>
      <c r="R1912" s="65" t="s">
        <v>57</v>
      </c>
      <c r="S1912" s="19" t="s">
        <v>29</v>
      </c>
      <c r="T1912" s="19" t="s">
        <v>30</v>
      </c>
      <c r="U1912" s="19" t="s">
        <v>31</v>
      </c>
      <c r="V1912" s="22" t="s">
        <v>2184</v>
      </c>
      <c r="W1912" s="18"/>
      <c r="X1912" s="18"/>
      <c r="Y1912" s="116"/>
    </row>
    <row r="1913" customFormat="false" ht="13.8" hidden="false" customHeight="false" outlineLevel="0" collapsed="false">
      <c r="A1913" s="18"/>
      <c r="B1913" s="62" t="n">
        <v>2107</v>
      </c>
      <c r="C1913" s="81" t="n">
        <v>43683</v>
      </c>
      <c r="D1913" s="38" t="s">
        <v>22</v>
      </c>
      <c r="E1913" s="22" t="s">
        <v>251</v>
      </c>
      <c r="F1913" s="82" t="s">
        <v>252</v>
      </c>
      <c r="G1913" s="65" t="s">
        <v>36</v>
      </c>
      <c r="H1913" s="112" t="s">
        <v>2852</v>
      </c>
      <c r="I1913" s="112" t="s">
        <v>101</v>
      </c>
      <c r="J1913" s="83" t="n">
        <v>42.36</v>
      </c>
      <c r="K1913" s="84" t="n">
        <v>435000</v>
      </c>
      <c r="L1913" s="113" t="n">
        <f aca="false">K1913/J1913</f>
        <v>10269.1218130312</v>
      </c>
      <c r="M1913" s="114"/>
      <c r="N1913" s="93"/>
      <c r="O1913" s="88" t="n">
        <f aca="false">K1913+N1913</f>
        <v>435000</v>
      </c>
      <c r="P1913" s="88" t="n">
        <f aca="false">O1913/J1913</f>
        <v>10269.1218130312</v>
      </c>
      <c r="Q1913" s="83" t="s">
        <v>952</v>
      </c>
      <c r="R1913" s="65" t="s">
        <v>26</v>
      </c>
      <c r="S1913" s="19" t="s">
        <v>29</v>
      </c>
      <c r="T1913" s="19" t="s">
        <v>30</v>
      </c>
      <c r="U1913" s="19" t="s">
        <v>31</v>
      </c>
      <c r="V1913" s="22" t="s">
        <v>2184</v>
      </c>
      <c r="W1913" s="18"/>
      <c r="X1913" s="18"/>
    </row>
    <row r="1914" customFormat="false" ht="13.8" hidden="false" customHeight="false" outlineLevel="0" collapsed="false">
      <c r="A1914" s="18"/>
      <c r="B1914" s="65" t="s">
        <v>2853</v>
      </c>
      <c r="C1914" s="81" t="n">
        <v>43683</v>
      </c>
      <c r="D1914" s="38" t="s">
        <v>22</v>
      </c>
      <c r="E1914" s="22" t="s">
        <v>281</v>
      </c>
      <c r="F1914" s="91" t="s">
        <v>1041</v>
      </c>
      <c r="G1914" s="65" t="s">
        <v>664</v>
      </c>
      <c r="H1914" s="65" t="s">
        <v>226</v>
      </c>
      <c r="I1914" s="65" t="s">
        <v>887</v>
      </c>
      <c r="J1914" s="83" t="n">
        <v>32.9</v>
      </c>
      <c r="K1914" s="84" t="n">
        <v>170000</v>
      </c>
      <c r="L1914" s="85" t="n">
        <f aca="false">K1914/J1914</f>
        <v>5167.17325227964</v>
      </c>
      <c r="M1914" s="90" t="s">
        <v>189</v>
      </c>
      <c r="N1914" s="87"/>
      <c r="O1914" s="88" t="n">
        <f aca="false">K1914+N1914</f>
        <v>170000</v>
      </c>
      <c r="P1914" s="88" t="n">
        <f aca="false">O1914/J1914</f>
        <v>5167.17325227964</v>
      </c>
      <c r="Q1914" s="65" t="s">
        <v>2854</v>
      </c>
      <c r="R1914" s="65" t="s">
        <v>36</v>
      </c>
      <c r="S1914" s="19" t="s">
        <v>29</v>
      </c>
      <c r="T1914" s="19" t="s">
        <v>30</v>
      </c>
      <c r="U1914" s="19" t="s">
        <v>31</v>
      </c>
      <c r="V1914" s="22" t="s">
        <v>2184</v>
      </c>
      <c r="W1914" s="23" t="s">
        <v>2855</v>
      </c>
      <c r="X1914" s="110"/>
    </row>
    <row r="1915" customFormat="false" ht="13.8" hidden="false" customHeight="false" outlineLevel="0" collapsed="false">
      <c r="A1915" s="18"/>
      <c r="B1915" s="65" t="s">
        <v>2856</v>
      </c>
      <c r="C1915" s="81" t="n">
        <v>43683</v>
      </c>
      <c r="D1915" s="38" t="s">
        <v>22</v>
      </c>
      <c r="E1915" s="22" t="s">
        <v>171</v>
      </c>
      <c r="F1915" s="82" t="s">
        <v>172</v>
      </c>
      <c r="G1915" s="65" t="s">
        <v>173</v>
      </c>
      <c r="H1915" s="65" t="s">
        <v>618</v>
      </c>
      <c r="I1915" s="65" t="s">
        <v>49</v>
      </c>
      <c r="J1915" s="83" t="n">
        <v>41.8</v>
      </c>
      <c r="K1915" s="84" t="n">
        <v>325000</v>
      </c>
      <c r="L1915" s="85" t="n">
        <f aca="false">K1915/J1915</f>
        <v>7775.11961722488</v>
      </c>
      <c r="M1915" s="59"/>
      <c r="N1915" s="87"/>
      <c r="O1915" s="88" t="n">
        <f aca="false">K1915+N1915</f>
        <v>325000</v>
      </c>
      <c r="P1915" s="88" t="n">
        <f aca="false">O1915/J1915</f>
        <v>7775.11961722488</v>
      </c>
      <c r="Q1915" s="83" t="s">
        <v>2820</v>
      </c>
      <c r="R1915" s="65" t="s">
        <v>26</v>
      </c>
      <c r="S1915" s="19" t="s">
        <v>29</v>
      </c>
      <c r="T1915" s="19" t="s">
        <v>30</v>
      </c>
      <c r="U1915" s="19" t="s">
        <v>31</v>
      </c>
      <c r="V1915" s="22" t="s">
        <v>2184</v>
      </c>
      <c r="W1915" s="18"/>
      <c r="X1915" s="18"/>
    </row>
    <row r="1916" customFormat="false" ht="14.15" hidden="false" customHeight="false" outlineLevel="0" collapsed="false">
      <c r="A1916" s="18"/>
      <c r="B1916" s="65" t="s">
        <v>2857</v>
      </c>
      <c r="C1916" s="81" t="n">
        <v>43683</v>
      </c>
      <c r="D1916" s="38" t="s">
        <v>22</v>
      </c>
      <c r="E1916" s="65" t="s">
        <v>122</v>
      </c>
      <c r="F1916" s="82" t="s">
        <v>46</v>
      </c>
      <c r="G1916" s="65" t="s">
        <v>123</v>
      </c>
      <c r="H1916" s="65" t="s">
        <v>177</v>
      </c>
      <c r="I1916" s="65" t="s">
        <v>36</v>
      </c>
      <c r="J1916" s="83" t="n">
        <v>63.99</v>
      </c>
      <c r="K1916" s="84" t="n">
        <v>760000</v>
      </c>
      <c r="L1916" s="85" t="n">
        <f aca="false">K1916/J1916</f>
        <v>11876.8557587123</v>
      </c>
      <c r="M1916" s="90" t="s">
        <v>2858</v>
      </c>
      <c r="N1916" s="87" t="n">
        <v>25000</v>
      </c>
      <c r="O1916" s="88" t="n">
        <f aca="false">K1916+N1916</f>
        <v>785000</v>
      </c>
      <c r="P1916" s="88" t="n">
        <f aca="false">O1916/J1916</f>
        <v>12267.5418034068</v>
      </c>
      <c r="Q1916" s="83" t="s">
        <v>2859</v>
      </c>
      <c r="R1916" s="65" t="s">
        <v>26</v>
      </c>
      <c r="S1916" s="19" t="s">
        <v>29</v>
      </c>
      <c r="T1916" s="19" t="s">
        <v>30</v>
      </c>
      <c r="U1916" s="19" t="s">
        <v>31</v>
      </c>
      <c r="V1916" s="22" t="s">
        <v>2184</v>
      </c>
      <c r="W1916" s="18"/>
      <c r="X1916" s="18"/>
    </row>
    <row r="1917" customFormat="false" ht="13.8" hidden="false" customHeight="false" outlineLevel="0" collapsed="false">
      <c r="A1917" s="18"/>
      <c r="B1917" s="65" t="s">
        <v>2860</v>
      </c>
      <c r="C1917" s="81" t="n">
        <v>43683</v>
      </c>
      <c r="D1917" s="38" t="s">
        <v>22</v>
      </c>
      <c r="E1917" s="22" t="s">
        <v>235</v>
      </c>
      <c r="F1917" s="82" t="s">
        <v>1614</v>
      </c>
      <c r="G1917" s="65" t="s">
        <v>410</v>
      </c>
      <c r="H1917" s="65" t="s">
        <v>126</v>
      </c>
      <c r="I1917" s="65" t="s">
        <v>57</v>
      </c>
      <c r="J1917" s="83" t="n">
        <v>71.74</v>
      </c>
      <c r="K1917" s="84" t="n">
        <v>1020000</v>
      </c>
      <c r="L1917" s="85" t="n">
        <f aca="false">K1917/J1917</f>
        <v>14218.009478673</v>
      </c>
      <c r="M1917" s="90" t="s">
        <v>940</v>
      </c>
      <c r="N1917" s="87"/>
      <c r="O1917" s="88" t="n">
        <f aca="false">K1917+N1917</f>
        <v>1020000</v>
      </c>
      <c r="P1917" s="88" t="n">
        <f aca="false">O1917/J1917</f>
        <v>14218.009478673</v>
      </c>
      <c r="Q1917" s="83" t="s">
        <v>2861</v>
      </c>
      <c r="R1917" s="65" t="s">
        <v>27</v>
      </c>
      <c r="S1917" s="19" t="s">
        <v>29</v>
      </c>
      <c r="T1917" s="19" t="s">
        <v>30</v>
      </c>
      <c r="U1917" s="19" t="s">
        <v>31</v>
      </c>
      <c r="V1917" s="22" t="s">
        <v>2184</v>
      </c>
      <c r="W1917" s="18"/>
      <c r="X1917" s="18"/>
    </row>
    <row r="1918" customFormat="false" ht="13.8" hidden="false" customHeight="false" outlineLevel="0" collapsed="false">
      <c r="A1918" s="18"/>
      <c r="B1918" s="65" t="s">
        <v>2862</v>
      </c>
      <c r="C1918" s="81" t="n">
        <v>43683</v>
      </c>
      <c r="D1918" s="38" t="s">
        <v>22</v>
      </c>
      <c r="E1918" s="65" t="s">
        <v>281</v>
      </c>
      <c r="F1918" s="82" t="s">
        <v>569</v>
      </c>
      <c r="G1918" s="65" t="s">
        <v>52</v>
      </c>
      <c r="H1918" s="65" t="s">
        <v>200</v>
      </c>
      <c r="I1918" s="65" t="s">
        <v>27</v>
      </c>
      <c r="J1918" s="83" t="n">
        <v>41</v>
      </c>
      <c r="K1918" s="84" t="n">
        <v>422000</v>
      </c>
      <c r="L1918" s="85" t="n">
        <f aca="false">K1918/J1918</f>
        <v>10292.6829268293</v>
      </c>
      <c r="M1918" s="86"/>
      <c r="N1918" s="87"/>
      <c r="O1918" s="88" t="n">
        <f aca="false">K1918+N1918</f>
        <v>422000</v>
      </c>
      <c r="P1918" s="88" t="n">
        <f aca="false">O1918/J1918</f>
        <v>10292.6829268293</v>
      </c>
      <c r="Q1918" s="83" t="s">
        <v>2774</v>
      </c>
      <c r="R1918" s="65" t="s">
        <v>26</v>
      </c>
      <c r="S1918" s="19" t="s">
        <v>29</v>
      </c>
      <c r="T1918" s="19" t="s">
        <v>30</v>
      </c>
      <c r="U1918" s="19" t="s">
        <v>31</v>
      </c>
      <c r="V1918" s="22" t="s">
        <v>2184</v>
      </c>
      <c r="W1918" s="18"/>
      <c r="X1918" s="18"/>
    </row>
    <row r="1919" customFormat="false" ht="13.8" hidden="false" customHeight="false" outlineLevel="0" collapsed="false">
      <c r="A1919" s="18"/>
      <c r="B1919" s="65" t="s">
        <v>2863</v>
      </c>
      <c r="C1919" s="81" t="n">
        <v>43684</v>
      </c>
      <c r="D1919" s="38" t="s">
        <v>22</v>
      </c>
      <c r="E1919" s="65" t="s">
        <v>667</v>
      </c>
      <c r="F1919" s="82" t="s">
        <v>1740</v>
      </c>
      <c r="G1919" s="65" t="s">
        <v>550</v>
      </c>
      <c r="H1919" s="65" t="s">
        <v>499</v>
      </c>
      <c r="I1919" s="65" t="s">
        <v>49</v>
      </c>
      <c r="J1919" s="83" t="n">
        <v>47.2</v>
      </c>
      <c r="K1919" s="84" t="n">
        <v>390000</v>
      </c>
      <c r="L1919" s="85" t="n">
        <f aca="false">K1919/J1919</f>
        <v>8262.71186440678</v>
      </c>
      <c r="M1919" s="86" t="s">
        <v>189</v>
      </c>
      <c r="N1919" s="87"/>
      <c r="O1919" s="88" t="n">
        <f aca="false">K1919+N1919</f>
        <v>390000</v>
      </c>
      <c r="P1919" s="88" t="n">
        <f aca="false">O1919/J1919</f>
        <v>8262.71186440678</v>
      </c>
      <c r="Q1919" s="83" t="s">
        <v>1016</v>
      </c>
      <c r="R1919" s="65" t="s">
        <v>49</v>
      </c>
      <c r="S1919" s="19" t="s">
        <v>29</v>
      </c>
      <c r="T1919" s="19" t="s">
        <v>30</v>
      </c>
      <c r="U1919" s="19" t="s">
        <v>31</v>
      </c>
      <c r="V1919" s="22" t="s">
        <v>2184</v>
      </c>
      <c r="W1919" s="18"/>
      <c r="X1919" s="18"/>
    </row>
    <row r="1920" customFormat="false" ht="13.8" hidden="false" customHeight="false" outlineLevel="0" collapsed="false">
      <c r="A1920" s="18"/>
      <c r="B1920" s="65" t="s">
        <v>2864</v>
      </c>
      <c r="C1920" s="81" t="n">
        <v>43684</v>
      </c>
      <c r="D1920" s="38" t="s">
        <v>22</v>
      </c>
      <c r="E1920" s="22" t="s">
        <v>144</v>
      </c>
      <c r="F1920" s="82" t="s">
        <v>145</v>
      </c>
      <c r="G1920" s="65" t="s">
        <v>49</v>
      </c>
      <c r="H1920" s="65" t="s">
        <v>57</v>
      </c>
      <c r="I1920" s="65" t="s">
        <v>36</v>
      </c>
      <c r="J1920" s="83" t="n">
        <v>53.63</v>
      </c>
      <c r="K1920" s="84" t="n">
        <v>480000</v>
      </c>
      <c r="L1920" s="85" t="n">
        <f aca="false">K1920/J1920</f>
        <v>8950.21443222077</v>
      </c>
      <c r="M1920" s="86"/>
      <c r="N1920" s="87"/>
      <c r="O1920" s="88" t="n">
        <f aca="false">K1920+N1920</f>
        <v>480000</v>
      </c>
      <c r="P1920" s="88" t="n">
        <f aca="false">O1920/J1920</f>
        <v>8950.21443222077</v>
      </c>
      <c r="Q1920" s="83" t="s">
        <v>2865</v>
      </c>
      <c r="R1920" s="65" t="s">
        <v>26</v>
      </c>
      <c r="S1920" s="19" t="s">
        <v>29</v>
      </c>
      <c r="T1920" s="19" t="s">
        <v>30</v>
      </c>
      <c r="U1920" s="19" t="s">
        <v>31</v>
      </c>
      <c r="V1920" s="22" t="s">
        <v>2184</v>
      </c>
      <c r="W1920" s="18"/>
      <c r="X1920" s="18"/>
    </row>
    <row r="1921" customFormat="false" ht="13.8" hidden="false" customHeight="false" outlineLevel="0" collapsed="false">
      <c r="A1921" s="18"/>
      <c r="B1921" s="62" t="n">
        <v>5438</v>
      </c>
      <c r="C1921" s="81" t="n">
        <v>43684</v>
      </c>
      <c r="D1921" s="38" t="s">
        <v>22</v>
      </c>
      <c r="E1921" s="22" t="s">
        <v>350</v>
      </c>
      <c r="F1921" s="82" t="s">
        <v>351</v>
      </c>
      <c r="G1921" s="65" t="s">
        <v>26</v>
      </c>
      <c r="H1921" s="112" t="s">
        <v>128</v>
      </c>
      <c r="I1921" s="112" t="s">
        <v>887</v>
      </c>
      <c r="J1921" s="83" t="n">
        <v>60.36</v>
      </c>
      <c r="K1921" s="84" t="n">
        <v>541000</v>
      </c>
      <c r="L1921" s="113" t="n">
        <f aca="false">K1921/J1921</f>
        <v>8962.88933068257</v>
      </c>
      <c r="M1921" s="114"/>
      <c r="N1921" s="93"/>
      <c r="O1921" s="88" t="n">
        <f aca="false">K1921+N1921</f>
        <v>541000</v>
      </c>
      <c r="P1921" s="88" t="n">
        <f aca="false">O1921/J1921</f>
        <v>8962.88933068257</v>
      </c>
      <c r="Q1921" s="83" t="s">
        <v>2798</v>
      </c>
      <c r="R1921" s="65" t="s">
        <v>36</v>
      </c>
      <c r="S1921" s="19" t="s">
        <v>29</v>
      </c>
      <c r="T1921" s="19" t="s">
        <v>30</v>
      </c>
      <c r="U1921" s="19" t="s">
        <v>31</v>
      </c>
      <c r="V1921" s="22" t="s">
        <v>2184</v>
      </c>
      <c r="W1921" s="18"/>
      <c r="X1921" s="18"/>
      <c r="Y1921" s="116"/>
    </row>
    <row r="1922" customFormat="false" ht="13.8" hidden="false" customHeight="false" outlineLevel="0" collapsed="false">
      <c r="A1922" s="18"/>
      <c r="B1922" s="65" t="s">
        <v>2866</v>
      </c>
      <c r="C1922" s="81" t="n">
        <v>43684</v>
      </c>
      <c r="D1922" s="38" t="s">
        <v>22</v>
      </c>
      <c r="E1922" s="65" t="s">
        <v>308</v>
      </c>
      <c r="F1922" s="91" t="s">
        <v>46</v>
      </c>
      <c r="G1922" s="65" t="s">
        <v>640</v>
      </c>
      <c r="H1922" s="65" t="s">
        <v>83</v>
      </c>
      <c r="I1922" s="65" t="s">
        <v>25</v>
      </c>
      <c r="J1922" s="83" t="n">
        <v>49.64</v>
      </c>
      <c r="K1922" s="84" t="n">
        <v>330000</v>
      </c>
      <c r="L1922" s="85" t="n">
        <f aca="false">K1922/J1922</f>
        <v>6647.86462530218</v>
      </c>
      <c r="M1922" s="90"/>
      <c r="N1922" s="87"/>
      <c r="O1922" s="88" t="n">
        <f aca="false">K1922+N1922</f>
        <v>330000</v>
      </c>
      <c r="P1922" s="85" t="n">
        <f aca="false">O1922/J1922</f>
        <v>6647.86462530218</v>
      </c>
      <c r="Q1922" s="65" t="s">
        <v>2810</v>
      </c>
      <c r="R1922" s="65" t="s">
        <v>26</v>
      </c>
      <c r="S1922" s="19" t="s">
        <v>29</v>
      </c>
      <c r="T1922" s="19" t="s">
        <v>30</v>
      </c>
      <c r="U1922" s="19" t="s">
        <v>31</v>
      </c>
      <c r="V1922" s="22" t="s">
        <v>2184</v>
      </c>
      <c r="W1922" s="23"/>
      <c r="X1922" s="110"/>
    </row>
    <row r="1923" customFormat="false" ht="13.8" hidden="false" customHeight="false" outlineLevel="0" collapsed="false">
      <c r="A1923" s="18"/>
      <c r="B1923" s="62" t="n">
        <v>6858</v>
      </c>
      <c r="C1923" s="81" t="n">
        <v>43684</v>
      </c>
      <c r="D1923" s="38" t="s">
        <v>22</v>
      </c>
      <c r="E1923" s="65" t="s">
        <v>480</v>
      </c>
      <c r="F1923" s="82" t="s">
        <v>46</v>
      </c>
      <c r="G1923" s="65" t="s">
        <v>2867</v>
      </c>
      <c r="H1923" s="112" t="s">
        <v>36</v>
      </c>
      <c r="I1923" s="112" t="s">
        <v>27</v>
      </c>
      <c r="J1923" s="83" t="n">
        <v>20.07</v>
      </c>
      <c r="K1923" s="84" t="n">
        <v>166000</v>
      </c>
      <c r="L1923" s="113" t="n">
        <f aca="false">K1923/J1923</f>
        <v>8271.05132037867</v>
      </c>
      <c r="M1923" s="114"/>
      <c r="N1923" s="93"/>
      <c r="O1923" s="88" t="n">
        <f aca="false">K1923+N1923</f>
        <v>166000</v>
      </c>
      <c r="P1923" s="88" t="n">
        <f aca="false">O1923/J1923</f>
        <v>8271.05132037867</v>
      </c>
      <c r="Q1923" s="83" t="s">
        <v>2868</v>
      </c>
      <c r="R1923" s="65" t="s">
        <v>27</v>
      </c>
      <c r="S1923" s="19" t="s">
        <v>29</v>
      </c>
      <c r="T1923" s="19" t="s">
        <v>30</v>
      </c>
      <c r="U1923" s="19" t="s">
        <v>31</v>
      </c>
      <c r="V1923" s="22" t="s">
        <v>2184</v>
      </c>
      <c r="W1923" s="18"/>
      <c r="X1923" s="18"/>
    </row>
    <row r="1924" customFormat="false" ht="13.8" hidden="false" customHeight="false" outlineLevel="0" collapsed="false">
      <c r="A1924" s="34"/>
      <c r="B1924" s="19" t="n">
        <v>423</v>
      </c>
      <c r="C1924" s="20" t="n">
        <v>43684</v>
      </c>
      <c r="D1924" s="38" t="s">
        <v>22</v>
      </c>
      <c r="E1924" s="22" t="s">
        <v>251</v>
      </c>
      <c r="F1924" s="34" t="s">
        <v>1061</v>
      </c>
      <c r="G1924" s="19" t="n">
        <v>4</v>
      </c>
      <c r="H1924" s="19" t="n">
        <v>93</v>
      </c>
      <c r="I1924" s="19" t="n">
        <v>9</v>
      </c>
      <c r="J1924" s="19" t="n">
        <v>41.43</v>
      </c>
      <c r="K1924" s="39" t="n">
        <v>350000</v>
      </c>
      <c r="L1924" s="39" t="n">
        <f aca="false">K1924/J1924</f>
        <v>8447.98455225682</v>
      </c>
      <c r="M1924" s="34" t="s">
        <v>2869</v>
      </c>
      <c r="N1924" s="40"/>
      <c r="O1924" s="30" t="n">
        <f aca="false">K1924+N1924</f>
        <v>350000</v>
      </c>
      <c r="P1924" s="39" t="n">
        <f aca="false">O1924/J1924</f>
        <v>8447.98455225682</v>
      </c>
      <c r="Q1924" s="19" t="s">
        <v>2870</v>
      </c>
      <c r="R1924" s="22" t="s">
        <v>36</v>
      </c>
      <c r="S1924" s="19" t="s">
        <v>29</v>
      </c>
      <c r="T1924" s="19" t="s">
        <v>30</v>
      </c>
      <c r="U1924" s="19" t="s">
        <v>31</v>
      </c>
      <c r="V1924" s="22" t="s">
        <v>2184</v>
      </c>
      <c r="W1924" s="34" t="s">
        <v>2871</v>
      </c>
      <c r="X1924" s="18"/>
    </row>
    <row r="1925" customFormat="false" ht="13.8" hidden="false" customHeight="false" outlineLevel="0" collapsed="false">
      <c r="A1925" s="18"/>
      <c r="B1925" s="62" t="n">
        <v>4713</v>
      </c>
      <c r="C1925" s="81" t="n">
        <v>43685</v>
      </c>
      <c r="D1925" s="38" t="s">
        <v>22</v>
      </c>
      <c r="E1925" s="65" t="s">
        <v>129</v>
      </c>
      <c r="F1925" s="82" t="s">
        <v>130</v>
      </c>
      <c r="G1925" s="65" t="s">
        <v>986</v>
      </c>
      <c r="H1925" s="112" t="s">
        <v>2872</v>
      </c>
      <c r="I1925" s="112" t="s">
        <v>57</v>
      </c>
      <c r="J1925" s="83" t="n">
        <v>40.22</v>
      </c>
      <c r="K1925" s="84" t="n">
        <v>465750</v>
      </c>
      <c r="L1925" s="113" t="n">
        <f aca="false">K1925/J1925</f>
        <v>11580.0596718051</v>
      </c>
      <c r="M1925" s="114"/>
      <c r="N1925" s="93"/>
      <c r="O1925" s="88" t="n">
        <f aca="false">K1925+N1925</f>
        <v>465750</v>
      </c>
      <c r="P1925" s="88" t="n">
        <f aca="false">O1925/J1925</f>
        <v>11580.0596718051</v>
      </c>
      <c r="Q1925" s="83" t="s">
        <v>2848</v>
      </c>
      <c r="R1925" s="65" t="s">
        <v>36</v>
      </c>
      <c r="S1925" s="19" t="s">
        <v>29</v>
      </c>
      <c r="T1925" s="19" t="s">
        <v>30</v>
      </c>
      <c r="U1925" s="19" t="s">
        <v>31</v>
      </c>
      <c r="V1925" s="22" t="s">
        <v>2184</v>
      </c>
      <c r="W1925" s="18"/>
      <c r="X1925" s="18"/>
    </row>
    <row r="1926" customFormat="false" ht="13.8" hidden="false" customHeight="false" outlineLevel="0" collapsed="false">
      <c r="A1926" s="18"/>
      <c r="B1926" s="62" t="n">
        <v>1276</v>
      </c>
      <c r="C1926" s="81" t="n">
        <v>43685</v>
      </c>
      <c r="D1926" s="38" t="s">
        <v>22</v>
      </c>
      <c r="E1926" s="65" t="s">
        <v>212</v>
      </c>
      <c r="F1926" s="82" t="s">
        <v>2240</v>
      </c>
      <c r="G1926" s="65" t="s">
        <v>1854</v>
      </c>
      <c r="H1926" s="112" t="s">
        <v>57</v>
      </c>
      <c r="I1926" s="112" t="s">
        <v>26</v>
      </c>
      <c r="J1926" s="83" t="n">
        <v>37.08</v>
      </c>
      <c r="K1926" s="84" t="n">
        <v>398000</v>
      </c>
      <c r="L1926" s="113" t="n">
        <f aca="false">K1926/J1926</f>
        <v>10733.5490830636</v>
      </c>
      <c r="M1926" s="114" t="s">
        <v>2873</v>
      </c>
      <c r="N1926" s="93"/>
      <c r="O1926" s="88" t="n">
        <f aca="false">K1926+N1926</f>
        <v>398000</v>
      </c>
      <c r="P1926" s="88" t="n">
        <f aca="false">O1926/J1926</f>
        <v>10733.5490830636</v>
      </c>
      <c r="Q1926" s="83" t="s">
        <v>2874</v>
      </c>
      <c r="R1926" s="65" t="s">
        <v>26</v>
      </c>
      <c r="S1926" s="19" t="s">
        <v>29</v>
      </c>
      <c r="T1926" s="19" t="s">
        <v>30</v>
      </c>
      <c r="U1926" s="19" t="s">
        <v>31</v>
      </c>
      <c r="V1926" s="22" t="s">
        <v>2184</v>
      </c>
      <c r="W1926" s="18"/>
      <c r="X1926" s="18"/>
    </row>
    <row r="1927" customFormat="false" ht="13.8" hidden="false" customHeight="false" outlineLevel="0" collapsed="false">
      <c r="A1927" s="18"/>
      <c r="B1927" s="65" t="s">
        <v>2875</v>
      </c>
      <c r="C1927" s="81" t="n">
        <v>43685</v>
      </c>
      <c r="D1927" s="38" t="s">
        <v>22</v>
      </c>
      <c r="E1927" s="22" t="s">
        <v>80</v>
      </c>
      <c r="F1927" s="91" t="s">
        <v>162</v>
      </c>
      <c r="G1927" s="65" t="s">
        <v>27</v>
      </c>
      <c r="H1927" s="65" t="s">
        <v>259</v>
      </c>
      <c r="I1927" s="65" t="s">
        <v>26</v>
      </c>
      <c r="J1927" s="83" t="n">
        <v>54.13</v>
      </c>
      <c r="K1927" s="84" t="n">
        <v>890000</v>
      </c>
      <c r="L1927" s="66" t="n">
        <f aca="false">K1927/J1927</f>
        <v>16441.8991317199</v>
      </c>
      <c r="M1927" s="117" t="s">
        <v>940</v>
      </c>
      <c r="N1927" s="87" t="n">
        <v>60000</v>
      </c>
      <c r="O1927" s="66" t="n">
        <f aca="false">K1927+N1927</f>
        <v>950000</v>
      </c>
      <c r="P1927" s="88" t="n">
        <f aca="false">O1927/J1927</f>
        <v>17550.3417698134</v>
      </c>
      <c r="Q1927" s="65" t="s">
        <v>1033</v>
      </c>
      <c r="R1927" s="65" t="s">
        <v>26</v>
      </c>
      <c r="S1927" s="19" t="s">
        <v>29</v>
      </c>
      <c r="T1927" s="19" t="s">
        <v>30</v>
      </c>
      <c r="U1927" s="19" t="s">
        <v>31</v>
      </c>
      <c r="V1927" s="22" t="s">
        <v>2184</v>
      </c>
      <c r="W1927" s="18"/>
      <c r="X1927" s="18"/>
    </row>
    <row r="1928" customFormat="false" ht="13.8" hidden="false" customHeight="false" outlineLevel="0" collapsed="false">
      <c r="A1928" s="18"/>
      <c r="B1928" s="65" t="s">
        <v>2876</v>
      </c>
      <c r="C1928" s="81" t="n">
        <v>43685</v>
      </c>
      <c r="D1928" s="38" t="s">
        <v>22</v>
      </c>
      <c r="E1928" s="22" t="s">
        <v>378</v>
      </c>
      <c r="F1928" s="82" t="s">
        <v>379</v>
      </c>
      <c r="G1928" s="65" t="s">
        <v>26</v>
      </c>
      <c r="H1928" s="65" t="s">
        <v>275</v>
      </c>
      <c r="I1928" s="65" t="s">
        <v>101</v>
      </c>
      <c r="J1928" s="83" t="n">
        <v>54.84</v>
      </c>
      <c r="K1928" s="84" t="n">
        <v>727000</v>
      </c>
      <c r="L1928" s="85" t="n">
        <f aca="false">K1928/J1928</f>
        <v>13256.7469000729</v>
      </c>
      <c r="M1928" s="90"/>
      <c r="N1928" s="87"/>
      <c r="O1928" s="88" t="n">
        <f aca="false">K1928+N1928</f>
        <v>727000</v>
      </c>
      <c r="P1928" s="85" t="n">
        <f aca="false">O1928/J1928</f>
        <v>13256.7469000729</v>
      </c>
      <c r="Q1928" s="83" t="s">
        <v>2877</v>
      </c>
      <c r="R1928" s="65" t="s">
        <v>26</v>
      </c>
      <c r="S1928" s="19" t="s">
        <v>29</v>
      </c>
      <c r="T1928" s="19" t="s">
        <v>30</v>
      </c>
      <c r="U1928" s="19" t="s">
        <v>31</v>
      </c>
      <c r="V1928" s="22" t="s">
        <v>2184</v>
      </c>
      <c r="W1928" s="18"/>
      <c r="X1928" s="18"/>
    </row>
    <row r="1929" customFormat="false" ht="13.8" hidden="false" customHeight="false" outlineLevel="0" collapsed="false">
      <c r="A1929" s="18"/>
      <c r="B1929" s="65" t="s">
        <v>2878</v>
      </c>
      <c r="C1929" s="81" t="n">
        <v>43685</v>
      </c>
      <c r="D1929" s="38" t="s">
        <v>22</v>
      </c>
      <c r="E1929" s="65" t="s">
        <v>644</v>
      </c>
      <c r="F1929" s="82" t="s">
        <v>1029</v>
      </c>
      <c r="G1929" s="65" t="s">
        <v>128</v>
      </c>
      <c r="H1929" s="65" t="s">
        <v>25</v>
      </c>
      <c r="I1929" s="65" t="s">
        <v>49</v>
      </c>
      <c r="J1929" s="83" t="n">
        <v>62.66</v>
      </c>
      <c r="K1929" s="84" t="n">
        <v>900000</v>
      </c>
      <c r="L1929" s="85" t="n">
        <f aca="false">K1929/J1929</f>
        <v>14363.230130865</v>
      </c>
      <c r="M1929" s="111"/>
      <c r="N1929" s="87"/>
      <c r="O1929" s="88" t="n">
        <f aca="false">K1929+N1929</f>
        <v>900000</v>
      </c>
      <c r="P1929" s="88" t="n">
        <f aca="false">O1929/J1929</f>
        <v>14363.230130865</v>
      </c>
      <c r="Q1929" s="83" t="s">
        <v>952</v>
      </c>
      <c r="R1929" s="65" t="s">
        <v>26</v>
      </c>
      <c r="S1929" s="19" t="s">
        <v>29</v>
      </c>
      <c r="T1929" s="19" t="s">
        <v>30</v>
      </c>
      <c r="U1929" s="19" t="s">
        <v>31</v>
      </c>
      <c r="V1929" s="22" t="s">
        <v>2184</v>
      </c>
      <c r="W1929" s="18"/>
      <c r="X1929" s="18"/>
    </row>
    <row r="1930" customFormat="false" ht="14.15" hidden="false" customHeight="false" outlineLevel="0" collapsed="false">
      <c r="A1930" s="18"/>
      <c r="B1930" s="65" t="s">
        <v>2879</v>
      </c>
      <c r="C1930" s="81" t="n">
        <v>43685</v>
      </c>
      <c r="D1930" s="38" t="s">
        <v>22</v>
      </c>
      <c r="E1930" s="22" t="s">
        <v>350</v>
      </c>
      <c r="F1930" s="91" t="s">
        <v>351</v>
      </c>
      <c r="G1930" s="65" t="s">
        <v>2880</v>
      </c>
      <c r="H1930" s="65" t="s">
        <v>2881</v>
      </c>
      <c r="I1930" s="65" t="s">
        <v>57</v>
      </c>
      <c r="J1930" s="83" t="n">
        <f aca="false">80.46-7.06</f>
        <v>73.4</v>
      </c>
      <c r="K1930" s="84" t="n">
        <v>760000</v>
      </c>
      <c r="L1930" s="85" t="n">
        <f aca="false">K1930/J1930</f>
        <v>10354.2234332425</v>
      </c>
      <c r="M1930" s="117" t="s">
        <v>2882</v>
      </c>
      <c r="N1930" s="87" t="s">
        <v>2883</v>
      </c>
      <c r="O1930" s="88" t="str">
        <f aca="false">K1930+N1930</f>
        <v>#ARG!</v>
      </c>
      <c r="P1930" s="88" t="str">
        <f aca="false">O1930/J1930</f>
        <v>#ARG!</v>
      </c>
      <c r="Q1930" s="65" t="s">
        <v>2884</v>
      </c>
      <c r="R1930" s="65" t="s">
        <v>26</v>
      </c>
      <c r="S1930" s="19" t="s">
        <v>29</v>
      </c>
      <c r="T1930" s="19" t="s">
        <v>30</v>
      </c>
      <c r="U1930" s="19" t="s">
        <v>31</v>
      </c>
      <c r="V1930" s="22" t="s">
        <v>2184</v>
      </c>
      <c r="W1930" s="23"/>
      <c r="X1930" s="110"/>
    </row>
    <row r="1931" customFormat="false" ht="13.8" hidden="false" customHeight="false" outlineLevel="0" collapsed="false">
      <c r="A1931" s="18"/>
      <c r="B1931" s="65" t="s">
        <v>2885</v>
      </c>
      <c r="C1931" s="81" t="n">
        <v>43685</v>
      </c>
      <c r="D1931" s="38" t="s">
        <v>22</v>
      </c>
      <c r="E1931" s="65" t="s">
        <v>308</v>
      </c>
      <c r="F1931" s="82" t="s">
        <v>46</v>
      </c>
      <c r="G1931" s="65" t="s">
        <v>2880</v>
      </c>
      <c r="H1931" s="65" t="s">
        <v>120</v>
      </c>
      <c r="I1931" s="65" t="s">
        <v>49</v>
      </c>
      <c r="J1931" s="83" t="n">
        <v>40</v>
      </c>
      <c r="K1931" s="84" t="n">
        <v>583100</v>
      </c>
      <c r="L1931" s="85" t="n">
        <f aca="false">K1931/J1931</f>
        <v>14577.5</v>
      </c>
      <c r="M1931" s="111"/>
      <c r="N1931" s="87"/>
      <c r="O1931" s="88" t="n">
        <f aca="false">K1931+N1931</f>
        <v>583100</v>
      </c>
      <c r="P1931" s="88" t="n">
        <f aca="false">O1931/J1931</f>
        <v>14577.5</v>
      </c>
      <c r="Q1931" s="83" t="s">
        <v>2886</v>
      </c>
      <c r="R1931" s="65" t="s">
        <v>26</v>
      </c>
      <c r="S1931" s="19" t="s">
        <v>29</v>
      </c>
      <c r="T1931" s="19" t="s">
        <v>30</v>
      </c>
      <c r="U1931" s="19" t="s">
        <v>31</v>
      </c>
      <c r="V1931" s="22" t="s">
        <v>2184</v>
      </c>
      <c r="W1931" s="18"/>
      <c r="X1931" s="18"/>
    </row>
    <row r="1932" customFormat="false" ht="13.8" hidden="false" customHeight="false" outlineLevel="0" collapsed="false">
      <c r="A1932" s="18"/>
      <c r="B1932" s="65" t="s">
        <v>2887</v>
      </c>
      <c r="C1932" s="81" t="n">
        <v>43685</v>
      </c>
      <c r="D1932" s="38" t="s">
        <v>22</v>
      </c>
      <c r="E1932" s="22" t="s">
        <v>235</v>
      </c>
      <c r="F1932" s="82" t="s">
        <v>2888</v>
      </c>
      <c r="G1932" s="65" t="s">
        <v>49</v>
      </c>
      <c r="H1932" s="65" t="s">
        <v>115</v>
      </c>
      <c r="I1932" s="65" t="s">
        <v>36</v>
      </c>
      <c r="J1932" s="83" t="n">
        <v>38.52</v>
      </c>
      <c r="K1932" s="84" t="n">
        <v>420000</v>
      </c>
      <c r="L1932" s="85" t="n">
        <f aca="false">K1932/J1932</f>
        <v>10903.4267912773</v>
      </c>
      <c r="M1932" s="111"/>
      <c r="N1932" s="87"/>
      <c r="O1932" s="88" t="n">
        <f aca="false">K1932+N1932</f>
        <v>420000</v>
      </c>
      <c r="P1932" s="88" t="n">
        <f aca="false">O1932/J1932</f>
        <v>10903.4267912773</v>
      </c>
      <c r="Q1932" s="83" t="s">
        <v>2810</v>
      </c>
      <c r="R1932" s="65" t="s">
        <v>26</v>
      </c>
      <c r="S1932" s="19" t="s">
        <v>29</v>
      </c>
      <c r="T1932" s="19" t="s">
        <v>30</v>
      </c>
      <c r="U1932" s="19" t="s">
        <v>31</v>
      </c>
      <c r="V1932" s="22" t="s">
        <v>2184</v>
      </c>
      <c r="W1932" s="18"/>
      <c r="X1932" s="18"/>
    </row>
    <row r="1933" customFormat="false" ht="13.8" hidden="false" customHeight="false" outlineLevel="0" collapsed="false">
      <c r="A1933" s="18"/>
      <c r="B1933" s="65" t="s">
        <v>2889</v>
      </c>
      <c r="C1933" s="81" t="n">
        <v>43685</v>
      </c>
      <c r="D1933" s="38" t="s">
        <v>22</v>
      </c>
      <c r="E1933" s="65" t="s">
        <v>109</v>
      </c>
      <c r="F1933" s="91" t="s">
        <v>127</v>
      </c>
      <c r="G1933" s="65" t="s">
        <v>2890</v>
      </c>
      <c r="H1933" s="65" t="s">
        <v>74</v>
      </c>
      <c r="I1933" s="65" t="s">
        <v>49</v>
      </c>
      <c r="J1933" s="83" t="n">
        <v>41.09</v>
      </c>
      <c r="K1933" s="84" t="n">
        <v>490000</v>
      </c>
      <c r="L1933" s="85" t="n">
        <f aca="false">K1933/J1933</f>
        <v>11925.0425894378</v>
      </c>
      <c r="M1933" s="92"/>
      <c r="N1933" s="93"/>
      <c r="O1933" s="88" t="n">
        <f aca="false">K1933+N1933</f>
        <v>490000</v>
      </c>
      <c r="P1933" s="85" t="n">
        <f aca="false">O1933/J1933</f>
        <v>11925.0425894378</v>
      </c>
      <c r="Q1933" s="94" t="s">
        <v>2845</v>
      </c>
      <c r="R1933" s="65" t="s">
        <v>36</v>
      </c>
      <c r="S1933" s="19" t="s">
        <v>29</v>
      </c>
      <c r="T1933" s="19" t="s">
        <v>30</v>
      </c>
      <c r="U1933" s="19" t="s">
        <v>31</v>
      </c>
      <c r="V1933" s="22" t="s">
        <v>2184</v>
      </c>
      <c r="W1933" s="18"/>
      <c r="X1933" s="18"/>
      <c r="Y1933" s="116"/>
    </row>
    <row r="1934" customFormat="false" ht="13.8" hidden="false" customHeight="false" outlineLevel="0" collapsed="false">
      <c r="A1934" s="18"/>
      <c r="B1934" s="62" t="n">
        <v>1810</v>
      </c>
      <c r="C1934" s="81" t="n">
        <v>43685</v>
      </c>
      <c r="D1934" s="38" t="s">
        <v>22</v>
      </c>
      <c r="E1934" s="65" t="s">
        <v>623</v>
      </c>
      <c r="F1934" s="82" t="s">
        <v>272</v>
      </c>
      <c r="G1934" s="65" t="s">
        <v>2891</v>
      </c>
      <c r="H1934" s="112" t="s">
        <v>2186</v>
      </c>
      <c r="I1934" s="112" t="s">
        <v>27</v>
      </c>
      <c r="J1934" s="83" t="n">
        <v>66.37</v>
      </c>
      <c r="K1934" s="84" t="n">
        <v>557004</v>
      </c>
      <c r="L1934" s="113" t="n">
        <f aca="false">K1934/J1934</f>
        <v>8392.40620762393</v>
      </c>
      <c r="M1934" s="114" t="s">
        <v>940</v>
      </c>
      <c r="N1934" s="93" t="n">
        <v>55000</v>
      </c>
      <c r="O1934" s="88" t="n">
        <f aca="false">K1934+N1934</f>
        <v>612004</v>
      </c>
      <c r="P1934" s="88" t="n">
        <f aca="false">O1934/J1934</f>
        <v>9221.09386771132</v>
      </c>
      <c r="Q1934" s="83" t="s">
        <v>2892</v>
      </c>
      <c r="R1934" s="65" t="s">
        <v>49</v>
      </c>
      <c r="S1934" s="19" t="s">
        <v>29</v>
      </c>
      <c r="T1934" s="19" t="s">
        <v>30</v>
      </c>
      <c r="U1934" s="19" t="s">
        <v>31</v>
      </c>
      <c r="V1934" s="22" t="s">
        <v>2184</v>
      </c>
      <c r="W1934" s="18"/>
      <c r="X1934" s="18"/>
    </row>
    <row r="1935" customFormat="false" ht="14.15" hidden="false" customHeight="false" outlineLevel="0" collapsed="false">
      <c r="A1935" s="18"/>
      <c r="B1935" s="65" t="s">
        <v>2893</v>
      </c>
      <c r="C1935" s="81" t="n">
        <v>43686</v>
      </c>
      <c r="D1935" s="38" t="s">
        <v>22</v>
      </c>
      <c r="E1935" s="22" t="s">
        <v>156</v>
      </c>
      <c r="F1935" s="91" t="s">
        <v>392</v>
      </c>
      <c r="G1935" s="65" t="s">
        <v>2894</v>
      </c>
      <c r="H1935" s="65" t="s">
        <v>128</v>
      </c>
      <c r="I1935" s="65" t="s">
        <v>49</v>
      </c>
      <c r="J1935" s="83" t="n">
        <f aca="false">33.35-4.14</f>
        <v>29.21</v>
      </c>
      <c r="K1935" s="84" t="n">
        <v>400000</v>
      </c>
      <c r="L1935" s="113" t="n">
        <f aca="false">K1935/J1935</f>
        <v>13693.9404313591</v>
      </c>
      <c r="M1935" s="92" t="s">
        <v>2895</v>
      </c>
      <c r="N1935" s="93" t="n">
        <v>20000</v>
      </c>
      <c r="O1935" s="88" t="n">
        <f aca="false">K1935+N1935</f>
        <v>420000</v>
      </c>
      <c r="P1935" s="88" t="n">
        <f aca="false">O1935/J1935</f>
        <v>14378.6374529271</v>
      </c>
      <c r="Q1935" s="94" t="s">
        <v>2896</v>
      </c>
      <c r="R1935" s="65" t="s">
        <v>27</v>
      </c>
      <c r="S1935" s="19" t="s">
        <v>29</v>
      </c>
      <c r="T1935" s="19" t="s">
        <v>30</v>
      </c>
      <c r="U1935" s="19" t="s">
        <v>31</v>
      </c>
      <c r="V1935" s="22" t="s">
        <v>2184</v>
      </c>
      <c r="W1935" s="18"/>
      <c r="X1935" s="18"/>
    </row>
    <row r="1936" customFormat="false" ht="13.8" hidden="false" customHeight="false" outlineLevel="0" collapsed="false">
      <c r="A1936" s="18"/>
      <c r="B1936" s="65" t="s">
        <v>2897</v>
      </c>
      <c r="C1936" s="81" t="n">
        <v>43686</v>
      </c>
      <c r="D1936" s="38" t="s">
        <v>22</v>
      </c>
      <c r="E1936" s="22" t="s">
        <v>80</v>
      </c>
      <c r="F1936" s="82" t="s">
        <v>81</v>
      </c>
      <c r="G1936" s="65" t="s">
        <v>112</v>
      </c>
      <c r="H1936" s="65" t="s">
        <v>26</v>
      </c>
      <c r="I1936" s="65" t="s">
        <v>36</v>
      </c>
      <c r="J1936" s="83" t="n">
        <v>47.37</v>
      </c>
      <c r="K1936" s="84" t="n">
        <v>700000</v>
      </c>
      <c r="L1936" s="85" t="n">
        <f aca="false">K1936/J1936</f>
        <v>14777.2852016044</v>
      </c>
      <c r="M1936" s="90" t="s">
        <v>2898</v>
      </c>
      <c r="N1936" s="87" t="n">
        <v>35000</v>
      </c>
      <c r="O1936" s="88" t="n">
        <f aca="false">K1936+N1936</f>
        <v>735000</v>
      </c>
      <c r="P1936" s="88" t="n">
        <f aca="false">O1936/J1936</f>
        <v>15516.1494616846</v>
      </c>
      <c r="Q1936" s="83" t="s">
        <v>2899</v>
      </c>
      <c r="R1936" s="65" t="s">
        <v>26</v>
      </c>
      <c r="S1936" s="19" t="s">
        <v>29</v>
      </c>
      <c r="T1936" s="19" t="s">
        <v>30</v>
      </c>
      <c r="U1936" s="19" t="s">
        <v>31</v>
      </c>
      <c r="V1936" s="22" t="s">
        <v>2184</v>
      </c>
      <c r="W1936" s="18"/>
      <c r="X1936" s="18"/>
    </row>
    <row r="1937" customFormat="false" ht="13.8" hidden="false" customHeight="false" outlineLevel="0" collapsed="false">
      <c r="A1937" s="18"/>
      <c r="B1937" s="65" t="s">
        <v>2900</v>
      </c>
      <c r="C1937" s="81" t="n">
        <v>43686</v>
      </c>
      <c r="D1937" s="38" t="s">
        <v>22</v>
      </c>
      <c r="E1937" s="65" t="s">
        <v>343</v>
      </c>
      <c r="F1937" s="82" t="s">
        <v>2901</v>
      </c>
      <c r="G1937" s="65" t="s">
        <v>36</v>
      </c>
      <c r="H1937" s="65" t="s">
        <v>226</v>
      </c>
      <c r="I1937" s="65" t="s">
        <v>26</v>
      </c>
      <c r="J1937" s="83" t="n">
        <v>48.09</v>
      </c>
      <c r="K1937" s="84" t="n">
        <v>455000</v>
      </c>
      <c r="L1937" s="85" t="n">
        <f aca="false">K1937/J1937</f>
        <v>9461.42649199418</v>
      </c>
      <c r="M1937" s="90" t="s">
        <v>940</v>
      </c>
      <c r="N1937" s="87" t="n">
        <v>30000</v>
      </c>
      <c r="O1937" s="88" t="n">
        <f aca="false">K1937+N1937</f>
        <v>485000</v>
      </c>
      <c r="P1937" s="88" t="n">
        <f aca="false">O1937/J1937</f>
        <v>10085.2568101476</v>
      </c>
      <c r="Q1937" s="83" t="s">
        <v>2902</v>
      </c>
      <c r="R1937" s="65" t="s">
        <v>36</v>
      </c>
      <c r="S1937" s="19" t="s">
        <v>29</v>
      </c>
      <c r="T1937" s="19" t="s">
        <v>30</v>
      </c>
      <c r="U1937" s="19" t="s">
        <v>31</v>
      </c>
      <c r="V1937" s="22" t="s">
        <v>2184</v>
      </c>
      <c r="W1937" s="18"/>
      <c r="X1937" s="18"/>
    </row>
    <row r="1938" customFormat="false" ht="13.8" hidden="false" customHeight="false" outlineLevel="0" collapsed="false">
      <c r="A1938" s="18"/>
      <c r="B1938" s="65" t="s">
        <v>2903</v>
      </c>
      <c r="C1938" s="81" t="n">
        <v>43686</v>
      </c>
      <c r="D1938" s="38" t="s">
        <v>22</v>
      </c>
      <c r="E1938" s="65" t="s">
        <v>109</v>
      </c>
      <c r="F1938" s="82" t="s">
        <v>603</v>
      </c>
      <c r="G1938" s="65" t="s">
        <v>1007</v>
      </c>
      <c r="H1938" s="65" t="s">
        <v>141</v>
      </c>
      <c r="I1938" s="65" t="s">
        <v>49</v>
      </c>
      <c r="J1938" s="83" t="n">
        <v>38.17</v>
      </c>
      <c r="K1938" s="84" t="n">
        <v>438000</v>
      </c>
      <c r="L1938" s="85" t="n">
        <f aca="false">K1938/J1938</f>
        <v>11474.980351061</v>
      </c>
      <c r="M1938" s="90"/>
      <c r="N1938" s="87"/>
      <c r="O1938" s="88" t="n">
        <f aca="false">K1938+N1938</f>
        <v>438000</v>
      </c>
      <c r="P1938" s="88" t="n">
        <f aca="false">O1938/J1938</f>
        <v>11474.980351061</v>
      </c>
      <c r="Q1938" s="83" t="s">
        <v>2770</v>
      </c>
      <c r="R1938" s="65" t="s">
        <v>26</v>
      </c>
      <c r="S1938" s="19" t="s">
        <v>29</v>
      </c>
      <c r="T1938" s="19" t="s">
        <v>30</v>
      </c>
      <c r="U1938" s="19" t="s">
        <v>31</v>
      </c>
      <c r="V1938" s="22" t="s">
        <v>2184</v>
      </c>
      <c r="W1938" s="18"/>
      <c r="X1938" s="18"/>
    </row>
    <row r="1939" customFormat="false" ht="13.8" hidden="false" customHeight="false" outlineLevel="0" collapsed="false">
      <c r="A1939" s="18"/>
      <c r="B1939" s="62" t="n">
        <v>3821</v>
      </c>
      <c r="C1939" s="81" t="n">
        <v>43686</v>
      </c>
      <c r="D1939" s="38" t="s">
        <v>22</v>
      </c>
      <c r="E1939" s="65" t="s">
        <v>284</v>
      </c>
      <c r="F1939" s="82" t="s">
        <v>404</v>
      </c>
      <c r="G1939" s="65" t="s">
        <v>286</v>
      </c>
      <c r="H1939" s="112" t="s">
        <v>26</v>
      </c>
      <c r="I1939" s="112" t="s">
        <v>36</v>
      </c>
      <c r="J1939" s="83" t="n">
        <v>50.02</v>
      </c>
      <c r="K1939" s="84" t="n">
        <v>390000</v>
      </c>
      <c r="L1939" s="113" t="n">
        <f aca="false">K1939/J1939</f>
        <v>7796.881247501</v>
      </c>
      <c r="M1939" s="114" t="s">
        <v>189</v>
      </c>
      <c r="N1939" s="93"/>
      <c r="O1939" s="88" t="n">
        <f aca="false">K1939+N1939</f>
        <v>390000</v>
      </c>
      <c r="P1939" s="88" t="n">
        <f aca="false">O1939/J1939</f>
        <v>7796.881247501</v>
      </c>
      <c r="Q1939" s="83" t="s">
        <v>2770</v>
      </c>
      <c r="R1939" s="65" t="s">
        <v>26</v>
      </c>
      <c r="S1939" s="19" t="s">
        <v>29</v>
      </c>
      <c r="T1939" s="19" t="s">
        <v>30</v>
      </c>
      <c r="U1939" s="19" t="s">
        <v>31</v>
      </c>
      <c r="V1939" s="22" t="s">
        <v>2184</v>
      </c>
      <c r="W1939" s="18"/>
      <c r="X1939" s="18"/>
    </row>
    <row r="1940" customFormat="false" ht="13.8" hidden="false" customHeight="false" outlineLevel="0" collapsed="false">
      <c r="A1940" s="18"/>
      <c r="B1940" s="65" t="s">
        <v>2904</v>
      </c>
      <c r="C1940" s="81" t="n">
        <v>43686</v>
      </c>
      <c r="D1940" s="38" t="s">
        <v>22</v>
      </c>
      <c r="E1940" s="22" t="s">
        <v>113</v>
      </c>
      <c r="F1940" s="91" t="s">
        <v>851</v>
      </c>
      <c r="G1940" s="65" t="s">
        <v>27</v>
      </c>
      <c r="H1940" s="65" t="s">
        <v>111</v>
      </c>
      <c r="I1940" s="65" t="s">
        <v>27</v>
      </c>
      <c r="J1940" s="83" t="n">
        <v>27.3</v>
      </c>
      <c r="K1940" s="88" t="n">
        <v>280000</v>
      </c>
      <c r="L1940" s="85" t="n">
        <f aca="false">K1940/J1940</f>
        <v>10256.4102564103</v>
      </c>
      <c r="M1940" s="92"/>
      <c r="N1940" s="93"/>
      <c r="O1940" s="88" t="n">
        <f aca="false">K1940+N1940</f>
        <v>280000</v>
      </c>
      <c r="P1940" s="85" t="n">
        <f aca="false">O1940/J1940</f>
        <v>10256.4102564103</v>
      </c>
      <c r="Q1940" s="94" t="s">
        <v>2830</v>
      </c>
      <c r="R1940" s="65" t="s">
        <v>36</v>
      </c>
      <c r="S1940" s="19" t="s">
        <v>29</v>
      </c>
      <c r="T1940" s="19" t="s">
        <v>30</v>
      </c>
      <c r="U1940" s="19" t="s">
        <v>31</v>
      </c>
      <c r="V1940" s="22" t="s">
        <v>2184</v>
      </c>
      <c r="W1940" s="18"/>
      <c r="X1940" s="18"/>
    </row>
    <row r="1941" customFormat="false" ht="14.15" hidden="false" customHeight="false" outlineLevel="0" collapsed="false">
      <c r="A1941" s="18"/>
      <c r="B1941" s="65" t="s">
        <v>2905</v>
      </c>
      <c r="C1941" s="81" t="n">
        <v>43686</v>
      </c>
      <c r="D1941" s="38" t="s">
        <v>22</v>
      </c>
      <c r="E1941" s="22" t="s">
        <v>350</v>
      </c>
      <c r="F1941" s="82" t="s">
        <v>351</v>
      </c>
      <c r="G1941" s="65" t="s">
        <v>2906</v>
      </c>
      <c r="H1941" s="65" t="s">
        <v>88</v>
      </c>
      <c r="I1941" s="65" t="s">
        <v>27</v>
      </c>
      <c r="J1941" s="83" t="n">
        <f aca="false">45.57-2.39</f>
        <v>43.18</v>
      </c>
      <c r="K1941" s="84" t="n">
        <v>490000</v>
      </c>
      <c r="L1941" s="85" t="n">
        <f aca="false">K1941/J1941</f>
        <v>11347.8462251042</v>
      </c>
      <c r="M1941" s="111" t="s">
        <v>2907</v>
      </c>
      <c r="N1941" s="87" t="n">
        <v>40000</v>
      </c>
      <c r="O1941" s="88" t="n">
        <f aca="false">K1941+N1941</f>
        <v>530000</v>
      </c>
      <c r="P1941" s="88" t="n">
        <f aca="false">O1941/J1941</f>
        <v>12274.2010189903</v>
      </c>
      <c r="Q1941" s="83" t="s">
        <v>945</v>
      </c>
      <c r="R1941" s="65" t="s">
        <v>36</v>
      </c>
      <c r="S1941" s="19" t="s">
        <v>29</v>
      </c>
      <c r="T1941" s="19" t="s">
        <v>30</v>
      </c>
      <c r="U1941" s="19" t="s">
        <v>31</v>
      </c>
      <c r="V1941" s="22" t="s">
        <v>2184</v>
      </c>
      <c r="W1941" s="18"/>
      <c r="X1941" s="18"/>
    </row>
    <row r="1942" customFormat="false" ht="13.8" hidden="false" customHeight="false" outlineLevel="0" collapsed="false">
      <c r="A1942" s="18"/>
      <c r="B1942" s="65" t="s">
        <v>2908</v>
      </c>
      <c r="C1942" s="81" t="n">
        <v>43686</v>
      </c>
      <c r="D1942" s="38" t="s">
        <v>22</v>
      </c>
      <c r="E1942" s="65" t="s">
        <v>265</v>
      </c>
      <c r="F1942" s="91" t="s">
        <v>152</v>
      </c>
      <c r="G1942" s="65" t="s">
        <v>345</v>
      </c>
      <c r="H1942" s="65" t="s">
        <v>217</v>
      </c>
      <c r="I1942" s="65" t="s">
        <v>82</v>
      </c>
      <c r="J1942" s="83" t="n">
        <v>108.6</v>
      </c>
      <c r="K1942" s="84" t="n">
        <v>1460000</v>
      </c>
      <c r="L1942" s="85" t="n">
        <f aca="false">K1942/J1942</f>
        <v>13443.8305709024</v>
      </c>
      <c r="M1942" s="92" t="s">
        <v>940</v>
      </c>
      <c r="N1942" s="93" t="n">
        <v>40000</v>
      </c>
      <c r="O1942" s="88" t="n">
        <f aca="false">K1942+N1942</f>
        <v>1500000</v>
      </c>
      <c r="P1942" s="85" t="n">
        <f aca="false">O1942/J1942</f>
        <v>13812.1546961326</v>
      </c>
      <c r="Q1942" s="65" t="s">
        <v>2909</v>
      </c>
      <c r="R1942" s="65" t="s">
        <v>49</v>
      </c>
      <c r="S1942" s="19" t="s">
        <v>29</v>
      </c>
      <c r="T1942" s="19" t="s">
        <v>30</v>
      </c>
      <c r="U1942" s="19" t="s">
        <v>31</v>
      </c>
      <c r="V1942" s="22" t="s">
        <v>2184</v>
      </c>
      <c r="W1942" s="18"/>
      <c r="X1942" s="18"/>
    </row>
    <row r="1943" customFormat="false" ht="13.8" hidden="false" customHeight="false" outlineLevel="0" collapsed="false">
      <c r="A1943" s="18"/>
      <c r="B1943" s="65" t="s">
        <v>2910</v>
      </c>
      <c r="C1943" s="81" t="n">
        <v>43686</v>
      </c>
      <c r="D1943" s="38" t="s">
        <v>22</v>
      </c>
      <c r="E1943" s="22" t="s">
        <v>350</v>
      </c>
      <c r="F1943" s="82" t="s">
        <v>812</v>
      </c>
      <c r="G1943" s="65" t="s">
        <v>111</v>
      </c>
      <c r="H1943" s="65" t="s">
        <v>842</v>
      </c>
      <c r="I1943" s="65" t="s">
        <v>101</v>
      </c>
      <c r="J1943" s="83" t="n">
        <v>44.63</v>
      </c>
      <c r="K1943" s="84" t="n">
        <v>523000</v>
      </c>
      <c r="L1943" s="85" t="n">
        <f aca="false">K1943/J1943</f>
        <v>11718.5749495855</v>
      </c>
      <c r="M1943" s="86"/>
      <c r="N1943" s="87"/>
      <c r="O1943" s="88" t="n">
        <f aca="false">K1943+N1943</f>
        <v>523000</v>
      </c>
      <c r="P1943" s="88" t="n">
        <f aca="false">O1943/J1943</f>
        <v>11718.5749495855</v>
      </c>
      <c r="Q1943" s="83" t="s">
        <v>2911</v>
      </c>
      <c r="R1943" s="65" t="s">
        <v>36</v>
      </c>
      <c r="S1943" s="19" t="s">
        <v>29</v>
      </c>
      <c r="T1943" s="19" t="s">
        <v>30</v>
      </c>
      <c r="U1943" s="19" t="s">
        <v>31</v>
      </c>
      <c r="V1943" s="22" t="s">
        <v>2184</v>
      </c>
      <c r="W1943" s="18"/>
      <c r="X1943" s="18"/>
      <c r="Y1943" s="116"/>
    </row>
    <row r="1944" customFormat="false" ht="13.8" hidden="false" customHeight="false" outlineLevel="0" collapsed="false">
      <c r="A1944" s="18"/>
      <c r="B1944" s="62" t="n">
        <v>13389</v>
      </c>
      <c r="C1944" s="81" t="n">
        <v>43686</v>
      </c>
      <c r="D1944" s="38" t="s">
        <v>22</v>
      </c>
      <c r="E1944" s="65" t="s">
        <v>690</v>
      </c>
      <c r="F1944" s="82" t="s">
        <v>87</v>
      </c>
      <c r="G1944" s="65" t="s">
        <v>105</v>
      </c>
      <c r="H1944" s="112" t="s">
        <v>197</v>
      </c>
      <c r="I1944" s="112" t="s">
        <v>36</v>
      </c>
      <c r="J1944" s="83" t="n">
        <v>40.5</v>
      </c>
      <c r="K1944" s="84" t="n">
        <v>365000</v>
      </c>
      <c r="L1944" s="113" t="n">
        <f aca="false">K1944/J1944</f>
        <v>9012.34567901235</v>
      </c>
      <c r="M1944" s="114"/>
      <c r="N1944" s="93"/>
      <c r="O1944" s="88" t="n">
        <f aca="false">K1944+N1944</f>
        <v>365000</v>
      </c>
      <c r="P1944" s="88" t="n">
        <f aca="false">O1944/J1944</f>
        <v>9012.34567901235</v>
      </c>
      <c r="Q1944" s="83" t="s">
        <v>952</v>
      </c>
      <c r="R1944" s="65" t="s">
        <v>26</v>
      </c>
      <c r="S1944" s="19" t="s">
        <v>29</v>
      </c>
      <c r="T1944" s="19" t="s">
        <v>30</v>
      </c>
      <c r="U1944" s="19" t="s">
        <v>31</v>
      </c>
      <c r="V1944" s="22" t="s">
        <v>2184</v>
      </c>
      <c r="W1944" s="18"/>
      <c r="X1944" s="18"/>
    </row>
    <row r="1945" customFormat="false" ht="13.8" hidden="false" customHeight="false" outlineLevel="0" collapsed="false">
      <c r="A1945" s="18"/>
      <c r="B1945" s="65" t="s">
        <v>2912</v>
      </c>
      <c r="C1945" s="81" t="n">
        <v>43686</v>
      </c>
      <c r="D1945" s="38" t="s">
        <v>22</v>
      </c>
      <c r="E1945" s="22" t="s">
        <v>118</v>
      </c>
      <c r="F1945" s="82" t="s">
        <v>2812</v>
      </c>
      <c r="G1945" s="65" t="s">
        <v>25</v>
      </c>
      <c r="H1945" s="65" t="s">
        <v>250</v>
      </c>
      <c r="I1945" s="65" t="s">
        <v>82</v>
      </c>
      <c r="J1945" s="83" t="n">
        <v>43.6</v>
      </c>
      <c r="K1945" s="84" t="n">
        <v>340000</v>
      </c>
      <c r="L1945" s="85" t="n">
        <f aca="false">K1945/J1945</f>
        <v>7798.16513761468</v>
      </c>
      <c r="M1945" s="86"/>
      <c r="N1945" s="87"/>
      <c r="O1945" s="88" t="n">
        <f aca="false">K1945+N1945</f>
        <v>340000</v>
      </c>
      <c r="P1945" s="88" t="n">
        <f aca="false">O1945/J1945</f>
        <v>7798.16513761468</v>
      </c>
      <c r="Q1945" s="83" t="s">
        <v>952</v>
      </c>
      <c r="R1945" s="65" t="s">
        <v>26</v>
      </c>
      <c r="S1945" s="19" t="s">
        <v>29</v>
      </c>
      <c r="T1945" s="19" t="s">
        <v>30</v>
      </c>
      <c r="U1945" s="19" t="s">
        <v>31</v>
      </c>
      <c r="V1945" s="22" t="s">
        <v>2184</v>
      </c>
      <c r="W1945" s="18"/>
      <c r="X1945" s="18"/>
    </row>
    <row r="1946" customFormat="false" ht="13.8" hidden="false" customHeight="false" outlineLevel="0" collapsed="false">
      <c r="A1946" s="18"/>
      <c r="B1946" s="65" t="s">
        <v>2913</v>
      </c>
      <c r="C1946" s="81" t="n">
        <v>43689</v>
      </c>
      <c r="D1946" s="38" t="s">
        <v>22</v>
      </c>
      <c r="E1946" s="65" t="s">
        <v>229</v>
      </c>
      <c r="F1946" s="82" t="s">
        <v>357</v>
      </c>
      <c r="G1946" s="65" t="s">
        <v>143</v>
      </c>
      <c r="H1946" s="65" t="s">
        <v>116</v>
      </c>
      <c r="I1946" s="65" t="s">
        <v>101</v>
      </c>
      <c r="J1946" s="83" t="n">
        <v>66</v>
      </c>
      <c r="K1946" s="84" t="n">
        <v>650000</v>
      </c>
      <c r="L1946" s="85" t="n">
        <f aca="false">K1946/J1946</f>
        <v>9848.48484848485</v>
      </c>
      <c r="M1946" s="90"/>
      <c r="N1946" s="87"/>
      <c r="O1946" s="88" t="n">
        <f aca="false">K1946+N1946</f>
        <v>650000</v>
      </c>
      <c r="P1946" s="88" t="n">
        <f aca="false">O1946/J1946</f>
        <v>9848.48484848485</v>
      </c>
      <c r="Q1946" s="83" t="s">
        <v>2914</v>
      </c>
      <c r="R1946" s="65" t="s">
        <v>26</v>
      </c>
      <c r="S1946" s="19" t="s">
        <v>29</v>
      </c>
      <c r="T1946" s="19" t="s">
        <v>30</v>
      </c>
      <c r="U1946" s="19" t="s">
        <v>31</v>
      </c>
      <c r="V1946" s="22" t="s">
        <v>2184</v>
      </c>
      <c r="W1946" s="18"/>
      <c r="X1946" s="18"/>
    </row>
    <row r="1947" customFormat="false" ht="13.8" hidden="false" customHeight="false" outlineLevel="0" collapsed="false">
      <c r="A1947" s="18"/>
      <c r="B1947" s="65" t="s">
        <v>2915</v>
      </c>
      <c r="C1947" s="81" t="n">
        <v>43689</v>
      </c>
      <c r="D1947" s="38" t="s">
        <v>22</v>
      </c>
      <c r="E1947" s="22" t="s">
        <v>75</v>
      </c>
      <c r="F1947" s="82" t="s">
        <v>134</v>
      </c>
      <c r="G1947" s="65" t="s">
        <v>200</v>
      </c>
      <c r="H1947" s="65" t="s">
        <v>154</v>
      </c>
      <c r="I1947" s="65" t="s">
        <v>49</v>
      </c>
      <c r="J1947" s="83" t="n">
        <v>46.58</v>
      </c>
      <c r="K1947" s="84" t="n">
        <v>380000</v>
      </c>
      <c r="L1947" s="85" t="n">
        <f aca="false">K1947/J1947</f>
        <v>8158.0077286389</v>
      </c>
      <c r="M1947" s="90"/>
      <c r="N1947" s="87"/>
      <c r="O1947" s="88" t="n">
        <f aca="false">K1947+N1947</f>
        <v>380000</v>
      </c>
      <c r="P1947" s="88" t="n">
        <f aca="false">O1947/J1947</f>
        <v>8158.0077286389</v>
      </c>
      <c r="Q1947" s="83" t="s">
        <v>2770</v>
      </c>
      <c r="R1947" s="65" t="s">
        <v>26</v>
      </c>
      <c r="S1947" s="19" t="s">
        <v>29</v>
      </c>
      <c r="T1947" s="19" t="s">
        <v>30</v>
      </c>
      <c r="U1947" s="19" t="s">
        <v>31</v>
      </c>
      <c r="V1947" s="22" t="s">
        <v>2184</v>
      </c>
      <c r="W1947" s="18"/>
      <c r="X1947" s="18"/>
    </row>
    <row r="1948" customFormat="false" ht="13.8" hidden="false" customHeight="false" outlineLevel="0" collapsed="false">
      <c r="A1948" s="18"/>
      <c r="B1948" s="65" t="s">
        <v>2916</v>
      </c>
      <c r="C1948" s="81" t="n">
        <v>43689</v>
      </c>
      <c r="D1948" s="38" t="s">
        <v>22</v>
      </c>
      <c r="E1948" s="65" t="s">
        <v>190</v>
      </c>
      <c r="F1948" s="82" t="s">
        <v>191</v>
      </c>
      <c r="G1948" s="65" t="s">
        <v>192</v>
      </c>
      <c r="H1948" s="65" t="s">
        <v>210</v>
      </c>
      <c r="I1948" s="65" t="s">
        <v>25</v>
      </c>
      <c r="J1948" s="83" t="n">
        <v>53.16</v>
      </c>
      <c r="K1948" s="84" t="n">
        <v>455000</v>
      </c>
      <c r="L1948" s="85" t="n">
        <f aca="false">K1948/J1948</f>
        <v>8559.06696764485</v>
      </c>
      <c r="M1948" s="86" t="s">
        <v>2570</v>
      </c>
      <c r="N1948" s="87"/>
      <c r="O1948" s="88" t="n">
        <f aca="false">K1948+N1948</f>
        <v>455000</v>
      </c>
      <c r="P1948" s="88" t="n">
        <f aca="false">O1948/J1948</f>
        <v>8559.06696764485</v>
      </c>
      <c r="Q1948" s="83" t="s">
        <v>2743</v>
      </c>
      <c r="R1948" s="65" t="s">
        <v>49</v>
      </c>
      <c r="S1948" s="19" t="s">
        <v>29</v>
      </c>
      <c r="T1948" s="19" t="s">
        <v>30</v>
      </c>
      <c r="U1948" s="19" t="s">
        <v>31</v>
      </c>
      <c r="V1948" s="22" t="s">
        <v>2184</v>
      </c>
      <c r="W1948" s="18"/>
      <c r="X1948" s="18"/>
    </row>
    <row r="1949" customFormat="false" ht="13.8" hidden="false" customHeight="false" outlineLevel="0" collapsed="false">
      <c r="A1949" s="18"/>
      <c r="B1949" s="62" t="n">
        <v>1679</v>
      </c>
      <c r="C1949" s="81" t="n">
        <v>43689</v>
      </c>
      <c r="D1949" s="38" t="s">
        <v>22</v>
      </c>
      <c r="E1949" s="22" t="s">
        <v>37</v>
      </c>
      <c r="F1949" s="82" t="s">
        <v>152</v>
      </c>
      <c r="G1949" s="65" t="s">
        <v>197</v>
      </c>
      <c r="H1949" s="112" t="s">
        <v>657</v>
      </c>
      <c r="I1949" s="112" t="s">
        <v>26</v>
      </c>
      <c r="J1949" s="83" t="n">
        <v>53.18</v>
      </c>
      <c r="K1949" s="84" t="n">
        <v>550000</v>
      </c>
      <c r="L1949" s="113" t="n">
        <f aca="false">K1949/J1949</f>
        <v>10342.2339225273</v>
      </c>
      <c r="M1949" s="114"/>
      <c r="N1949" s="93"/>
      <c r="O1949" s="88" t="n">
        <f aca="false">K1949+N1949</f>
        <v>550000</v>
      </c>
      <c r="P1949" s="88" t="n">
        <f aca="false">O1949/J1949</f>
        <v>10342.2339225273</v>
      </c>
      <c r="Q1949" s="83" t="s">
        <v>2917</v>
      </c>
      <c r="R1949" s="65" t="s">
        <v>49</v>
      </c>
      <c r="S1949" s="19" t="s">
        <v>29</v>
      </c>
      <c r="T1949" s="19" t="s">
        <v>30</v>
      </c>
      <c r="U1949" s="19" t="s">
        <v>31</v>
      </c>
      <c r="V1949" s="22" t="s">
        <v>2184</v>
      </c>
      <c r="W1949" s="18"/>
      <c r="X1949" s="18"/>
    </row>
    <row r="1950" customFormat="false" ht="13.8" hidden="false" customHeight="false" outlineLevel="0" collapsed="false">
      <c r="A1950" s="18"/>
      <c r="B1950" s="62" t="n">
        <v>9097</v>
      </c>
      <c r="C1950" s="81" t="n">
        <v>43689</v>
      </c>
      <c r="D1950" s="38" t="s">
        <v>22</v>
      </c>
      <c r="E1950" s="65" t="s">
        <v>284</v>
      </c>
      <c r="F1950" s="82" t="s">
        <v>46</v>
      </c>
      <c r="G1950" s="65" t="s">
        <v>181</v>
      </c>
      <c r="H1950" s="112" t="s">
        <v>300</v>
      </c>
      <c r="I1950" s="112" t="s">
        <v>25</v>
      </c>
      <c r="J1950" s="83" t="n">
        <v>60.31</v>
      </c>
      <c r="K1950" s="84" t="n">
        <v>552500</v>
      </c>
      <c r="L1950" s="113" t="n">
        <f aca="false">K1950/J1950</f>
        <v>9161.00149228984</v>
      </c>
      <c r="M1950" s="114"/>
      <c r="N1950" s="93"/>
      <c r="O1950" s="88" t="n">
        <f aca="false">K1950+N1950</f>
        <v>552500</v>
      </c>
      <c r="P1950" s="88" t="n">
        <f aca="false">O1950/J1950</f>
        <v>9161.00149228984</v>
      </c>
      <c r="Q1950" s="83" t="s">
        <v>925</v>
      </c>
      <c r="R1950" s="65" t="s">
        <v>26</v>
      </c>
      <c r="S1950" s="19" t="s">
        <v>29</v>
      </c>
      <c r="T1950" s="19" t="s">
        <v>30</v>
      </c>
      <c r="U1950" s="19" t="s">
        <v>31</v>
      </c>
      <c r="V1950" s="22" t="s">
        <v>2184</v>
      </c>
      <c r="W1950" s="18"/>
      <c r="X1950" s="18"/>
    </row>
    <row r="1951" customFormat="false" ht="13.8" hidden="false" customHeight="false" outlineLevel="0" collapsed="false">
      <c r="A1951" s="18"/>
      <c r="B1951" s="65" t="s">
        <v>2918</v>
      </c>
      <c r="C1951" s="81" t="n">
        <v>43689</v>
      </c>
      <c r="D1951" s="38" t="s">
        <v>22</v>
      </c>
      <c r="E1951" s="65" t="s">
        <v>369</v>
      </c>
      <c r="F1951" s="82" t="s">
        <v>450</v>
      </c>
      <c r="G1951" s="65" t="s">
        <v>82</v>
      </c>
      <c r="H1951" s="65" t="s">
        <v>26</v>
      </c>
      <c r="I1951" s="65" t="s">
        <v>36</v>
      </c>
      <c r="J1951" s="83" t="n">
        <v>51.6</v>
      </c>
      <c r="K1951" s="84" t="n">
        <v>620000</v>
      </c>
      <c r="L1951" s="85" t="n">
        <f aca="false">K1951/J1951</f>
        <v>12015.503875969</v>
      </c>
      <c r="M1951" s="90" t="s">
        <v>1739</v>
      </c>
      <c r="N1951" s="87"/>
      <c r="O1951" s="66" t="n">
        <f aca="false">K1951+N1951</f>
        <v>620000</v>
      </c>
      <c r="P1951" s="88" t="n">
        <f aca="false">O1951/J1951</f>
        <v>12015.503875969</v>
      </c>
      <c r="Q1951" s="83" t="s">
        <v>2770</v>
      </c>
      <c r="R1951" s="65" t="s">
        <v>26</v>
      </c>
      <c r="S1951" s="19" t="s">
        <v>29</v>
      </c>
      <c r="T1951" s="19" t="s">
        <v>30</v>
      </c>
      <c r="U1951" s="19" t="s">
        <v>31</v>
      </c>
      <c r="V1951" s="22" t="s">
        <v>2184</v>
      </c>
      <c r="W1951" s="18"/>
      <c r="X1951" s="18"/>
    </row>
    <row r="1952" customFormat="false" ht="13.8" hidden="false" customHeight="false" outlineLevel="0" collapsed="false">
      <c r="A1952" s="18"/>
      <c r="B1952" s="65" t="s">
        <v>2919</v>
      </c>
      <c r="C1952" s="81" t="n">
        <v>43689</v>
      </c>
      <c r="D1952" s="38" t="s">
        <v>22</v>
      </c>
      <c r="E1952" s="22" t="s">
        <v>80</v>
      </c>
      <c r="F1952" s="91" t="s">
        <v>754</v>
      </c>
      <c r="G1952" s="65" t="s">
        <v>82</v>
      </c>
      <c r="H1952" s="65" t="s">
        <v>743</v>
      </c>
      <c r="I1952" s="65" t="s">
        <v>26</v>
      </c>
      <c r="J1952" s="83" t="n">
        <v>78.26</v>
      </c>
      <c r="K1952" s="84" t="n">
        <v>1170000</v>
      </c>
      <c r="L1952" s="113" t="n">
        <f aca="false">K1952/J1952</f>
        <v>14950.1661129568</v>
      </c>
      <c r="M1952" s="117" t="s">
        <v>940</v>
      </c>
      <c r="N1952" s="87"/>
      <c r="O1952" s="88" t="n">
        <f aca="false">K1952+N1952</f>
        <v>1170000</v>
      </c>
      <c r="P1952" s="88" t="n">
        <f aca="false">O1952/J1952</f>
        <v>14950.1661129568</v>
      </c>
      <c r="Q1952" s="65" t="s">
        <v>2920</v>
      </c>
      <c r="R1952" s="65" t="s">
        <v>49</v>
      </c>
      <c r="S1952" s="19" t="s">
        <v>29</v>
      </c>
      <c r="T1952" s="19" t="s">
        <v>30</v>
      </c>
      <c r="U1952" s="19" t="s">
        <v>31</v>
      </c>
      <c r="V1952" s="22" t="s">
        <v>2184</v>
      </c>
      <c r="W1952" s="18"/>
      <c r="X1952" s="18"/>
    </row>
    <row r="1953" customFormat="false" ht="13.8" hidden="false" customHeight="false" outlineLevel="0" collapsed="false">
      <c r="A1953" s="18"/>
      <c r="B1953" s="65" t="s">
        <v>2921</v>
      </c>
      <c r="C1953" s="81" t="n">
        <v>43690</v>
      </c>
      <c r="D1953" s="38" t="s">
        <v>22</v>
      </c>
      <c r="E1953" s="22" t="s">
        <v>375</v>
      </c>
      <c r="F1953" s="82" t="s">
        <v>376</v>
      </c>
      <c r="G1953" s="65" t="s">
        <v>25</v>
      </c>
      <c r="H1953" s="65" t="s">
        <v>143</v>
      </c>
      <c r="I1953" s="65" t="s">
        <v>26</v>
      </c>
      <c r="J1953" s="83" t="n">
        <v>26.63</v>
      </c>
      <c r="K1953" s="84" t="n">
        <v>415000</v>
      </c>
      <c r="L1953" s="85" t="n">
        <f aca="false">K1953/J1953</f>
        <v>15583.9279008637</v>
      </c>
      <c r="M1953" s="86"/>
      <c r="N1953" s="87"/>
      <c r="O1953" s="88" t="n">
        <f aca="false">K1953+N1953</f>
        <v>415000</v>
      </c>
      <c r="P1953" s="88" t="n">
        <f aca="false">O1953/J1953</f>
        <v>15583.9279008637</v>
      </c>
      <c r="Q1953" s="83" t="s">
        <v>2922</v>
      </c>
      <c r="R1953" s="65" t="s">
        <v>36</v>
      </c>
      <c r="S1953" s="19" t="s">
        <v>29</v>
      </c>
      <c r="T1953" s="19" t="s">
        <v>30</v>
      </c>
      <c r="U1953" s="19" t="s">
        <v>31</v>
      </c>
      <c r="V1953" s="22" t="s">
        <v>2184</v>
      </c>
      <c r="W1953" s="18"/>
      <c r="X1953" s="18"/>
    </row>
    <row r="1954" customFormat="false" ht="13.8" hidden="false" customHeight="false" outlineLevel="0" collapsed="false">
      <c r="A1954" s="18"/>
      <c r="B1954" s="65" t="s">
        <v>2923</v>
      </c>
      <c r="C1954" s="81" t="n">
        <v>43690</v>
      </c>
      <c r="D1954" s="38" t="s">
        <v>22</v>
      </c>
      <c r="E1954" s="22" t="s">
        <v>665</v>
      </c>
      <c r="F1954" s="82" t="s">
        <v>666</v>
      </c>
      <c r="G1954" s="65" t="s">
        <v>101</v>
      </c>
      <c r="H1954" s="65" t="s">
        <v>776</v>
      </c>
      <c r="I1954" s="65" t="s">
        <v>36</v>
      </c>
      <c r="J1954" s="83" t="n">
        <v>84.4</v>
      </c>
      <c r="K1954" s="84" t="n">
        <f aca="false">1320617-40000</f>
        <v>1280617</v>
      </c>
      <c r="L1954" s="85" t="n">
        <f aca="false">K1954/J1954</f>
        <v>15173.1872037915</v>
      </c>
      <c r="M1954" s="111" t="s">
        <v>940</v>
      </c>
      <c r="N1954" s="87" t="n">
        <v>40000</v>
      </c>
      <c r="O1954" s="88" t="n">
        <f aca="false">K1954+N1954</f>
        <v>1320617</v>
      </c>
      <c r="P1954" s="88" t="n">
        <f aca="false">O1954/J1954</f>
        <v>15647.1208530806</v>
      </c>
      <c r="Q1954" s="83" t="s">
        <v>2924</v>
      </c>
      <c r="R1954" s="65" t="s">
        <v>49</v>
      </c>
      <c r="S1954" s="19" t="s">
        <v>29</v>
      </c>
      <c r="T1954" s="19" t="s">
        <v>30</v>
      </c>
      <c r="U1954" s="19" t="s">
        <v>31</v>
      </c>
      <c r="V1954" s="22" t="s">
        <v>2184</v>
      </c>
      <c r="W1954" s="18"/>
      <c r="X1954" s="18"/>
    </row>
    <row r="1955" customFormat="false" ht="13.8" hidden="false" customHeight="false" outlineLevel="0" collapsed="false">
      <c r="A1955" s="18"/>
      <c r="B1955" s="65" t="s">
        <v>2925</v>
      </c>
      <c r="C1955" s="81" t="n">
        <v>43690</v>
      </c>
      <c r="D1955" s="38" t="s">
        <v>22</v>
      </c>
      <c r="E1955" s="65" t="s">
        <v>190</v>
      </c>
      <c r="F1955" s="82" t="s">
        <v>191</v>
      </c>
      <c r="G1955" s="65" t="s">
        <v>135</v>
      </c>
      <c r="H1955" s="65" t="s">
        <v>36</v>
      </c>
      <c r="I1955" s="65" t="s">
        <v>27</v>
      </c>
      <c r="J1955" s="83" t="n">
        <v>50.27</v>
      </c>
      <c r="K1955" s="84" t="n">
        <v>438500</v>
      </c>
      <c r="L1955" s="85" t="n">
        <f aca="false">K1955/J1955</f>
        <v>8722.89635965785</v>
      </c>
      <c r="M1955" s="59"/>
      <c r="N1955" s="87"/>
      <c r="O1955" s="88" t="n">
        <f aca="false">K1955+N1955</f>
        <v>438500</v>
      </c>
      <c r="P1955" s="88" t="n">
        <f aca="false">O1955/J1955</f>
        <v>8722.89635965785</v>
      </c>
      <c r="Q1955" s="83" t="s">
        <v>2820</v>
      </c>
      <c r="R1955" s="65" t="s">
        <v>26</v>
      </c>
      <c r="S1955" s="19" t="s">
        <v>29</v>
      </c>
      <c r="T1955" s="19" t="s">
        <v>30</v>
      </c>
      <c r="U1955" s="19" t="s">
        <v>31</v>
      </c>
      <c r="V1955" s="22" t="s">
        <v>2184</v>
      </c>
      <c r="W1955" s="18"/>
      <c r="X1955" s="18"/>
    </row>
    <row r="1956" customFormat="false" ht="13.8" hidden="false" customHeight="false" outlineLevel="0" collapsed="false">
      <c r="A1956" s="18"/>
      <c r="B1956" s="65" t="s">
        <v>2926</v>
      </c>
      <c r="C1956" s="81" t="n">
        <v>43690</v>
      </c>
      <c r="D1956" s="38" t="s">
        <v>22</v>
      </c>
      <c r="E1956" s="22" t="s">
        <v>80</v>
      </c>
      <c r="F1956" s="82" t="s">
        <v>81</v>
      </c>
      <c r="G1956" s="65" t="s">
        <v>26</v>
      </c>
      <c r="H1956" s="65" t="s">
        <v>2927</v>
      </c>
      <c r="I1956" s="65" t="s">
        <v>49</v>
      </c>
      <c r="J1956" s="83" t="n">
        <v>88.93</v>
      </c>
      <c r="K1956" s="84" t="n">
        <v>1610450</v>
      </c>
      <c r="L1956" s="85" t="n">
        <f aca="false">K1956/J1956</f>
        <v>18109.187001012</v>
      </c>
      <c r="M1956" s="111" t="s">
        <v>940</v>
      </c>
      <c r="N1956" s="87" t="n">
        <v>15350</v>
      </c>
      <c r="O1956" s="88" t="n">
        <f aca="false">K1956+N1956</f>
        <v>1625800</v>
      </c>
      <c r="P1956" s="88" t="n">
        <f aca="false">O1956/J1956</f>
        <v>18281.7946699651</v>
      </c>
      <c r="Q1956" s="83" t="s">
        <v>2928</v>
      </c>
      <c r="R1956" s="65" t="s">
        <v>49</v>
      </c>
      <c r="S1956" s="19" t="s">
        <v>29</v>
      </c>
      <c r="T1956" s="19" t="s">
        <v>30</v>
      </c>
      <c r="U1956" s="19" t="s">
        <v>31</v>
      </c>
      <c r="V1956" s="22" t="s">
        <v>2184</v>
      </c>
      <c r="W1956" s="18"/>
      <c r="X1956" s="18"/>
    </row>
    <row r="1957" customFormat="false" ht="13.8" hidden="false" customHeight="false" outlineLevel="0" collapsed="false">
      <c r="A1957" s="18"/>
      <c r="B1957" s="62" t="n">
        <v>10169</v>
      </c>
      <c r="C1957" s="81" t="n">
        <v>43690</v>
      </c>
      <c r="D1957" s="38" t="s">
        <v>22</v>
      </c>
      <c r="E1957" s="65" t="s">
        <v>86</v>
      </c>
      <c r="F1957" s="82" t="s">
        <v>471</v>
      </c>
      <c r="G1957" s="65" t="s">
        <v>48</v>
      </c>
      <c r="H1957" s="112" t="s">
        <v>120</v>
      </c>
      <c r="I1957" s="112" t="s">
        <v>49</v>
      </c>
      <c r="J1957" s="83" t="n">
        <f aca="false">59.65-2.68</f>
        <v>56.97</v>
      </c>
      <c r="K1957" s="84" t="n">
        <v>599000</v>
      </c>
      <c r="L1957" s="85" t="n">
        <f aca="false">K1957/J1957</f>
        <v>10514.3057749693</v>
      </c>
      <c r="M1957" s="114" t="s">
        <v>940</v>
      </c>
      <c r="N1957" s="93"/>
      <c r="O1957" s="88" t="n">
        <f aca="false">K1957+N1957</f>
        <v>599000</v>
      </c>
      <c r="P1957" s="88" t="n">
        <f aca="false">O1957/J1957</f>
        <v>10514.3057749693</v>
      </c>
      <c r="Q1957" s="83" t="s">
        <v>2929</v>
      </c>
      <c r="R1957" s="65" t="s">
        <v>36</v>
      </c>
      <c r="S1957" s="19" t="s">
        <v>29</v>
      </c>
      <c r="T1957" s="19" t="s">
        <v>30</v>
      </c>
      <c r="U1957" s="19" t="s">
        <v>31</v>
      </c>
      <c r="V1957" s="22" t="s">
        <v>2184</v>
      </c>
      <c r="W1957" s="18"/>
      <c r="X1957" s="18"/>
    </row>
    <row r="1958" customFormat="false" ht="13.8" hidden="false" customHeight="false" outlineLevel="0" collapsed="false">
      <c r="A1958" s="92"/>
      <c r="B1958" s="65" t="s">
        <v>2930</v>
      </c>
      <c r="C1958" s="81" t="n">
        <v>43690</v>
      </c>
      <c r="D1958" s="38" t="s">
        <v>22</v>
      </c>
      <c r="E1958" s="65" t="s">
        <v>53</v>
      </c>
      <c r="F1958" s="82" t="s">
        <v>46</v>
      </c>
      <c r="G1958" s="65" t="s">
        <v>682</v>
      </c>
      <c r="H1958" s="65" t="s">
        <v>2931</v>
      </c>
      <c r="I1958" s="65" t="s">
        <v>27</v>
      </c>
      <c r="J1958" s="83" t="n">
        <v>95.56</v>
      </c>
      <c r="K1958" s="84" t="n">
        <v>870000</v>
      </c>
      <c r="L1958" s="85" t="n">
        <f aca="false">K1958/J1958</f>
        <v>9104.22771033905</v>
      </c>
      <c r="M1958" s="111"/>
      <c r="N1958" s="87"/>
      <c r="O1958" s="88" t="n">
        <f aca="false">K1958+N1958</f>
        <v>870000</v>
      </c>
      <c r="P1958" s="88" t="n">
        <f aca="false">O1958/J1958</f>
        <v>9104.22771033905</v>
      </c>
      <c r="Q1958" s="83" t="s">
        <v>2760</v>
      </c>
      <c r="R1958" s="65" t="s">
        <v>49</v>
      </c>
      <c r="S1958" s="19" t="s">
        <v>29</v>
      </c>
      <c r="T1958" s="19" t="s">
        <v>30</v>
      </c>
      <c r="U1958" s="19" t="s">
        <v>31</v>
      </c>
      <c r="V1958" s="22" t="s">
        <v>2184</v>
      </c>
      <c r="W1958" s="18"/>
      <c r="X1958" s="18"/>
    </row>
    <row r="1959" customFormat="false" ht="13.8" hidden="false" customHeight="false" outlineLevel="0" collapsed="false">
      <c r="A1959" s="18"/>
      <c r="B1959" s="65" t="s">
        <v>2932</v>
      </c>
      <c r="C1959" s="81" t="n">
        <v>43690</v>
      </c>
      <c r="D1959" s="38" t="s">
        <v>22</v>
      </c>
      <c r="E1959" s="65" t="s">
        <v>372</v>
      </c>
      <c r="F1959" s="82" t="s">
        <v>272</v>
      </c>
      <c r="G1959" s="65" t="s">
        <v>217</v>
      </c>
      <c r="H1959" s="65" t="s">
        <v>2933</v>
      </c>
      <c r="I1959" s="65" t="s">
        <v>112</v>
      </c>
      <c r="J1959" s="83" t="n">
        <v>64.22</v>
      </c>
      <c r="K1959" s="84" t="n">
        <v>665000</v>
      </c>
      <c r="L1959" s="85" t="n">
        <f aca="false">K1959/J1959</f>
        <v>10355.0295857988</v>
      </c>
      <c r="M1959" s="86" t="s">
        <v>940</v>
      </c>
      <c r="N1959" s="87" t="n">
        <v>30000</v>
      </c>
      <c r="O1959" s="88" t="n">
        <f aca="false">K1959+N1959</f>
        <v>695000</v>
      </c>
      <c r="P1959" s="88" t="n">
        <f aca="false">O1959/J1959</f>
        <v>10822.1737776394</v>
      </c>
      <c r="Q1959" s="83" t="s">
        <v>2934</v>
      </c>
      <c r="R1959" s="65" t="s">
        <v>36</v>
      </c>
      <c r="S1959" s="19" t="s">
        <v>29</v>
      </c>
      <c r="T1959" s="19" t="s">
        <v>30</v>
      </c>
      <c r="U1959" s="19" t="s">
        <v>31</v>
      </c>
      <c r="V1959" s="22" t="s">
        <v>2184</v>
      </c>
      <c r="W1959" s="18"/>
      <c r="X1959" s="18"/>
    </row>
    <row r="1960" customFormat="false" ht="13.8" hidden="false" customHeight="false" outlineLevel="0" collapsed="false">
      <c r="A1960" s="18"/>
      <c r="B1960" s="65" t="n">
        <v>4718</v>
      </c>
      <c r="C1960" s="81" t="n">
        <v>43690</v>
      </c>
      <c r="D1960" s="115" t="s">
        <v>22</v>
      </c>
      <c r="E1960" s="65" t="s">
        <v>23</v>
      </c>
      <c r="F1960" s="91" t="s">
        <v>24</v>
      </c>
      <c r="G1960" s="65" t="n">
        <v>8</v>
      </c>
      <c r="H1960" s="65" t="n">
        <v>6</v>
      </c>
      <c r="I1960" s="65" t="n">
        <v>2</v>
      </c>
      <c r="J1960" s="83" t="n">
        <v>57.7</v>
      </c>
      <c r="K1960" s="84" t="n">
        <v>587000</v>
      </c>
      <c r="L1960" s="85" t="n">
        <f aca="false">K1960/J1960</f>
        <v>10173.3102253033</v>
      </c>
      <c r="M1960" s="117"/>
      <c r="N1960" s="87"/>
      <c r="O1960" s="88" t="n">
        <v>587000</v>
      </c>
      <c r="P1960" s="88" t="n">
        <f aca="false">O1960/J1960</f>
        <v>10173.3102253033</v>
      </c>
      <c r="Q1960" s="65" t="s">
        <v>1340</v>
      </c>
      <c r="R1960" s="65" t="s">
        <v>26</v>
      </c>
      <c r="S1960" s="65" t="s">
        <v>29</v>
      </c>
      <c r="T1960" s="65" t="s">
        <v>30</v>
      </c>
      <c r="U1960" s="24" t="s">
        <v>31</v>
      </c>
      <c r="V1960" s="89" t="n">
        <v>43790</v>
      </c>
      <c r="W1960" s="18" t="s">
        <v>2935</v>
      </c>
      <c r="X1960" s="18"/>
    </row>
    <row r="1961" customFormat="false" ht="13.8" hidden="false" customHeight="false" outlineLevel="0" collapsed="false">
      <c r="A1961" s="18"/>
      <c r="B1961" s="65" t="s">
        <v>2936</v>
      </c>
      <c r="C1961" s="81" t="n">
        <v>43691</v>
      </c>
      <c r="D1961" s="38" t="s">
        <v>22</v>
      </c>
      <c r="E1961" s="65" t="s">
        <v>125</v>
      </c>
      <c r="F1961" s="82" t="s">
        <v>94</v>
      </c>
      <c r="G1961" s="65" t="s">
        <v>213</v>
      </c>
      <c r="H1961" s="65" t="s">
        <v>2937</v>
      </c>
      <c r="I1961" s="65" t="s">
        <v>36</v>
      </c>
      <c r="J1961" s="83" t="n">
        <v>60.2</v>
      </c>
      <c r="K1961" s="84" t="n">
        <v>600000</v>
      </c>
      <c r="L1961" s="85" t="n">
        <f aca="false">K1961/J1961</f>
        <v>9966.77740863787</v>
      </c>
      <c r="M1961" s="90"/>
      <c r="N1961" s="87"/>
      <c r="O1961" s="88" t="n">
        <f aca="false">K1961+N1961</f>
        <v>600000</v>
      </c>
      <c r="P1961" s="85" t="n">
        <f aca="false">O1961/J1961</f>
        <v>9966.77740863787</v>
      </c>
      <c r="Q1961" s="83" t="s">
        <v>2938</v>
      </c>
      <c r="R1961" s="65" t="s">
        <v>26</v>
      </c>
      <c r="S1961" s="19" t="s">
        <v>29</v>
      </c>
      <c r="T1961" s="19" t="s">
        <v>30</v>
      </c>
      <c r="U1961" s="19" t="s">
        <v>31</v>
      </c>
      <c r="V1961" s="22" t="s">
        <v>2184</v>
      </c>
      <c r="W1961" s="18"/>
      <c r="X1961" s="18"/>
    </row>
    <row r="1962" customFormat="false" ht="13.8" hidden="false" customHeight="false" outlineLevel="0" collapsed="false">
      <c r="A1962" s="18"/>
      <c r="B1962" s="65" t="s">
        <v>2939</v>
      </c>
      <c r="C1962" s="81" t="n">
        <v>43691</v>
      </c>
      <c r="D1962" s="38" t="s">
        <v>22</v>
      </c>
      <c r="E1962" s="22" t="s">
        <v>665</v>
      </c>
      <c r="F1962" s="82" t="s">
        <v>666</v>
      </c>
      <c r="G1962" s="65" t="s">
        <v>101</v>
      </c>
      <c r="H1962" s="65" t="s">
        <v>48</v>
      </c>
      <c r="I1962" s="65" t="s">
        <v>25</v>
      </c>
      <c r="J1962" s="83" t="n">
        <v>38.8</v>
      </c>
      <c r="K1962" s="84" t="n">
        <v>635000</v>
      </c>
      <c r="L1962" s="85" t="n">
        <f aca="false">K1962/J1962</f>
        <v>16365.9793814433</v>
      </c>
      <c r="M1962" s="86"/>
      <c r="N1962" s="87"/>
      <c r="O1962" s="88" t="n">
        <f aca="false">K1962+N1962</f>
        <v>635000</v>
      </c>
      <c r="P1962" s="88" t="n">
        <f aca="false">O1962/J1962</f>
        <v>16365.9793814433</v>
      </c>
      <c r="Q1962" s="83" t="s">
        <v>2922</v>
      </c>
      <c r="R1962" s="65" t="s">
        <v>36</v>
      </c>
      <c r="S1962" s="19" t="s">
        <v>29</v>
      </c>
      <c r="T1962" s="19" t="s">
        <v>30</v>
      </c>
      <c r="U1962" s="19" t="s">
        <v>31</v>
      </c>
      <c r="V1962" s="22" t="s">
        <v>2184</v>
      </c>
      <c r="W1962" s="18"/>
      <c r="X1962" s="18"/>
    </row>
    <row r="1963" customFormat="false" ht="13.8" hidden="false" customHeight="false" outlineLevel="0" collapsed="false">
      <c r="A1963" s="18"/>
      <c r="B1963" s="62" t="n">
        <v>17361</v>
      </c>
      <c r="C1963" s="81" t="n">
        <v>43691</v>
      </c>
      <c r="D1963" s="38" t="s">
        <v>22</v>
      </c>
      <c r="E1963" s="65" t="s">
        <v>190</v>
      </c>
      <c r="F1963" s="82" t="s">
        <v>108</v>
      </c>
      <c r="G1963" s="65" t="s">
        <v>25</v>
      </c>
      <c r="H1963" s="112" t="s">
        <v>135</v>
      </c>
      <c r="I1963" s="112" t="s">
        <v>26</v>
      </c>
      <c r="J1963" s="83" t="n">
        <v>19</v>
      </c>
      <c r="K1963" s="84" t="n">
        <v>247000</v>
      </c>
      <c r="L1963" s="85" t="n">
        <f aca="false">K1963/J1963</f>
        <v>13000</v>
      </c>
      <c r="M1963" s="114"/>
      <c r="N1963" s="93"/>
      <c r="O1963" s="88" t="n">
        <f aca="false">K1963+N1963</f>
        <v>247000</v>
      </c>
      <c r="P1963" s="88" t="n">
        <f aca="false">O1963/J1963</f>
        <v>13000</v>
      </c>
      <c r="Q1963" s="83" t="s">
        <v>2940</v>
      </c>
      <c r="R1963" s="65" t="s">
        <v>27</v>
      </c>
      <c r="S1963" s="19" t="s">
        <v>29</v>
      </c>
      <c r="T1963" s="19" t="s">
        <v>30</v>
      </c>
      <c r="U1963" s="19" t="s">
        <v>31</v>
      </c>
      <c r="V1963" s="22" t="s">
        <v>2184</v>
      </c>
      <c r="W1963" s="18"/>
      <c r="X1963" s="18"/>
    </row>
    <row r="1964" customFormat="false" ht="13.8" hidden="false" customHeight="false" outlineLevel="0" collapsed="false">
      <c r="A1964" s="18"/>
      <c r="B1964" s="65" t="s">
        <v>2941</v>
      </c>
      <c r="C1964" s="81" t="n">
        <v>43691</v>
      </c>
      <c r="D1964" s="38" t="s">
        <v>22</v>
      </c>
      <c r="E1964" s="65" t="s">
        <v>268</v>
      </c>
      <c r="F1964" s="82" t="s">
        <v>471</v>
      </c>
      <c r="G1964" s="65" t="s">
        <v>2942</v>
      </c>
      <c r="H1964" s="65" t="s">
        <v>135</v>
      </c>
      <c r="I1964" s="65" t="s">
        <v>49</v>
      </c>
      <c r="J1964" s="83" t="n">
        <v>38.37</v>
      </c>
      <c r="K1964" s="84" t="n">
        <v>367000</v>
      </c>
      <c r="L1964" s="85" t="n">
        <f aca="false">K1964/J1964</f>
        <v>9564.76413864999</v>
      </c>
      <c r="M1964" s="111"/>
      <c r="N1964" s="87"/>
      <c r="O1964" s="88" t="n">
        <f aca="false">K1964+N1964</f>
        <v>367000</v>
      </c>
      <c r="P1964" s="88" t="n">
        <f aca="false">O1964/J1964</f>
        <v>9564.76413864999</v>
      </c>
      <c r="Q1964" s="83" t="s">
        <v>2943</v>
      </c>
      <c r="R1964" s="65" t="s">
        <v>26</v>
      </c>
      <c r="S1964" s="19" t="s">
        <v>29</v>
      </c>
      <c r="T1964" s="19" t="s">
        <v>30</v>
      </c>
      <c r="U1964" s="19" t="s">
        <v>31</v>
      </c>
      <c r="V1964" s="22" t="s">
        <v>2184</v>
      </c>
      <c r="W1964" s="18"/>
      <c r="X1964" s="18"/>
    </row>
    <row r="1965" customFormat="false" ht="13.8" hidden="false" customHeight="false" outlineLevel="0" collapsed="false">
      <c r="A1965" s="18"/>
      <c r="B1965" s="65" t="s">
        <v>2944</v>
      </c>
      <c r="C1965" s="81" t="n">
        <v>43691</v>
      </c>
      <c r="D1965" s="38" t="s">
        <v>22</v>
      </c>
      <c r="E1965" s="65" t="s">
        <v>677</v>
      </c>
      <c r="F1965" s="82" t="s">
        <v>2945</v>
      </c>
      <c r="G1965" s="65" t="s">
        <v>57</v>
      </c>
      <c r="H1965" s="65" t="s">
        <v>143</v>
      </c>
      <c r="I1965" s="65" t="s">
        <v>27</v>
      </c>
      <c r="J1965" s="83" t="n">
        <v>85.81</v>
      </c>
      <c r="K1965" s="84" t="n">
        <v>810000</v>
      </c>
      <c r="L1965" s="85" t="n">
        <f aca="false">K1965/J1965</f>
        <v>9439.4592704813</v>
      </c>
      <c r="M1965" s="90" t="s">
        <v>2946</v>
      </c>
      <c r="N1965" s="87"/>
      <c r="O1965" s="66" t="n">
        <f aca="false">K1965+N1965</f>
        <v>810000</v>
      </c>
      <c r="P1965" s="88" t="n">
        <f aca="false">O1965/J1965</f>
        <v>9439.4592704813</v>
      </c>
      <c r="Q1965" s="83" t="s">
        <v>2947</v>
      </c>
      <c r="R1965" s="65" t="s">
        <v>49</v>
      </c>
      <c r="S1965" s="19" t="s">
        <v>29</v>
      </c>
      <c r="T1965" s="19" t="s">
        <v>30</v>
      </c>
      <c r="U1965" s="19" t="s">
        <v>31</v>
      </c>
      <c r="V1965" s="22" t="s">
        <v>2184</v>
      </c>
      <c r="W1965" s="18"/>
      <c r="X1965" s="18"/>
    </row>
    <row r="1966" customFormat="false" ht="13.8" hidden="false" customHeight="false" outlineLevel="0" collapsed="false">
      <c r="A1966" s="18"/>
      <c r="B1966" s="65" t="s">
        <v>2948</v>
      </c>
      <c r="C1966" s="81" t="n">
        <v>43696</v>
      </c>
      <c r="D1966" s="38" t="s">
        <v>22</v>
      </c>
      <c r="E1966" s="22" t="s">
        <v>171</v>
      </c>
      <c r="F1966" s="82" t="s">
        <v>221</v>
      </c>
      <c r="G1966" s="65" t="s">
        <v>200</v>
      </c>
      <c r="H1966" s="65" t="s">
        <v>77</v>
      </c>
      <c r="I1966" s="65" t="s">
        <v>36</v>
      </c>
      <c r="J1966" s="83" t="n">
        <v>47.18</v>
      </c>
      <c r="K1966" s="84" t="n">
        <v>440000</v>
      </c>
      <c r="L1966" s="85" t="n">
        <f aca="false">K1966/J1966</f>
        <v>9325.98558711318</v>
      </c>
      <c r="M1966" s="86"/>
      <c r="N1966" s="87"/>
      <c r="O1966" s="88" t="n">
        <f aca="false">K1966+N1966</f>
        <v>440000</v>
      </c>
      <c r="P1966" s="88" t="n">
        <f aca="false">O1966/J1966</f>
        <v>9325.98558711318</v>
      </c>
      <c r="Q1966" s="83" t="s">
        <v>2743</v>
      </c>
      <c r="R1966" s="65" t="s">
        <v>49</v>
      </c>
      <c r="S1966" s="19" t="s">
        <v>29</v>
      </c>
      <c r="T1966" s="19" t="s">
        <v>30</v>
      </c>
      <c r="U1966" s="19" t="s">
        <v>31</v>
      </c>
      <c r="V1966" s="22" t="s">
        <v>2184</v>
      </c>
      <c r="W1966" s="18"/>
      <c r="X1966" s="18"/>
    </row>
    <row r="1967" customFormat="false" ht="13.8" hidden="false" customHeight="false" outlineLevel="0" collapsed="false">
      <c r="A1967" s="18"/>
      <c r="B1967" s="65" t="s">
        <v>2949</v>
      </c>
      <c r="C1967" s="81" t="n">
        <v>43696</v>
      </c>
      <c r="D1967" s="38" t="s">
        <v>22</v>
      </c>
      <c r="E1967" s="65" t="s">
        <v>235</v>
      </c>
      <c r="F1967" s="82" t="s">
        <v>191</v>
      </c>
      <c r="G1967" s="65" t="s">
        <v>778</v>
      </c>
      <c r="H1967" s="65" t="s">
        <v>95</v>
      </c>
      <c r="I1967" s="65" t="s">
        <v>36</v>
      </c>
      <c r="J1967" s="83" t="n">
        <v>26.61</v>
      </c>
      <c r="K1967" s="84" t="n">
        <v>305000</v>
      </c>
      <c r="L1967" s="85" t="n">
        <f aca="false">K1967/J1967</f>
        <v>11461.8564449455</v>
      </c>
      <c r="M1967" s="86"/>
      <c r="N1967" s="87"/>
      <c r="O1967" s="88" t="n">
        <f aca="false">K1967+N1967</f>
        <v>305000</v>
      </c>
      <c r="P1967" s="88" t="n">
        <f aca="false">O1967/J1967</f>
        <v>11461.8564449455</v>
      </c>
      <c r="Q1967" s="83" t="s">
        <v>2922</v>
      </c>
      <c r="R1967" s="65" t="s">
        <v>36</v>
      </c>
      <c r="S1967" s="19" t="s">
        <v>29</v>
      </c>
      <c r="T1967" s="19" t="s">
        <v>30</v>
      </c>
      <c r="U1967" s="19" t="s">
        <v>31</v>
      </c>
      <c r="V1967" s="22" t="s">
        <v>2184</v>
      </c>
      <c r="W1967" s="18"/>
      <c r="X1967" s="18"/>
    </row>
    <row r="1968" customFormat="false" ht="13.8" hidden="false" customHeight="false" outlineLevel="0" collapsed="false">
      <c r="A1968" s="18"/>
      <c r="B1968" s="62" t="n">
        <v>9333</v>
      </c>
      <c r="C1968" s="81" t="n">
        <v>43696</v>
      </c>
      <c r="D1968" s="38" t="s">
        <v>22</v>
      </c>
      <c r="E1968" s="65" t="s">
        <v>302</v>
      </c>
      <c r="F1968" s="82" t="s">
        <v>485</v>
      </c>
      <c r="G1968" s="65" t="s">
        <v>2950</v>
      </c>
      <c r="H1968" s="112" t="s">
        <v>408</v>
      </c>
      <c r="I1968" s="112" t="s">
        <v>49</v>
      </c>
      <c r="J1968" s="83" t="n">
        <v>77.7</v>
      </c>
      <c r="K1968" s="84" t="n">
        <v>772000</v>
      </c>
      <c r="L1968" s="113" t="n">
        <f aca="false">K1968/J1968</f>
        <v>9935.64993564994</v>
      </c>
      <c r="M1968" s="114"/>
      <c r="N1968" s="93"/>
      <c r="O1968" s="88" t="n">
        <f aca="false">K1968+N1968</f>
        <v>772000</v>
      </c>
      <c r="P1968" s="88" t="n">
        <f aca="false">O1968/J1968</f>
        <v>9935.64993564994</v>
      </c>
      <c r="Q1968" s="83" t="s">
        <v>2951</v>
      </c>
      <c r="R1968" s="65" t="s">
        <v>57</v>
      </c>
      <c r="S1968" s="19" t="s">
        <v>29</v>
      </c>
      <c r="T1968" s="19" t="s">
        <v>30</v>
      </c>
      <c r="U1968" s="19" t="s">
        <v>31</v>
      </c>
      <c r="V1968" s="22" t="s">
        <v>2184</v>
      </c>
      <c r="W1968" s="18"/>
      <c r="X1968" s="18"/>
    </row>
    <row r="1969" customFormat="false" ht="13.8" hidden="false" customHeight="false" outlineLevel="0" collapsed="false">
      <c r="A1969" s="18"/>
      <c r="B1969" s="65" t="s">
        <v>2952</v>
      </c>
      <c r="C1969" s="81" t="n">
        <v>43696</v>
      </c>
      <c r="D1969" s="38" t="s">
        <v>22</v>
      </c>
      <c r="E1969" s="22" t="s">
        <v>350</v>
      </c>
      <c r="F1969" s="82" t="s">
        <v>351</v>
      </c>
      <c r="G1969" s="65" t="s">
        <v>2906</v>
      </c>
      <c r="H1969" s="65" t="s">
        <v>120</v>
      </c>
      <c r="I1969" s="65" t="s">
        <v>82</v>
      </c>
      <c r="J1969" s="83" t="n">
        <v>117.96</v>
      </c>
      <c r="K1969" s="84" t="n">
        <v>1150000</v>
      </c>
      <c r="L1969" s="85" t="n">
        <f aca="false">K1969/J1969</f>
        <v>9749.06748050187</v>
      </c>
      <c r="M1969" s="86" t="s">
        <v>2431</v>
      </c>
      <c r="N1969" s="87" t="n">
        <v>70000</v>
      </c>
      <c r="O1969" s="88" t="n">
        <f aca="false">K1969+N1969</f>
        <v>1220000</v>
      </c>
      <c r="P1969" s="88" t="n">
        <f aca="false">O1969/J1969</f>
        <v>10342.488979315</v>
      </c>
      <c r="Q1969" s="83" t="s">
        <v>2774</v>
      </c>
      <c r="R1969" s="65" t="s">
        <v>36</v>
      </c>
      <c r="S1969" s="19" t="s">
        <v>29</v>
      </c>
      <c r="T1969" s="19" t="s">
        <v>30</v>
      </c>
      <c r="U1969" s="19" t="s">
        <v>31</v>
      </c>
      <c r="V1969" s="22" t="s">
        <v>2184</v>
      </c>
      <c r="W1969" s="18"/>
      <c r="X1969" s="18"/>
    </row>
    <row r="1970" customFormat="false" ht="13.8" hidden="false" customHeight="false" outlineLevel="0" collapsed="false">
      <c r="A1970" s="18"/>
      <c r="B1970" s="65" t="s">
        <v>2953</v>
      </c>
      <c r="C1970" s="81" t="n">
        <v>43696</v>
      </c>
      <c r="D1970" s="38" t="s">
        <v>22</v>
      </c>
      <c r="E1970" s="65" t="s">
        <v>187</v>
      </c>
      <c r="F1970" s="82" t="s">
        <v>127</v>
      </c>
      <c r="G1970" s="65" t="s">
        <v>177</v>
      </c>
      <c r="H1970" s="65" t="s">
        <v>210</v>
      </c>
      <c r="I1970" s="65" t="s">
        <v>887</v>
      </c>
      <c r="J1970" s="83" t="n">
        <v>154.1</v>
      </c>
      <c r="K1970" s="84" t="n">
        <v>1880000</v>
      </c>
      <c r="L1970" s="85" t="n">
        <f aca="false">K1970/J1970</f>
        <v>12199.8702141467</v>
      </c>
      <c r="M1970" s="111" t="s">
        <v>2431</v>
      </c>
      <c r="N1970" s="87"/>
      <c r="O1970" s="88" t="n">
        <f aca="false">K1970+N1970</f>
        <v>1880000</v>
      </c>
      <c r="P1970" s="88" t="n">
        <f aca="false">O1970/J1970</f>
        <v>12199.8702141467</v>
      </c>
      <c r="Q1970" s="83" t="s">
        <v>2954</v>
      </c>
      <c r="R1970" s="65" t="s">
        <v>57</v>
      </c>
      <c r="S1970" s="19" t="s">
        <v>29</v>
      </c>
      <c r="T1970" s="19" t="s">
        <v>30</v>
      </c>
      <c r="U1970" s="19" t="s">
        <v>31</v>
      </c>
      <c r="V1970" s="22" t="s">
        <v>2184</v>
      </c>
      <c r="W1970" s="18"/>
      <c r="X1970" s="18"/>
    </row>
    <row r="1971" customFormat="false" ht="13.8" hidden="false" customHeight="false" outlineLevel="0" collapsed="false">
      <c r="A1971" s="18"/>
      <c r="B1971" s="62" t="n">
        <v>4249</v>
      </c>
      <c r="C1971" s="81" t="n">
        <v>43697</v>
      </c>
      <c r="D1971" s="38" t="s">
        <v>22</v>
      </c>
      <c r="E1971" s="65" t="s">
        <v>137</v>
      </c>
      <c r="F1971" s="82" t="s">
        <v>94</v>
      </c>
      <c r="G1971" s="65" t="s">
        <v>2955</v>
      </c>
      <c r="H1971" s="112" t="s">
        <v>115</v>
      </c>
      <c r="I1971" s="112" t="s">
        <v>49</v>
      </c>
      <c r="J1971" s="83" t="n">
        <v>53.45</v>
      </c>
      <c r="K1971" s="84" t="n">
        <v>455000</v>
      </c>
      <c r="L1971" s="113" t="n">
        <f aca="false">K1971/J1971</f>
        <v>8512.62862488307</v>
      </c>
      <c r="M1971" s="114"/>
      <c r="N1971" s="93"/>
      <c r="O1971" s="88" t="n">
        <f aca="false">K1971+N1971</f>
        <v>455000</v>
      </c>
      <c r="P1971" s="88" t="n">
        <f aca="false">O1971/J1971</f>
        <v>8512.62862488307</v>
      </c>
      <c r="Q1971" s="83" t="s">
        <v>952</v>
      </c>
      <c r="R1971" s="65" t="s">
        <v>26</v>
      </c>
      <c r="S1971" s="19" t="s">
        <v>29</v>
      </c>
      <c r="T1971" s="19" t="s">
        <v>30</v>
      </c>
      <c r="U1971" s="19" t="s">
        <v>31</v>
      </c>
      <c r="V1971" s="22" t="s">
        <v>2184</v>
      </c>
      <c r="W1971" s="18"/>
      <c r="X1971" s="18"/>
    </row>
    <row r="1972" customFormat="false" ht="13.8" hidden="false" customHeight="false" outlineLevel="0" collapsed="false">
      <c r="A1972" s="18"/>
      <c r="B1972" s="65" t="s">
        <v>115</v>
      </c>
      <c r="C1972" s="81" t="n">
        <v>43697</v>
      </c>
      <c r="D1972" s="38" t="s">
        <v>22</v>
      </c>
      <c r="E1972" s="65" t="s">
        <v>53</v>
      </c>
      <c r="F1972" s="82" t="s">
        <v>366</v>
      </c>
      <c r="G1972" s="65" t="s">
        <v>95</v>
      </c>
      <c r="H1972" s="65" t="s">
        <v>115</v>
      </c>
      <c r="I1972" s="65" t="s">
        <v>26</v>
      </c>
      <c r="J1972" s="83" t="n">
        <f aca="false">71-4.1</f>
        <v>66.9</v>
      </c>
      <c r="K1972" s="84" t="n">
        <f aca="false">322500*2</f>
        <v>645000</v>
      </c>
      <c r="L1972" s="85" t="n">
        <f aca="false">K1972/J1972</f>
        <v>9641.25560538117</v>
      </c>
      <c r="M1972" s="59" t="s">
        <v>2956</v>
      </c>
      <c r="N1972" s="87"/>
      <c r="O1972" s="88" t="n">
        <f aca="false">K1972+N1972</f>
        <v>645000</v>
      </c>
      <c r="P1972" s="88" t="n">
        <f aca="false">O1972/J1972</f>
        <v>9641.25560538117</v>
      </c>
      <c r="Q1972" s="83" t="s">
        <v>2957</v>
      </c>
      <c r="R1972" s="65" t="s">
        <v>49</v>
      </c>
      <c r="S1972" s="19" t="s">
        <v>29</v>
      </c>
      <c r="T1972" s="19" t="s">
        <v>30</v>
      </c>
      <c r="U1972" s="19" t="s">
        <v>31</v>
      </c>
      <c r="V1972" s="22" t="s">
        <v>2184</v>
      </c>
      <c r="W1972" s="18"/>
      <c r="X1972" s="18"/>
    </row>
    <row r="1973" customFormat="false" ht="13.8" hidden="false" customHeight="false" outlineLevel="0" collapsed="false">
      <c r="A1973" s="18"/>
      <c r="B1973" s="65" t="s">
        <v>2958</v>
      </c>
      <c r="C1973" s="81" t="n">
        <v>43697</v>
      </c>
      <c r="D1973" s="38" t="s">
        <v>22</v>
      </c>
      <c r="E1973" s="22" t="s">
        <v>171</v>
      </c>
      <c r="F1973" s="82" t="s">
        <v>221</v>
      </c>
      <c r="G1973" s="65" t="s">
        <v>112</v>
      </c>
      <c r="H1973" s="65" t="s">
        <v>82</v>
      </c>
      <c r="I1973" s="65" t="s">
        <v>49</v>
      </c>
      <c r="J1973" s="83" t="n">
        <v>47.43</v>
      </c>
      <c r="K1973" s="84" t="n">
        <v>435000</v>
      </c>
      <c r="L1973" s="85" t="n">
        <f aca="false">K1973/J1973</f>
        <v>9171.41049968375</v>
      </c>
      <c r="M1973" s="111"/>
      <c r="N1973" s="87"/>
      <c r="O1973" s="88" t="n">
        <f aca="false">K1973+N1973</f>
        <v>435000</v>
      </c>
      <c r="P1973" s="88" t="n">
        <f aca="false">O1973/J1973</f>
        <v>9171.41049968375</v>
      </c>
      <c r="Q1973" s="83" t="s">
        <v>1016</v>
      </c>
      <c r="R1973" s="65" t="s">
        <v>49</v>
      </c>
      <c r="S1973" s="19" t="s">
        <v>29</v>
      </c>
      <c r="T1973" s="19" t="s">
        <v>30</v>
      </c>
      <c r="U1973" s="19" t="s">
        <v>31</v>
      </c>
      <c r="V1973" s="22" t="s">
        <v>2184</v>
      </c>
      <c r="W1973" s="18"/>
      <c r="X1973" s="18"/>
    </row>
    <row r="1974" customFormat="false" ht="13.8" hidden="false" customHeight="false" outlineLevel="0" collapsed="false">
      <c r="A1974" s="18"/>
      <c r="B1974" s="65" t="s">
        <v>2959</v>
      </c>
      <c r="C1974" s="81" t="n">
        <v>43697</v>
      </c>
      <c r="D1974" s="38" t="s">
        <v>22</v>
      </c>
      <c r="E1974" s="65" t="s">
        <v>717</v>
      </c>
      <c r="F1974" s="82" t="s">
        <v>392</v>
      </c>
      <c r="G1974" s="65" t="s">
        <v>105</v>
      </c>
      <c r="H1974" s="65" t="s">
        <v>25</v>
      </c>
      <c r="I1974" s="65" t="s">
        <v>36</v>
      </c>
      <c r="J1974" s="83" t="n">
        <v>43.08</v>
      </c>
      <c r="K1974" s="84" t="n">
        <v>475000</v>
      </c>
      <c r="L1974" s="85" t="n">
        <f aca="false">K1974/J1974</f>
        <v>11025.9981429898</v>
      </c>
      <c r="M1974" s="86"/>
      <c r="N1974" s="87"/>
      <c r="O1974" s="88" t="n">
        <f aca="false">K1974+N1974</f>
        <v>475000</v>
      </c>
      <c r="P1974" s="88" t="n">
        <f aca="false">O1974/J1974</f>
        <v>11025.9981429898</v>
      </c>
      <c r="Q1974" s="83" t="s">
        <v>2798</v>
      </c>
      <c r="R1974" s="65" t="s">
        <v>36</v>
      </c>
      <c r="S1974" s="19" t="s">
        <v>29</v>
      </c>
      <c r="T1974" s="19" t="s">
        <v>30</v>
      </c>
      <c r="U1974" s="19" t="s">
        <v>31</v>
      </c>
      <c r="V1974" s="22" t="s">
        <v>2184</v>
      </c>
      <c r="W1974" s="18"/>
      <c r="X1974" s="18"/>
    </row>
    <row r="1975" customFormat="false" ht="13.8" hidden="false" customHeight="false" outlineLevel="0" collapsed="false">
      <c r="A1975" s="18"/>
      <c r="B1975" s="65" t="s">
        <v>2960</v>
      </c>
      <c r="C1975" s="81" t="n">
        <v>43697</v>
      </c>
      <c r="D1975" s="38" t="s">
        <v>22</v>
      </c>
      <c r="E1975" s="65" t="s">
        <v>251</v>
      </c>
      <c r="F1975" s="82" t="s">
        <v>386</v>
      </c>
      <c r="G1975" s="65" t="s">
        <v>143</v>
      </c>
      <c r="H1975" s="65" t="s">
        <v>74</v>
      </c>
      <c r="I1975" s="65" t="s">
        <v>26</v>
      </c>
      <c r="J1975" s="83" t="n">
        <v>46.75</v>
      </c>
      <c r="K1975" s="84" t="n">
        <v>450000</v>
      </c>
      <c r="L1975" s="85" t="n">
        <f aca="false">K1975/J1975</f>
        <v>9625.66844919786</v>
      </c>
      <c r="M1975" s="86"/>
      <c r="N1975" s="87"/>
      <c r="O1975" s="88" t="n">
        <f aca="false">K1975+N1975</f>
        <v>450000</v>
      </c>
      <c r="P1975" s="88" t="n">
        <f aca="false">O1975/J1975</f>
        <v>9625.66844919786</v>
      </c>
      <c r="Q1975" s="83" t="s">
        <v>2774</v>
      </c>
      <c r="R1975" s="65" t="s">
        <v>26</v>
      </c>
      <c r="S1975" s="19" t="s">
        <v>29</v>
      </c>
      <c r="T1975" s="19" t="s">
        <v>30</v>
      </c>
      <c r="U1975" s="19" t="s">
        <v>31</v>
      </c>
      <c r="V1975" s="22" t="s">
        <v>2184</v>
      </c>
      <c r="W1975" s="18"/>
      <c r="X1975" s="18"/>
    </row>
    <row r="1976" customFormat="false" ht="13.8" hidden="false" customHeight="false" outlineLevel="0" collapsed="false">
      <c r="A1976" s="18"/>
      <c r="B1976" s="65" t="s">
        <v>2961</v>
      </c>
      <c r="C1976" s="81" t="n">
        <v>43697</v>
      </c>
      <c r="D1976" s="38" t="s">
        <v>22</v>
      </c>
      <c r="E1976" s="65" t="s">
        <v>125</v>
      </c>
      <c r="F1976" s="82" t="s">
        <v>335</v>
      </c>
      <c r="G1976" s="65" t="s">
        <v>336</v>
      </c>
      <c r="H1976" s="65" t="s">
        <v>2962</v>
      </c>
      <c r="I1976" s="65" t="s">
        <v>112</v>
      </c>
      <c r="J1976" s="83" t="n">
        <v>57.3</v>
      </c>
      <c r="K1976" s="84" t="n">
        <v>885000</v>
      </c>
      <c r="L1976" s="85" t="n">
        <f aca="false">K1976/J1976</f>
        <v>15445.0261780105</v>
      </c>
      <c r="M1976" s="111" t="s">
        <v>940</v>
      </c>
      <c r="N1976" s="87"/>
      <c r="O1976" s="88" t="n">
        <f aca="false">K1976+N1976</f>
        <v>885000</v>
      </c>
      <c r="P1976" s="88" t="n">
        <f aca="false">O1976/J1976</f>
        <v>15445.0261780105</v>
      </c>
      <c r="Q1976" s="83" t="s">
        <v>2963</v>
      </c>
      <c r="R1976" s="65" t="s">
        <v>26</v>
      </c>
      <c r="S1976" s="19" t="s">
        <v>29</v>
      </c>
      <c r="T1976" s="19" t="s">
        <v>30</v>
      </c>
      <c r="U1976" s="19" t="s">
        <v>31</v>
      </c>
      <c r="V1976" s="22" t="s">
        <v>2184</v>
      </c>
      <c r="W1976" s="18"/>
      <c r="X1976" s="18"/>
    </row>
    <row r="1977" customFormat="false" ht="13.8" hidden="false" customHeight="false" outlineLevel="0" collapsed="false">
      <c r="A1977" s="18"/>
      <c r="B1977" s="65" t="s">
        <v>2964</v>
      </c>
      <c r="C1977" s="81" t="n">
        <v>43697</v>
      </c>
      <c r="D1977" s="38" t="s">
        <v>22</v>
      </c>
      <c r="E1977" s="22" t="s">
        <v>399</v>
      </c>
      <c r="F1977" s="82" t="s">
        <v>503</v>
      </c>
      <c r="G1977" s="65" t="s">
        <v>111</v>
      </c>
      <c r="H1977" s="65" t="s">
        <v>286</v>
      </c>
      <c r="I1977" s="65" t="s">
        <v>57</v>
      </c>
      <c r="J1977" s="83" t="n">
        <v>68.1</v>
      </c>
      <c r="K1977" s="84" t="n">
        <v>854000</v>
      </c>
      <c r="L1977" s="85" t="n">
        <f aca="false">K1977/J1977</f>
        <v>12540.3817914831</v>
      </c>
      <c r="M1977" s="90" t="s">
        <v>2965</v>
      </c>
      <c r="N1977" s="87"/>
      <c r="O1977" s="88" t="n">
        <f aca="false">K1977+N1977</f>
        <v>854000</v>
      </c>
      <c r="P1977" s="88" t="n">
        <f aca="false">O1977/J1977</f>
        <v>12540.3817914831</v>
      </c>
      <c r="Q1977" s="83" t="s">
        <v>2966</v>
      </c>
      <c r="R1977" s="65" t="s">
        <v>26</v>
      </c>
      <c r="S1977" s="19" t="s">
        <v>29</v>
      </c>
      <c r="T1977" s="19" t="s">
        <v>30</v>
      </c>
      <c r="U1977" s="19" t="s">
        <v>31</v>
      </c>
      <c r="V1977" s="22" t="s">
        <v>2184</v>
      </c>
      <c r="W1977" s="18"/>
      <c r="X1977" s="18"/>
    </row>
    <row r="1978" customFormat="false" ht="13.8" hidden="false" customHeight="false" outlineLevel="0" collapsed="false">
      <c r="A1978" s="18"/>
      <c r="B1978" s="65" t="s">
        <v>2967</v>
      </c>
      <c r="C1978" s="81" t="n">
        <v>43698</v>
      </c>
      <c r="D1978" s="38" t="s">
        <v>22</v>
      </c>
      <c r="E1978" s="22" t="s">
        <v>178</v>
      </c>
      <c r="F1978" s="91" t="s">
        <v>2968</v>
      </c>
      <c r="G1978" s="65" t="s">
        <v>49</v>
      </c>
      <c r="H1978" s="65" t="s">
        <v>57</v>
      </c>
      <c r="I1978" s="65" t="s">
        <v>36</v>
      </c>
      <c r="J1978" s="83" t="n">
        <v>35.4</v>
      </c>
      <c r="K1978" s="88" t="n">
        <v>320000</v>
      </c>
      <c r="L1978" s="85" t="n">
        <f aca="false">K1978/J1978</f>
        <v>9039.54802259887</v>
      </c>
      <c r="M1978" s="92"/>
      <c r="N1978" s="93"/>
      <c r="O1978" s="88" t="n">
        <f aca="false">K1978+N1978</f>
        <v>320000</v>
      </c>
      <c r="P1978" s="88" t="n">
        <f aca="false">O1978/J1978</f>
        <v>9039.54802259887</v>
      </c>
      <c r="Q1978" s="94" t="s">
        <v>2969</v>
      </c>
      <c r="R1978" s="65" t="s">
        <v>36</v>
      </c>
      <c r="S1978" s="19" t="s">
        <v>29</v>
      </c>
      <c r="T1978" s="19" t="s">
        <v>30</v>
      </c>
      <c r="U1978" s="19" t="s">
        <v>31</v>
      </c>
      <c r="V1978" s="22" t="s">
        <v>2184</v>
      </c>
      <c r="W1978" s="18"/>
      <c r="X1978" s="18"/>
    </row>
    <row r="1979" customFormat="false" ht="13.8" hidden="false" customHeight="false" outlineLevel="0" collapsed="false">
      <c r="A1979" s="18"/>
      <c r="B1979" s="65" t="s">
        <v>2970</v>
      </c>
      <c r="C1979" s="81" t="n">
        <v>43698</v>
      </c>
      <c r="D1979" s="38" t="s">
        <v>22</v>
      </c>
      <c r="E1979" s="65" t="s">
        <v>2795</v>
      </c>
      <c r="F1979" s="82" t="s">
        <v>199</v>
      </c>
      <c r="G1979" s="65" t="s">
        <v>2796</v>
      </c>
      <c r="H1979" s="65" t="s">
        <v>105</v>
      </c>
      <c r="I1979" s="65" t="s">
        <v>36</v>
      </c>
      <c r="J1979" s="83" t="n">
        <v>45.74</v>
      </c>
      <c r="K1979" s="84" t="n">
        <v>565000</v>
      </c>
      <c r="L1979" s="85" t="n">
        <f aca="false">K1979/J1979</f>
        <v>12352.4267599475</v>
      </c>
      <c r="M1979" s="86"/>
      <c r="N1979" s="87"/>
      <c r="O1979" s="88" t="n">
        <f aca="false">K1979+N1979</f>
        <v>565000</v>
      </c>
      <c r="P1979" s="88" t="n">
        <f aca="false">O1979/J1979</f>
        <v>12352.4267599475</v>
      </c>
      <c r="Q1979" s="83" t="s">
        <v>2971</v>
      </c>
      <c r="R1979" s="65" t="s">
        <v>36</v>
      </c>
      <c r="S1979" s="19" t="s">
        <v>29</v>
      </c>
      <c r="T1979" s="19" t="s">
        <v>30</v>
      </c>
      <c r="U1979" s="19" t="s">
        <v>31</v>
      </c>
      <c r="V1979" s="22" t="s">
        <v>2184</v>
      </c>
      <c r="W1979" s="18"/>
      <c r="X1979" s="18"/>
    </row>
    <row r="1980" customFormat="false" ht="13.8" hidden="false" customHeight="false" outlineLevel="0" collapsed="false">
      <c r="A1980" s="18"/>
      <c r="B1980" s="62" t="n">
        <v>25425</v>
      </c>
      <c r="C1980" s="81" t="n">
        <v>43698</v>
      </c>
      <c r="D1980" s="38" t="s">
        <v>22</v>
      </c>
      <c r="E1980" s="65" t="s">
        <v>354</v>
      </c>
      <c r="F1980" s="82" t="s">
        <v>386</v>
      </c>
      <c r="G1980" s="65" t="s">
        <v>294</v>
      </c>
      <c r="H1980" s="112" t="s">
        <v>730</v>
      </c>
      <c r="I1980" s="112" t="s">
        <v>57</v>
      </c>
      <c r="J1980" s="83" t="n">
        <v>50</v>
      </c>
      <c r="K1980" s="84" t="n">
        <v>450000</v>
      </c>
      <c r="L1980" s="113" t="n">
        <f aca="false">K1980/J1980</f>
        <v>9000</v>
      </c>
      <c r="M1980" s="114"/>
      <c r="N1980" s="93"/>
      <c r="O1980" s="88" t="n">
        <f aca="false">K1980+N1980</f>
        <v>450000</v>
      </c>
      <c r="P1980" s="88" t="n">
        <f aca="false">O1980/J1980</f>
        <v>9000</v>
      </c>
      <c r="Q1980" s="83" t="s">
        <v>952</v>
      </c>
      <c r="R1980" s="65" t="s">
        <v>26</v>
      </c>
      <c r="S1980" s="19" t="s">
        <v>29</v>
      </c>
      <c r="T1980" s="19" t="s">
        <v>30</v>
      </c>
      <c r="U1980" s="19" t="s">
        <v>31</v>
      </c>
      <c r="V1980" s="22" t="s">
        <v>2184</v>
      </c>
      <c r="W1980" s="18"/>
      <c r="X1980" s="18"/>
    </row>
    <row r="1981" customFormat="false" ht="13.8" hidden="false" customHeight="false" outlineLevel="0" collapsed="false">
      <c r="A1981" s="18"/>
      <c r="B1981" s="65" t="s">
        <v>2972</v>
      </c>
      <c r="C1981" s="81" t="n">
        <v>43698</v>
      </c>
      <c r="D1981" s="38" t="s">
        <v>22</v>
      </c>
      <c r="E1981" s="65" t="s">
        <v>459</v>
      </c>
      <c r="F1981" s="82" t="s">
        <v>240</v>
      </c>
      <c r="G1981" s="65" t="s">
        <v>318</v>
      </c>
      <c r="H1981" s="65" t="s">
        <v>618</v>
      </c>
      <c r="I1981" s="65" t="s">
        <v>27</v>
      </c>
      <c r="J1981" s="83" t="n">
        <v>46.5</v>
      </c>
      <c r="K1981" s="84" t="n">
        <v>458000</v>
      </c>
      <c r="L1981" s="85" t="n">
        <f aca="false">K1981/J1981</f>
        <v>9849.4623655914</v>
      </c>
      <c r="M1981" s="86"/>
      <c r="N1981" s="87"/>
      <c r="O1981" s="88" t="n">
        <f aca="false">K1981+N1981</f>
        <v>458000</v>
      </c>
      <c r="P1981" s="88" t="n">
        <f aca="false">O1981/J1981</f>
        <v>9849.4623655914</v>
      </c>
      <c r="Q1981" s="83" t="s">
        <v>1016</v>
      </c>
      <c r="R1981" s="65" t="s">
        <v>49</v>
      </c>
      <c r="S1981" s="19" t="s">
        <v>29</v>
      </c>
      <c r="T1981" s="19" t="s">
        <v>30</v>
      </c>
      <c r="U1981" s="19" t="s">
        <v>31</v>
      </c>
      <c r="V1981" s="22" t="s">
        <v>2184</v>
      </c>
      <c r="W1981" s="18"/>
      <c r="X1981" s="18"/>
    </row>
    <row r="1982" customFormat="false" ht="13.8" hidden="false" customHeight="false" outlineLevel="0" collapsed="false">
      <c r="A1982" s="18"/>
      <c r="B1982" s="65" t="s">
        <v>2973</v>
      </c>
      <c r="C1982" s="81" t="n">
        <v>43698</v>
      </c>
      <c r="D1982" s="38" t="s">
        <v>22</v>
      </c>
      <c r="E1982" s="65" t="s">
        <v>187</v>
      </c>
      <c r="F1982" s="82" t="s">
        <v>127</v>
      </c>
      <c r="G1982" s="65" t="s">
        <v>442</v>
      </c>
      <c r="H1982" s="65" t="s">
        <v>554</v>
      </c>
      <c r="I1982" s="65" t="s">
        <v>36</v>
      </c>
      <c r="J1982" s="83" t="n">
        <v>29.91</v>
      </c>
      <c r="K1982" s="84" t="n">
        <v>235000</v>
      </c>
      <c r="L1982" s="85" t="n">
        <f aca="false">K1982/J1982</f>
        <v>7856.90404546974</v>
      </c>
      <c r="M1982" s="111"/>
      <c r="N1982" s="87"/>
      <c r="O1982" s="88" t="n">
        <f aca="false">K1982+N1982</f>
        <v>235000</v>
      </c>
      <c r="P1982" s="88" t="n">
        <f aca="false">O1982/J1982</f>
        <v>7856.90404546974</v>
      </c>
      <c r="Q1982" s="83" t="s">
        <v>2922</v>
      </c>
      <c r="R1982" s="65" t="s">
        <v>36</v>
      </c>
      <c r="S1982" s="19" t="s">
        <v>29</v>
      </c>
      <c r="T1982" s="19" t="s">
        <v>30</v>
      </c>
      <c r="U1982" s="19" t="s">
        <v>31</v>
      </c>
      <c r="V1982" s="22" t="s">
        <v>2184</v>
      </c>
      <c r="W1982" s="18"/>
      <c r="X1982" s="18"/>
    </row>
    <row r="1983" customFormat="false" ht="13.8" hidden="false" customHeight="false" outlineLevel="0" collapsed="false">
      <c r="A1983" s="18"/>
      <c r="B1983" s="65" t="s">
        <v>2974</v>
      </c>
      <c r="C1983" s="81" t="n">
        <v>43699</v>
      </c>
      <c r="D1983" s="38" t="s">
        <v>22</v>
      </c>
      <c r="E1983" s="22" t="s">
        <v>375</v>
      </c>
      <c r="F1983" s="91" t="s">
        <v>376</v>
      </c>
      <c r="G1983" s="65" t="s">
        <v>36</v>
      </c>
      <c r="H1983" s="65" t="s">
        <v>82</v>
      </c>
      <c r="I1983" s="65" t="s">
        <v>36</v>
      </c>
      <c r="J1983" s="83" t="n">
        <v>31.58</v>
      </c>
      <c r="K1983" s="88" t="n">
        <v>435000</v>
      </c>
      <c r="L1983" s="85" t="n">
        <f aca="false">K1983/J1983</f>
        <v>13774.5408486384</v>
      </c>
      <c r="M1983" s="92"/>
      <c r="N1983" s="93"/>
      <c r="O1983" s="85" t="n">
        <f aca="false">K1983+N1983</f>
        <v>435000</v>
      </c>
      <c r="P1983" s="85" t="n">
        <f aca="false">O1983/J1983</f>
        <v>13774.5408486384</v>
      </c>
      <c r="Q1983" s="94" t="s">
        <v>2762</v>
      </c>
      <c r="R1983" s="65" t="s">
        <v>26</v>
      </c>
      <c r="S1983" s="19" t="s">
        <v>29</v>
      </c>
      <c r="T1983" s="19" t="s">
        <v>30</v>
      </c>
      <c r="U1983" s="19" t="s">
        <v>31</v>
      </c>
      <c r="V1983" s="22" t="s">
        <v>2184</v>
      </c>
      <c r="W1983" s="18"/>
      <c r="X1983" s="18"/>
    </row>
    <row r="1984" customFormat="false" ht="13.8" hidden="false" customHeight="false" outlineLevel="0" collapsed="false">
      <c r="A1984" s="18"/>
      <c r="B1984" s="65" t="s">
        <v>2975</v>
      </c>
      <c r="C1984" s="81" t="n">
        <v>43699</v>
      </c>
      <c r="D1984" s="38" t="s">
        <v>22</v>
      </c>
      <c r="E1984" s="22" t="s">
        <v>319</v>
      </c>
      <c r="F1984" s="82" t="s">
        <v>320</v>
      </c>
      <c r="G1984" s="65" t="s">
        <v>26</v>
      </c>
      <c r="H1984" s="65" t="s">
        <v>472</v>
      </c>
      <c r="I1984" s="65" t="s">
        <v>26</v>
      </c>
      <c r="J1984" s="83" t="n">
        <v>57.18</v>
      </c>
      <c r="K1984" s="84" t="n">
        <v>490000</v>
      </c>
      <c r="L1984" s="85" t="n">
        <f aca="false">K1984/J1984</f>
        <v>8569.42987058412</v>
      </c>
      <c r="M1984" s="111" t="s">
        <v>940</v>
      </c>
      <c r="N1984" s="87" t="n">
        <v>30000</v>
      </c>
      <c r="O1984" s="88" t="n">
        <f aca="false">K1984+N1984</f>
        <v>520000</v>
      </c>
      <c r="P1984" s="88" t="n">
        <f aca="false">O1984/J1984</f>
        <v>9094.08884225254</v>
      </c>
      <c r="Q1984" s="83" t="s">
        <v>2976</v>
      </c>
      <c r="R1984" s="65" t="s">
        <v>26</v>
      </c>
      <c r="S1984" s="19" t="s">
        <v>29</v>
      </c>
      <c r="T1984" s="19" t="s">
        <v>30</v>
      </c>
      <c r="U1984" s="19" t="s">
        <v>31</v>
      </c>
      <c r="V1984" s="22" t="s">
        <v>2184</v>
      </c>
      <c r="W1984" s="18"/>
      <c r="X1984" s="18"/>
    </row>
    <row r="1985" customFormat="false" ht="13.8" hidden="false" customHeight="false" outlineLevel="0" collapsed="false">
      <c r="A1985" s="18"/>
      <c r="B1985" s="62" t="n">
        <v>8656</v>
      </c>
      <c r="C1985" s="81" t="n">
        <v>43699</v>
      </c>
      <c r="D1985" s="38" t="s">
        <v>22</v>
      </c>
      <c r="E1985" s="65" t="s">
        <v>251</v>
      </c>
      <c r="F1985" s="82" t="s">
        <v>514</v>
      </c>
      <c r="G1985" s="65" t="s">
        <v>286</v>
      </c>
      <c r="H1985" s="112" t="s">
        <v>550</v>
      </c>
      <c r="I1985" s="112" t="s">
        <v>101</v>
      </c>
      <c r="J1985" s="83" t="n">
        <v>41.37</v>
      </c>
      <c r="K1985" s="84" t="n">
        <v>401800</v>
      </c>
      <c r="L1985" s="113" t="n">
        <f aca="false">K1985/J1985</f>
        <v>9712.35194585448</v>
      </c>
      <c r="M1985" s="114"/>
      <c r="N1985" s="93"/>
      <c r="O1985" s="88" t="n">
        <f aca="false">K1985+N1985</f>
        <v>401800</v>
      </c>
      <c r="P1985" s="88" t="n">
        <f aca="false">O1985/J1985</f>
        <v>9712.35194585448</v>
      </c>
      <c r="Q1985" s="83"/>
      <c r="R1985" s="65" t="s">
        <v>36</v>
      </c>
      <c r="S1985" s="19" t="s">
        <v>29</v>
      </c>
      <c r="T1985" s="19" t="s">
        <v>30</v>
      </c>
      <c r="U1985" s="19" t="s">
        <v>31</v>
      </c>
      <c r="V1985" s="22" t="s">
        <v>2184</v>
      </c>
      <c r="W1985" s="18"/>
      <c r="X1985" s="18"/>
    </row>
    <row r="1986" customFormat="false" ht="13.8" hidden="false" customHeight="false" outlineLevel="0" collapsed="false">
      <c r="A1986" s="18"/>
      <c r="B1986" s="65" t="s">
        <v>2977</v>
      </c>
      <c r="C1986" s="81" t="n">
        <v>43699</v>
      </c>
      <c r="D1986" s="38" t="s">
        <v>22</v>
      </c>
      <c r="E1986" s="65" t="s">
        <v>37</v>
      </c>
      <c r="F1986" s="82" t="s">
        <v>152</v>
      </c>
      <c r="G1986" s="65" t="s">
        <v>2978</v>
      </c>
      <c r="H1986" s="65" t="s">
        <v>141</v>
      </c>
      <c r="I1986" s="65" t="s">
        <v>57</v>
      </c>
      <c r="J1986" s="83" t="n">
        <v>30.6</v>
      </c>
      <c r="K1986" s="84" t="n">
        <v>295000</v>
      </c>
      <c r="L1986" s="85" t="n">
        <f aca="false">K1986/J1986</f>
        <v>9640.52287581699</v>
      </c>
      <c r="M1986" s="111"/>
      <c r="N1986" s="87"/>
      <c r="O1986" s="88" t="n">
        <f aca="false">K1986+N1986</f>
        <v>295000</v>
      </c>
      <c r="P1986" s="88" t="n">
        <f aca="false">O1986/J1986</f>
        <v>9640.52287581699</v>
      </c>
      <c r="Q1986" s="83" t="s">
        <v>2979</v>
      </c>
      <c r="R1986" s="65" t="s">
        <v>36</v>
      </c>
      <c r="S1986" s="19" t="s">
        <v>29</v>
      </c>
      <c r="T1986" s="19" t="s">
        <v>30</v>
      </c>
      <c r="U1986" s="19" t="s">
        <v>31</v>
      </c>
      <c r="V1986" s="22" t="s">
        <v>2184</v>
      </c>
      <c r="W1986" s="18"/>
      <c r="X1986" s="18"/>
    </row>
    <row r="1987" customFormat="false" ht="13.8" hidden="false" customHeight="false" outlineLevel="0" collapsed="false">
      <c r="A1987" s="18"/>
      <c r="B1987" s="65" t="s">
        <v>2980</v>
      </c>
      <c r="C1987" s="81" t="n">
        <v>43699</v>
      </c>
      <c r="D1987" s="38" t="s">
        <v>22</v>
      </c>
      <c r="E1987" s="65" t="s">
        <v>302</v>
      </c>
      <c r="F1987" s="91" t="s">
        <v>641</v>
      </c>
      <c r="G1987" s="65" t="s">
        <v>180</v>
      </c>
      <c r="H1987" s="65" t="s">
        <v>111</v>
      </c>
      <c r="I1987" s="65" t="s">
        <v>26</v>
      </c>
      <c r="J1987" s="83" t="n">
        <v>81.35</v>
      </c>
      <c r="K1987" s="88" t="n">
        <v>1020000</v>
      </c>
      <c r="L1987" s="66" t="n">
        <f aca="false">K1987/J1987</f>
        <v>12538.4142593731</v>
      </c>
      <c r="M1987" s="92"/>
      <c r="N1987" s="93"/>
      <c r="O1987" s="66" t="n">
        <f aca="false">K1987+N1987</f>
        <v>1020000</v>
      </c>
      <c r="P1987" s="88" t="n">
        <f aca="false">O1987/J1987</f>
        <v>12538.4142593731</v>
      </c>
      <c r="Q1987" s="94" t="s">
        <v>1340</v>
      </c>
      <c r="R1987" s="65" t="s">
        <v>49</v>
      </c>
      <c r="S1987" s="19" t="s">
        <v>29</v>
      </c>
      <c r="T1987" s="19" t="s">
        <v>30</v>
      </c>
      <c r="U1987" s="19" t="s">
        <v>31</v>
      </c>
      <c r="V1987" s="22" t="s">
        <v>2184</v>
      </c>
      <c r="W1987" s="91"/>
      <c r="X1987" s="18"/>
    </row>
    <row r="1988" customFormat="false" ht="13.8" hidden="false" customHeight="false" outlineLevel="0" collapsed="false">
      <c r="A1988" s="18"/>
      <c r="B1988" s="62" t="n">
        <v>12244</v>
      </c>
      <c r="C1988" s="81" t="n">
        <v>43700</v>
      </c>
      <c r="D1988" s="38" t="s">
        <v>22</v>
      </c>
      <c r="E1988" s="65" t="s">
        <v>2981</v>
      </c>
      <c r="F1988" s="82" t="s">
        <v>24</v>
      </c>
      <c r="G1988" s="65" t="s">
        <v>200</v>
      </c>
      <c r="H1988" s="112" t="s">
        <v>197</v>
      </c>
      <c r="I1988" s="112" t="s">
        <v>26</v>
      </c>
      <c r="J1988" s="83" t="n">
        <v>34.9</v>
      </c>
      <c r="K1988" s="84" t="n">
        <v>490000</v>
      </c>
      <c r="L1988" s="113" t="n">
        <f aca="false">K1988/J1988</f>
        <v>14040.1146131805</v>
      </c>
      <c r="M1988" s="114"/>
      <c r="N1988" s="93"/>
      <c r="O1988" s="88" t="n">
        <f aca="false">K1988+N1988</f>
        <v>490000</v>
      </c>
      <c r="P1988" s="88" t="n">
        <f aca="false">O1988/J1988</f>
        <v>14040.1146131805</v>
      </c>
      <c r="Q1988" s="83" t="s">
        <v>2982</v>
      </c>
      <c r="R1988" s="65" t="s">
        <v>36</v>
      </c>
      <c r="S1988" s="19" t="s">
        <v>29</v>
      </c>
      <c r="T1988" s="19" t="s">
        <v>30</v>
      </c>
      <c r="U1988" s="19" t="s">
        <v>31</v>
      </c>
      <c r="V1988" s="22" t="s">
        <v>2184</v>
      </c>
      <c r="W1988" s="18"/>
      <c r="X1988" s="18"/>
    </row>
    <row r="1989" customFormat="false" ht="13.8" hidden="false" customHeight="false" outlineLevel="0" collapsed="false">
      <c r="A1989" s="18"/>
      <c r="B1989" s="65" t="s">
        <v>2983</v>
      </c>
      <c r="C1989" s="81" t="n">
        <v>43700</v>
      </c>
      <c r="D1989" s="38" t="s">
        <v>22</v>
      </c>
      <c r="E1989" s="65" t="s">
        <v>175</v>
      </c>
      <c r="F1989" s="91" t="s">
        <v>176</v>
      </c>
      <c r="G1989" s="65" t="s">
        <v>684</v>
      </c>
      <c r="H1989" s="65" t="s">
        <v>120</v>
      </c>
      <c r="I1989" s="65" t="s">
        <v>49</v>
      </c>
      <c r="J1989" s="83" t="n">
        <v>56.1</v>
      </c>
      <c r="K1989" s="88" t="n">
        <v>900000</v>
      </c>
      <c r="L1989" s="66" t="n">
        <f aca="false">K1989/J1989</f>
        <v>16042.7807486631</v>
      </c>
      <c r="M1989" s="92"/>
      <c r="N1989" s="93"/>
      <c r="O1989" s="66" t="n">
        <f aca="false">K1989+N1989</f>
        <v>900000</v>
      </c>
      <c r="P1989" s="88" t="n">
        <f aca="false">O1989/J1989</f>
        <v>16042.7807486631</v>
      </c>
      <c r="Q1989" s="94" t="s">
        <v>2149</v>
      </c>
      <c r="R1989" s="65" t="s">
        <v>49</v>
      </c>
      <c r="S1989" s="19" t="s">
        <v>29</v>
      </c>
      <c r="T1989" s="19" t="s">
        <v>30</v>
      </c>
      <c r="U1989" s="19" t="s">
        <v>31</v>
      </c>
      <c r="V1989" s="22" t="s">
        <v>2184</v>
      </c>
      <c r="W1989" s="91"/>
      <c r="X1989" s="18"/>
    </row>
    <row r="1990" customFormat="false" ht="13.8" hidden="false" customHeight="false" outlineLevel="0" collapsed="false">
      <c r="A1990" s="18"/>
      <c r="B1990" s="62" t="n">
        <v>8126</v>
      </c>
      <c r="C1990" s="81" t="n">
        <v>43700</v>
      </c>
      <c r="D1990" s="38" t="s">
        <v>22</v>
      </c>
      <c r="E1990" s="65" t="s">
        <v>543</v>
      </c>
      <c r="F1990" s="82" t="s">
        <v>351</v>
      </c>
      <c r="G1990" s="65" t="s">
        <v>126</v>
      </c>
      <c r="H1990" s="112" t="s">
        <v>126</v>
      </c>
      <c r="I1990" s="112" t="s">
        <v>36</v>
      </c>
      <c r="J1990" s="83" t="n">
        <v>30.27</v>
      </c>
      <c r="K1990" s="84" t="n">
        <v>337000</v>
      </c>
      <c r="L1990" s="113" t="n">
        <f aca="false">K1990/J1990</f>
        <v>11133.1351172778</v>
      </c>
      <c r="M1990" s="114" t="s">
        <v>2984</v>
      </c>
      <c r="N1990" s="93"/>
      <c r="O1990" s="88" t="n">
        <f aca="false">K1990+N1990</f>
        <v>337000</v>
      </c>
      <c r="P1990" s="88" t="n">
        <f aca="false">O1990/J1990</f>
        <v>11133.1351172778</v>
      </c>
      <c r="Q1990" s="83" t="s">
        <v>2848</v>
      </c>
      <c r="R1990" s="65" t="s">
        <v>36</v>
      </c>
      <c r="S1990" s="19" t="s">
        <v>29</v>
      </c>
      <c r="T1990" s="19" t="s">
        <v>30</v>
      </c>
      <c r="U1990" s="19" t="s">
        <v>31</v>
      </c>
      <c r="V1990" s="22" t="s">
        <v>2184</v>
      </c>
      <c r="W1990" s="18"/>
      <c r="X1990" s="18"/>
    </row>
    <row r="1991" customFormat="false" ht="13.8" hidden="false" customHeight="false" outlineLevel="0" collapsed="false">
      <c r="A1991" s="18"/>
      <c r="B1991" s="65" t="s">
        <v>2985</v>
      </c>
      <c r="C1991" s="81" t="n">
        <v>43700</v>
      </c>
      <c r="D1991" s="38" t="s">
        <v>22</v>
      </c>
      <c r="E1991" s="22" t="s">
        <v>23</v>
      </c>
      <c r="F1991" s="82" t="s">
        <v>387</v>
      </c>
      <c r="G1991" s="65" t="s">
        <v>177</v>
      </c>
      <c r="H1991" s="65" t="s">
        <v>515</v>
      </c>
      <c r="I1991" s="65" t="s">
        <v>26</v>
      </c>
      <c r="J1991" s="83" t="n">
        <v>50.48</v>
      </c>
      <c r="K1991" s="84" t="n">
        <v>470000</v>
      </c>
      <c r="L1991" s="85" t="n">
        <f aca="false">K1991/J1991</f>
        <v>9310.61806656102</v>
      </c>
      <c r="M1991" s="86"/>
      <c r="N1991" s="87"/>
      <c r="O1991" s="88" t="n">
        <f aca="false">K1991+N1991</f>
        <v>470000</v>
      </c>
      <c r="P1991" s="88" t="n">
        <f aca="false">O1991/J1991</f>
        <v>9310.61806656102</v>
      </c>
      <c r="Q1991" s="83" t="s">
        <v>2986</v>
      </c>
      <c r="R1991" s="65" t="s">
        <v>26</v>
      </c>
      <c r="S1991" s="19" t="s">
        <v>29</v>
      </c>
      <c r="T1991" s="19" t="s">
        <v>30</v>
      </c>
      <c r="U1991" s="19" t="s">
        <v>31</v>
      </c>
      <c r="V1991" s="22" t="s">
        <v>2184</v>
      </c>
      <c r="W1991" s="18"/>
      <c r="X1991" s="18"/>
    </row>
    <row r="1992" customFormat="false" ht="13.8" hidden="false" customHeight="false" outlineLevel="0" collapsed="false">
      <c r="A1992" s="18"/>
      <c r="B1992" s="62" t="n">
        <v>966</v>
      </c>
      <c r="C1992" s="81" t="n">
        <v>43701</v>
      </c>
      <c r="D1992" s="115" t="s">
        <v>22</v>
      </c>
      <c r="E1992" s="65" t="s">
        <v>42</v>
      </c>
      <c r="F1992" s="82" t="s">
        <v>1028</v>
      </c>
      <c r="G1992" s="65" t="n">
        <v>18</v>
      </c>
      <c r="H1992" s="112" t="n">
        <v>25</v>
      </c>
      <c r="I1992" s="112" t="n">
        <v>3</v>
      </c>
      <c r="J1992" s="83" t="n">
        <v>35.18</v>
      </c>
      <c r="K1992" s="84" t="n">
        <v>325000</v>
      </c>
      <c r="L1992" s="85" t="n">
        <f aca="false">K1992/J1992</f>
        <v>9238.20352472996</v>
      </c>
      <c r="M1992" s="114"/>
      <c r="N1992" s="93"/>
      <c r="O1992" s="88" t="n">
        <v>325000</v>
      </c>
      <c r="P1992" s="88" t="n">
        <f aca="false">O1992/J1992</f>
        <v>9238.20352472996</v>
      </c>
      <c r="Q1992" s="83" t="s">
        <v>1320</v>
      </c>
      <c r="R1992" s="65" t="s">
        <v>27</v>
      </c>
      <c r="S1992" s="118" t="s">
        <v>29</v>
      </c>
      <c r="T1992" s="83" t="s">
        <v>30</v>
      </c>
      <c r="U1992" s="24" t="s">
        <v>31</v>
      </c>
      <c r="V1992" s="119" t="n">
        <v>43790</v>
      </c>
      <c r="W1992" s="18" t="s">
        <v>2987</v>
      </c>
      <c r="X1992" s="18"/>
    </row>
    <row r="1993" customFormat="false" ht="13.8" hidden="false" customHeight="false" outlineLevel="0" collapsed="false">
      <c r="A1993" s="18"/>
      <c r="B1993" s="62" t="n">
        <v>1131</v>
      </c>
      <c r="C1993" s="81" t="n">
        <v>43703</v>
      </c>
      <c r="D1993" s="38" t="s">
        <v>22</v>
      </c>
      <c r="E1993" s="22" t="s">
        <v>229</v>
      </c>
      <c r="F1993" s="82" t="s">
        <v>357</v>
      </c>
      <c r="G1993" s="65" t="s">
        <v>143</v>
      </c>
      <c r="H1993" s="112" t="s">
        <v>427</v>
      </c>
      <c r="I1993" s="112" t="s">
        <v>294</v>
      </c>
      <c r="J1993" s="83" t="n">
        <v>143</v>
      </c>
      <c r="K1993" s="84" t="n">
        <v>1040000</v>
      </c>
      <c r="L1993" s="113" t="n">
        <f aca="false">K1993/J1993</f>
        <v>7272.72727272727</v>
      </c>
      <c r="M1993" s="114"/>
      <c r="N1993" s="93"/>
      <c r="O1993" s="88" t="n">
        <f aca="false">K1993+N1993</f>
        <v>1040000</v>
      </c>
      <c r="P1993" s="88" t="n">
        <f aca="false">O1993/J1993</f>
        <v>7272.72727272727</v>
      </c>
      <c r="Q1993" s="83" t="s">
        <v>1057</v>
      </c>
      <c r="R1993" s="65" t="s">
        <v>57</v>
      </c>
      <c r="S1993" s="19" t="s">
        <v>29</v>
      </c>
      <c r="T1993" s="19" t="s">
        <v>30</v>
      </c>
      <c r="U1993" s="19" t="s">
        <v>31</v>
      </c>
      <c r="V1993" s="22" t="s">
        <v>2184</v>
      </c>
      <c r="W1993" s="18"/>
      <c r="X1993" s="18"/>
    </row>
    <row r="1994" customFormat="false" ht="13.8" hidden="false" customHeight="false" outlineLevel="0" collapsed="false">
      <c r="A1994" s="18"/>
      <c r="B1994" s="62" t="n">
        <v>1967</v>
      </c>
      <c r="C1994" s="81" t="n">
        <v>43703</v>
      </c>
      <c r="D1994" s="38" t="s">
        <v>22</v>
      </c>
      <c r="E1994" s="65" t="s">
        <v>369</v>
      </c>
      <c r="F1994" s="82" t="s">
        <v>285</v>
      </c>
      <c r="G1994" s="65" t="s">
        <v>141</v>
      </c>
      <c r="H1994" s="112" t="s">
        <v>111</v>
      </c>
      <c r="I1994" s="112" t="s">
        <v>49</v>
      </c>
      <c r="J1994" s="83" t="n">
        <v>52.88</v>
      </c>
      <c r="K1994" s="84" t="n">
        <v>550000</v>
      </c>
      <c r="L1994" s="113" t="n">
        <f aca="false">K1994/J1994</f>
        <v>10400.9077155825</v>
      </c>
      <c r="M1994" s="114"/>
      <c r="N1994" s="93"/>
      <c r="O1994" s="88" t="n">
        <f aca="false">K1994+N1994</f>
        <v>550000</v>
      </c>
      <c r="P1994" s="88" t="n">
        <f aca="false">O1994/J1994</f>
        <v>10400.9077155825</v>
      </c>
      <c r="Q1994" s="83" t="s">
        <v>925</v>
      </c>
      <c r="R1994" s="65" t="s">
        <v>26</v>
      </c>
      <c r="S1994" s="19" t="s">
        <v>29</v>
      </c>
      <c r="T1994" s="19" t="s">
        <v>30</v>
      </c>
      <c r="U1994" s="19" t="s">
        <v>31</v>
      </c>
      <c r="V1994" s="22" t="s">
        <v>2184</v>
      </c>
      <c r="W1994" s="18"/>
      <c r="X1994" s="18"/>
    </row>
    <row r="1995" customFormat="false" ht="13.8" hidden="false" customHeight="false" outlineLevel="0" collapsed="false">
      <c r="A1995" s="18"/>
      <c r="B1995" s="65" t="s">
        <v>2988</v>
      </c>
      <c r="C1995" s="81" t="n">
        <v>43703</v>
      </c>
      <c r="D1995" s="38" t="s">
        <v>22</v>
      </c>
      <c r="E1995" s="22" t="s">
        <v>319</v>
      </c>
      <c r="F1995" s="91" t="s">
        <v>320</v>
      </c>
      <c r="G1995" s="65" t="s">
        <v>26</v>
      </c>
      <c r="H1995" s="65" t="s">
        <v>2989</v>
      </c>
      <c r="I1995" s="65" t="s">
        <v>82</v>
      </c>
      <c r="J1995" s="83" t="n">
        <v>114.94</v>
      </c>
      <c r="K1995" s="84" t="n">
        <v>1030000</v>
      </c>
      <c r="L1995" s="85" t="n">
        <f aca="false">K1995/J1995</f>
        <v>8961.19714633722</v>
      </c>
      <c r="M1995" s="92"/>
      <c r="N1995" s="93"/>
      <c r="O1995" s="88" t="n">
        <f aca="false">K1995+N1995</f>
        <v>1030000</v>
      </c>
      <c r="P1995" s="85" t="n">
        <f aca="false">O1995/J1995</f>
        <v>8961.19714633722</v>
      </c>
      <c r="Q1995" s="65" t="s">
        <v>2990</v>
      </c>
      <c r="R1995" s="65" t="s">
        <v>57</v>
      </c>
      <c r="S1995" s="19" t="s">
        <v>29</v>
      </c>
      <c r="T1995" s="19" t="s">
        <v>30</v>
      </c>
      <c r="U1995" s="19" t="s">
        <v>31</v>
      </c>
      <c r="V1995" s="22" t="s">
        <v>2184</v>
      </c>
      <c r="W1995" s="18"/>
      <c r="X1995" s="18"/>
    </row>
    <row r="1996" customFormat="false" ht="13.8" hidden="false" customHeight="false" outlineLevel="0" collapsed="false">
      <c r="A1996" s="18"/>
      <c r="B1996" s="65" t="s">
        <v>2991</v>
      </c>
      <c r="C1996" s="81" t="n">
        <v>43703</v>
      </c>
      <c r="D1996" s="38" t="s">
        <v>22</v>
      </c>
      <c r="E1996" s="65" t="s">
        <v>350</v>
      </c>
      <c r="F1996" s="82" t="s">
        <v>323</v>
      </c>
      <c r="G1996" s="65" t="s">
        <v>26</v>
      </c>
      <c r="H1996" s="65" t="s">
        <v>36</v>
      </c>
      <c r="I1996" s="65" t="s">
        <v>36</v>
      </c>
      <c r="J1996" s="83" t="n">
        <v>40.15</v>
      </c>
      <c r="K1996" s="84" t="n">
        <v>519500</v>
      </c>
      <c r="L1996" s="85" t="n">
        <f aca="false">K1996/J1996</f>
        <v>12938.9788293898</v>
      </c>
      <c r="M1996" s="90"/>
      <c r="N1996" s="87"/>
      <c r="O1996" s="88" t="n">
        <f aca="false">K1996+N1996</f>
        <v>519500</v>
      </c>
      <c r="P1996" s="88" t="n">
        <f aca="false">O1996/J1996</f>
        <v>12938.9788293898</v>
      </c>
      <c r="Q1996" s="83" t="s">
        <v>2798</v>
      </c>
      <c r="R1996" s="65" t="s">
        <v>36</v>
      </c>
      <c r="S1996" s="19" t="s">
        <v>29</v>
      </c>
      <c r="T1996" s="19" t="s">
        <v>30</v>
      </c>
      <c r="U1996" s="19" t="s">
        <v>31</v>
      </c>
      <c r="V1996" s="22" t="s">
        <v>2184</v>
      </c>
      <c r="W1996" s="18"/>
      <c r="X1996" s="18"/>
    </row>
    <row r="1997" customFormat="false" ht="13.8" hidden="false" customHeight="false" outlineLevel="0" collapsed="false">
      <c r="A1997" s="18"/>
      <c r="B1997" s="62" t="n">
        <v>1721</v>
      </c>
      <c r="C1997" s="81" t="n">
        <v>43703</v>
      </c>
      <c r="D1997" s="38" t="s">
        <v>22</v>
      </c>
      <c r="E1997" s="22" t="s">
        <v>369</v>
      </c>
      <c r="F1997" s="82" t="s">
        <v>2992</v>
      </c>
      <c r="G1997" s="65" t="s">
        <v>180</v>
      </c>
      <c r="H1997" s="112" t="s">
        <v>143</v>
      </c>
      <c r="I1997" s="112" t="s">
        <v>49</v>
      </c>
      <c r="J1997" s="83" t="n">
        <v>70.9</v>
      </c>
      <c r="K1997" s="84" t="n">
        <v>835000</v>
      </c>
      <c r="L1997" s="85" t="n">
        <f aca="false">K1997/J1997</f>
        <v>11777.1509167842</v>
      </c>
      <c r="M1997" s="114"/>
      <c r="N1997" s="93"/>
      <c r="O1997" s="88" t="n">
        <f aca="false">K1997+N1997</f>
        <v>835000</v>
      </c>
      <c r="P1997" s="88" t="n">
        <f aca="false">O1997/J1997</f>
        <v>11777.1509167842</v>
      </c>
      <c r="Q1997" s="94" t="s">
        <v>2993</v>
      </c>
      <c r="R1997" s="65" t="s">
        <v>26</v>
      </c>
      <c r="S1997" s="19" t="s">
        <v>29</v>
      </c>
      <c r="T1997" s="19" t="s">
        <v>30</v>
      </c>
      <c r="U1997" s="19" t="s">
        <v>31</v>
      </c>
      <c r="V1997" s="22" t="s">
        <v>2184</v>
      </c>
      <c r="W1997" s="18"/>
      <c r="X1997" s="18"/>
    </row>
    <row r="1998" customFormat="false" ht="13.8" hidden="false" customHeight="false" outlineLevel="0" collapsed="false">
      <c r="A1998" s="18"/>
      <c r="B1998" s="62" t="n">
        <v>10347</v>
      </c>
      <c r="C1998" s="81" t="n">
        <v>43704</v>
      </c>
      <c r="D1998" s="38" t="s">
        <v>22</v>
      </c>
      <c r="E1998" s="65" t="s">
        <v>284</v>
      </c>
      <c r="F1998" s="82" t="s">
        <v>404</v>
      </c>
      <c r="G1998" s="65" t="s">
        <v>154</v>
      </c>
      <c r="H1998" s="112" t="s">
        <v>36</v>
      </c>
      <c r="I1998" s="112" t="s">
        <v>27</v>
      </c>
      <c r="J1998" s="83" t="n">
        <v>58.42</v>
      </c>
      <c r="K1998" s="84" t="n">
        <v>910000</v>
      </c>
      <c r="L1998" s="85" t="n">
        <f aca="false">K1998/J1998</f>
        <v>15576.857240671</v>
      </c>
      <c r="M1998" s="114" t="s">
        <v>940</v>
      </c>
      <c r="N1998" s="93" t="n">
        <v>30000</v>
      </c>
      <c r="O1998" s="88" t="n">
        <f aca="false">K1998+N1998</f>
        <v>940000</v>
      </c>
      <c r="P1998" s="88" t="n">
        <f aca="false">O1998/J1998</f>
        <v>16090.380006847</v>
      </c>
      <c r="Q1998" s="83" t="s">
        <v>2994</v>
      </c>
      <c r="R1998" s="65" t="s">
        <v>26</v>
      </c>
      <c r="S1998" s="19" t="s">
        <v>29</v>
      </c>
      <c r="T1998" s="19" t="s">
        <v>30</v>
      </c>
      <c r="U1998" s="19" t="s">
        <v>31</v>
      </c>
      <c r="V1998" s="22" t="s">
        <v>2184</v>
      </c>
      <c r="W1998" s="18"/>
      <c r="X1998" s="18"/>
    </row>
    <row r="1999" customFormat="false" ht="13.8" hidden="false" customHeight="false" outlineLevel="0" collapsed="false">
      <c r="A1999" s="18"/>
      <c r="B1999" s="65" t="s">
        <v>2995</v>
      </c>
      <c r="C1999" s="81" t="n">
        <v>43704</v>
      </c>
      <c r="D1999" s="38" t="s">
        <v>22</v>
      </c>
      <c r="E1999" s="65" t="s">
        <v>284</v>
      </c>
      <c r="F1999" s="91" t="s">
        <v>404</v>
      </c>
      <c r="G1999" s="65" t="s">
        <v>154</v>
      </c>
      <c r="H1999" s="65" t="s">
        <v>27</v>
      </c>
      <c r="I1999" s="65" t="s">
        <v>27</v>
      </c>
      <c r="J1999" s="83" t="n">
        <v>30.99</v>
      </c>
      <c r="K1999" s="88" t="n">
        <v>510000</v>
      </c>
      <c r="L1999" s="85" t="n">
        <f aca="false">K1999/J1999</f>
        <v>16456.9215876089</v>
      </c>
      <c r="M1999" s="92"/>
      <c r="N1999" s="93"/>
      <c r="O1999" s="85" t="n">
        <f aca="false">K1999+N1999</f>
        <v>510000</v>
      </c>
      <c r="P1999" s="85" t="n">
        <f aca="false">O1999/J1999</f>
        <v>16456.9215876089</v>
      </c>
      <c r="Q1999" s="94" t="s">
        <v>2969</v>
      </c>
      <c r="R1999" s="65" t="s">
        <v>36</v>
      </c>
      <c r="S1999" s="19" t="s">
        <v>29</v>
      </c>
      <c r="T1999" s="19" t="s">
        <v>30</v>
      </c>
      <c r="U1999" s="19" t="s">
        <v>31</v>
      </c>
      <c r="V1999" s="22" t="s">
        <v>2184</v>
      </c>
      <c r="W1999" s="18"/>
      <c r="X1999" s="120"/>
    </row>
    <row r="2000" customFormat="false" ht="13.8" hidden="false" customHeight="false" outlineLevel="0" collapsed="false">
      <c r="A2000" s="18"/>
      <c r="B2000" s="62" t="n">
        <v>14679</v>
      </c>
      <c r="C2000" s="81" t="n">
        <v>43704</v>
      </c>
      <c r="D2000" s="38" t="s">
        <v>22</v>
      </c>
      <c r="E2000" s="65" t="s">
        <v>644</v>
      </c>
      <c r="F2000" s="82" t="s">
        <v>485</v>
      </c>
      <c r="G2000" s="65" t="s">
        <v>413</v>
      </c>
      <c r="H2000" s="112" t="s">
        <v>2996</v>
      </c>
      <c r="I2000" s="112" t="s">
        <v>36</v>
      </c>
      <c r="J2000" s="83" t="n">
        <v>73.26</v>
      </c>
      <c r="K2000" s="84" t="n">
        <v>1225000</v>
      </c>
      <c r="L2000" s="113" t="n">
        <f aca="false">K2000/J2000</f>
        <v>16721.2667212667</v>
      </c>
      <c r="M2000" s="114" t="s">
        <v>2997</v>
      </c>
      <c r="N2000" s="93"/>
      <c r="O2000" s="88" t="n">
        <f aca="false">K2000+N2000</f>
        <v>1225000</v>
      </c>
      <c r="P2000" s="88" t="n">
        <f aca="false">O2000/J2000</f>
        <v>16721.2667212667</v>
      </c>
      <c r="Q2000" s="83" t="s">
        <v>2976</v>
      </c>
      <c r="R2000" s="65" t="s">
        <v>26</v>
      </c>
      <c r="S2000" s="19" t="s">
        <v>29</v>
      </c>
      <c r="T2000" s="19" t="s">
        <v>30</v>
      </c>
      <c r="U2000" s="19" t="s">
        <v>31</v>
      </c>
      <c r="V2000" s="22" t="s">
        <v>2184</v>
      </c>
      <c r="W2000" s="18"/>
      <c r="X2000" s="18"/>
    </row>
    <row r="2001" customFormat="false" ht="13.8" hidden="false" customHeight="false" outlineLevel="0" collapsed="false">
      <c r="A2001" s="18"/>
      <c r="B2001" s="65" t="s">
        <v>2998</v>
      </c>
      <c r="C2001" s="81" t="n">
        <v>43704</v>
      </c>
      <c r="D2001" s="38" t="s">
        <v>22</v>
      </c>
      <c r="E2001" s="22" t="s">
        <v>65</v>
      </c>
      <c r="F2001" s="91" t="s">
        <v>1174</v>
      </c>
      <c r="G2001" s="65" t="s">
        <v>27</v>
      </c>
      <c r="H2001" s="65" t="s">
        <v>2999</v>
      </c>
      <c r="I2001" s="65" t="s">
        <v>49</v>
      </c>
      <c r="J2001" s="83" t="n">
        <v>56.2</v>
      </c>
      <c r="K2001" s="88" t="n">
        <v>445000</v>
      </c>
      <c r="L2001" s="85" t="n">
        <f aca="false">K2001/J2001</f>
        <v>7918.14946619217</v>
      </c>
      <c r="M2001" s="92"/>
      <c r="N2001" s="93"/>
      <c r="O2001" s="88" t="n">
        <f aca="false">K2001+N2001</f>
        <v>445000</v>
      </c>
      <c r="P2001" s="85" t="n">
        <f aca="false">O2001/J2001</f>
        <v>7918.14946619217</v>
      </c>
      <c r="Q2001" s="94" t="s">
        <v>997</v>
      </c>
      <c r="R2001" s="65" t="s">
        <v>49</v>
      </c>
      <c r="S2001" s="19" t="s">
        <v>29</v>
      </c>
      <c r="T2001" s="19" t="s">
        <v>30</v>
      </c>
      <c r="U2001" s="19" t="s">
        <v>31</v>
      </c>
      <c r="V2001" s="22" t="s">
        <v>2184</v>
      </c>
      <c r="W2001" s="91"/>
      <c r="X2001" s="18"/>
    </row>
    <row r="2002" customFormat="false" ht="13.8" hidden="false" customHeight="false" outlineLevel="0" collapsed="false">
      <c r="A2002" s="18"/>
      <c r="B2002" s="62" t="n">
        <v>1778</v>
      </c>
      <c r="C2002" s="81" t="n">
        <v>43704</v>
      </c>
      <c r="D2002" s="115" t="s">
        <v>22</v>
      </c>
      <c r="E2002" s="65" t="s">
        <v>65</v>
      </c>
      <c r="F2002" s="82" t="s">
        <v>1174</v>
      </c>
      <c r="G2002" s="65" t="n">
        <v>1</v>
      </c>
      <c r="H2002" s="112" t="n">
        <v>232</v>
      </c>
      <c r="I2002" s="112" t="n">
        <v>8</v>
      </c>
      <c r="J2002" s="83" t="n">
        <v>48</v>
      </c>
      <c r="K2002" s="84" t="n">
        <v>342000</v>
      </c>
      <c r="L2002" s="85" t="n">
        <f aca="false">K2002/J2002</f>
        <v>7125</v>
      </c>
      <c r="M2002" s="114"/>
      <c r="N2002" s="93"/>
      <c r="O2002" s="88" t="n">
        <v>342000</v>
      </c>
      <c r="P2002" s="88" t="n">
        <f aca="false">O2002/J2002</f>
        <v>7125</v>
      </c>
      <c r="Q2002" s="83" t="s">
        <v>3000</v>
      </c>
      <c r="R2002" s="65" t="s">
        <v>36</v>
      </c>
      <c r="S2002" s="118" t="s">
        <v>29</v>
      </c>
      <c r="T2002" s="83" t="s">
        <v>30</v>
      </c>
      <c r="U2002" s="24" t="s">
        <v>31</v>
      </c>
      <c r="V2002" s="119" t="n">
        <v>43790</v>
      </c>
      <c r="W2002" s="18" t="s">
        <v>3001</v>
      </c>
      <c r="X2002" s="18"/>
    </row>
    <row r="2003" customFormat="false" ht="13.8" hidden="false" customHeight="false" outlineLevel="0" collapsed="false">
      <c r="A2003" s="18"/>
      <c r="B2003" s="65" t="s">
        <v>3002</v>
      </c>
      <c r="C2003" s="81" t="n">
        <v>43705</v>
      </c>
      <c r="D2003" s="38" t="s">
        <v>22</v>
      </c>
      <c r="E2003" s="22" t="s">
        <v>140</v>
      </c>
      <c r="F2003" s="91" t="s">
        <v>273</v>
      </c>
      <c r="G2003" s="65" t="s">
        <v>3003</v>
      </c>
      <c r="H2003" s="65" t="s">
        <v>413</v>
      </c>
      <c r="I2003" s="65" t="s">
        <v>126</v>
      </c>
      <c r="J2003" s="83" t="n">
        <v>43.65</v>
      </c>
      <c r="K2003" s="84" t="n">
        <v>440000</v>
      </c>
      <c r="L2003" s="85" t="n">
        <f aca="false">K2003/J2003</f>
        <v>10080.1832760596</v>
      </c>
      <c r="M2003" s="92"/>
      <c r="N2003" s="93"/>
      <c r="O2003" s="88" t="n">
        <f aca="false">K2003+N2003</f>
        <v>440000</v>
      </c>
      <c r="P2003" s="85" t="n">
        <f aca="false">O2003/J2003</f>
        <v>10080.1832760596</v>
      </c>
      <c r="Q2003" s="94" t="s">
        <v>3004</v>
      </c>
      <c r="R2003" s="65" t="s">
        <v>49</v>
      </c>
      <c r="S2003" s="19" t="s">
        <v>29</v>
      </c>
      <c r="T2003" s="19" t="s">
        <v>30</v>
      </c>
      <c r="U2003" s="19" t="s">
        <v>31</v>
      </c>
      <c r="V2003" s="22" t="s">
        <v>2184</v>
      </c>
      <c r="W2003" s="18"/>
      <c r="X2003" s="18"/>
    </row>
    <row r="2004" customFormat="false" ht="13.8" hidden="false" customHeight="false" outlineLevel="0" collapsed="false">
      <c r="A2004" s="18"/>
      <c r="B2004" s="62" t="n">
        <v>2746</v>
      </c>
      <c r="C2004" s="81" t="n">
        <v>43705</v>
      </c>
      <c r="D2004" s="64" t="s">
        <v>22</v>
      </c>
      <c r="E2004" s="121" t="s">
        <v>175</v>
      </c>
      <c r="F2004" s="18" t="s">
        <v>628</v>
      </c>
      <c r="G2004" s="62" t="n">
        <v>8</v>
      </c>
      <c r="H2004" s="62" t="n">
        <v>150</v>
      </c>
      <c r="I2004" s="62" t="n">
        <v>11</v>
      </c>
      <c r="J2004" s="62" t="n">
        <v>56.4</v>
      </c>
      <c r="K2004" s="66" t="n">
        <v>578000</v>
      </c>
      <c r="L2004" s="66" t="n">
        <f aca="false">K2004/J2004</f>
        <v>10248.2269503546</v>
      </c>
      <c r="M2004" s="18"/>
      <c r="N2004" s="54"/>
      <c r="O2004" s="66" t="n">
        <f aca="false">K2004+N2004</f>
        <v>578000</v>
      </c>
      <c r="P2004" s="88" t="n">
        <f aca="false">O2004/J2004</f>
        <v>10248.2269503546</v>
      </c>
      <c r="Q2004" s="18" t="s">
        <v>2059</v>
      </c>
      <c r="R2004" s="62" t="n">
        <v>4</v>
      </c>
      <c r="S2004" s="19" t="s">
        <v>29</v>
      </c>
      <c r="T2004" s="19" t="s">
        <v>30</v>
      </c>
      <c r="U2004" s="19" t="s">
        <v>31</v>
      </c>
      <c r="V2004" s="22" t="s">
        <v>2184</v>
      </c>
      <c r="W2004" s="18"/>
      <c r="X2004" s="18"/>
    </row>
    <row r="2005" customFormat="false" ht="13.8" hidden="false" customHeight="false" outlineLevel="0" collapsed="false">
      <c r="A2005" s="18"/>
      <c r="B2005" s="62" t="n">
        <v>8926</v>
      </c>
      <c r="C2005" s="81" t="n">
        <v>43705</v>
      </c>
      <c r="D2005" s="38" t="s">
        <v>22</v>
      </c>
      <c r="E2005" s="65" t="s">
        <v>308</v>
      </c>
      <c r="F2005" s="82" t="s">
        <v>46</v>
      </c>
      <c r="G2005" s="65" t="s">
        <v>217</v>
      </c>
      <c r="H2005" s="112" t="s">
        <v>141</v>
      </c>
      <c r="I2005" s="112" t="s">
        <v>57</v>
      </c>
      <c r="J2005" s="83" t="n">
        <v>48.76</v>
      </c>
      <c r="K2005" s="84" t="n">
        <v>410000</v>
      </c>
      <c r="L2005" s="113" t="n">
        <f aca="false">K2005/J2005</f>
        <v>8408.53158326497</v>
      </c>
      <c r="M2005" s="114"/>
      <c r="N2005" s="93"/>
      <c r="O2005" s="88" t="n">
        <f aca="false">K2005+N2005</f>
        <v>410000</v>
      </c>
      <c r="P2005" s="88" t="n">
        <f aca="false">O2005/J2005</f>
        <v>8408.53158326497</v>
      </c>
      <c r="Q2005" s="83" t="s">
        <v>925</v>
      </c>
      <c r="R2005" s="65" t="s">
        <v>26</v>
      </c>
      <c r="S2005" s="19" t="s">
        <v>29</v>
      </c>
      <c r="T2005" s="19" t="s">
        <v>30</v>
      </c>
      <c r="U2005" s="19" t="s">
        <v>31</v>
      </c>
      <c r="V2005" s="22" t="s">
        <v>2184</v>
      </c>
      <c r="W2005" s="18"/>
      <c r="X2005" s="18"/>
    </row>
    <row r="2006" customFormat="false" ht="13.8" hidden="false" customHeight="false" outlineLevel="0" collapsed="false">
      <c r="A2006" s="18"/>
      <c r="B2006" s="62" t="n">
        <v>1536</v>
      </c>
      <c r="C2006" s="81" t="n">
        <v>43705</v>
      </c>
      <c r="D2006" s="115" t="s">
        <v>22</v>
      </c>
      <c r="E2006" s="65" t="s">
        <v>350</v>
      </c>
      <c r="F2006" s="82" t="s">
        <v>351</v>
      </c>
      <c r="G2006" s="65" t="n">
        <v>3</v>
      </c>
      <c r="H2006" s="112" t="n">
        <v>74</v>
      </c>
      <c r="I2006" s="112" t="n">
        <v>4</v>
      </c>
      <c r="J2006" s="83" t="n">
        <v>40.47</v>
      </c>
      <c r="K2006" s="84" t="n">
        <v>515000</v>
      </c>
      <c r="L2006" s="85" t="n">
        <f aca="false">K2006/J2006</f>
        <v>12725.4756609834</v>
      </c>
      <c r="M2006" s="114"/>
      <c r="N2006" s="93"/>
      <c r="O2006" s="88" t="n">
        <v>515000</v>
      </c>
      <c r="P2006" s="88" t="n">
        <f aca="false">O2006/J2006</f>
        <v>12725.4756609834</v>
      </c>
      <c r="Q2006" s="83" t="s">
        <v>3005</v>
      </c>
      <c r="R2006" s="65" t="s">
        <v>27</v>
      </c>
      <c r="S2006" s="118" t="s">
        <v>29</v>
      </c>
      <c r="T2006" s="83" t="s">
        <v>30</v>
      </c>
      <c r="U2006" s="24" t="s">
        <v>31</v>
      </c>
      <c r="V2006" s="119" t="n">
        <v>43790</v>
      </c>
      <c r="W2006" s="18" t="s">
        <v>3006</v>
      </c>
      <c r="X2006" s="18"/>
    </row>
    <row r="2007" customFormat="false" ht="13.8" hidden="false" customHeight="false" outlineLevel="0" collapsed="false">
      <c r="A2007" s="18"/>
      <c r="B2007" s="65" t="n">
        <v>5805</v>
      </c>
      <c r="C2007" s="81" t="n">
        <v>43705</v>
      </c>
      <c r="D2007" s="115" t="s">
        <v>22</v>
      </c>
      <c r="E2007" s="65" t="s">
        <v>187</v>
      </c>
      <c r="F2007" s="91" t="s">
        <v>127</v>
      </c>
      <c r="G2007" s="65" t="s">
        <v>3007</v>
      </c>
      <c r="H2007" s="65" t="n">
        <v>15</v>
      </c>
      <c r="I2007" s="65" t="n">
        <v>2</v>
      </c>
      <c r="J2007" s="83" t="n">
        <v>35.37</v>
      </c>
      <c r="K2007" s="84" t="n">
        <v>524000</v>
      </c>
      <c r="L2007" s="85" t="n">
        <f aca="false">K2007/J2007</f>
        <v>14814.8148148148</v>
      </c>
      <c r="M2007" s="92"/>
      <c r="N2007" s="93"/>
      <c r="O2007" s="88" t="n">
        <v>524000</v>
      </c>
      <c r="P2007" s="88" t="n">
        <f aca="false">O2007/J2007</f>
        <v>14814.8148148148</v>
      </c>
      <c r="Q2007" s="65" t="s">
        <v>3008</v>
      </c>
      <c r="R2007" s="65" t="s">
        <v>27</v>
      </c>
      <c r="S2007" s="65" t="s">
        <v>29</v>
      </c>
      <c r="T2007" s="65" t="s">
        <v>30</v>
      </c>
      <c r="U2007" s="24" t="s">
        <v>31</v>
      </c>
      <c r="V2007" s="89" t="n">
        <v>43790</v>
      </c>
      <c r="W2007" s="18" t="s">
        <v>3009</v>
      </c>
      <c r="X2007" s="18"/>
    </row>
    <row r="2008" customFormat="false" ht="13.8" hidden="false" customHeight="false" outlineLevel="0" collapsed="false">
      <c r="A2008" s="18"/>
      <c r="B2008" s="62" t="n">
        <v>5363</v>
      </c>
      <c r="C2008" s="81" t="n">
        <v>43706</v>
      </c>
      <c r="D2008" s="38" t="s">
        <v>22</v>
      </c>
      <c r="E2008" s="22" t="s">
        <v>278</v>
      </c>
      <c r="F2008" s="82" t="s">
        <v>688</v>
      </c>
      <c r="G2008" s="65" t="s">
        <v>2880</v>
      </c>
      <c r="H2008" s="112" t="s">
        <v>88</v>
      </c>
      <c r="I2008" s="112" t="s">
        <v>26</v>
      </c>
      <c r="J2008" s="83" t="n">
        <v>35.9</v>
      </c>
      <c r="K2008" s="84" t="n">
        <v>320000</v>
      </c>
      <c r="L2008" s="85" t="n">
        <f aca="false">K2008/J2008</f>
        <v>8913.64902506964</v>
      </c>
      <c r="M2008" s="114"/>
      <c r="N2008" s="93"/>
      <c r="O2008" s="88" t="n">
        <f aca="false">K2008+N2008</f>
        <v>320000</v>
      </c>
      <c r="P2008" s="88" t="n">
        <f aca="false">O2008/J2008</f>
        <v>8913.64902506964</v>
      </c>
      <c r="Q2008" s="83" t="s">
        <v>2773</v>
      </c>
      <c r="R2008" s="65" t="s">
        <v>26</v>
      </c>
      <c r="S2008" s="19" t="s">
        <v>29</v>
      </c>
      <c r="T2008" s="19" t="s">
        <v>30</v>
      </c>
      <c r="U2008" s="19" t="s">
        <v>31</v>
      </c>
      <c r="V2008" s="22" t="s">
        <v>2184</v>
      </c>
      <c r="W2008" s="18"/>
      <c r="X2008" s="18"/>
    </row>
    <row r="2009" customFormat="false" ht="13.8" hidden="false" customHeight="false" outlineLevel="0" collapsed="false">
      <c r="A2009" s="18"/>
      <c r="B2009" s="65" t="n">
        <v>2554</v>
      </c>
      <c r="C2009" s="81" t="n">
        <v>43706</v>
      </c>
      <c r="D2009" s="115" t="s">
        <v>22</v>
      </c>
      <c r="E2009" s="65" t="s">
        <v>229</v>
      </c>
      <c r="F2009" s="91" t="s">
        <v>357</v>
      </c>
      <c r="G2009" s="65" t="s">
        <v>358</v>
      </c>
      <c r="H2009" s="65" t="s">
        <v>3010</v>
      </c>
      <c r="I2009" s="65" t="n">
        <v>5</v>
      </c>
      <c r="J2009" s="83" t="n">
        <v>172.87</v>
      </c>
      <c r="K2009" s="88" t="n">
        <v>1170000</v>
      </c>
      <c r="L2009" s="85" t="n">
        <f aca="false">K2009/J2009</f>
        <v>6768.09162954822</v>
      </c>
      <c r="M2009" s="92"/>
      <c r="N2009" s="93"/>
      <c r="O2009" s="88" t="n">
        <v>1170000</v>
      </c>
      <c r="P2009" s="88" t="n">
        <f aca="false">O2009/J2009</f>
        <v>6768.09162954822</v>
      </c>
      <c r="Q2009" s="94" t="s">
        <v>3011</v>
      </c>
      <c r="R2009" s="65" t="s">
        <v>25</v>
      </c>
      <c r="S2009" s="65" t="s">
        <v>29</v>
      </c>
      <c r="T2009" s="65" t="s">
        <v>30</v>
      </c>
      <c r="U2009" s="24" t="s">
        <v>31</v>
      </c>
      <c r="V2009" s="89" t="n">
        <v>43790</v>
      </c>
      <c r="W2009" s="91" t="s">
        <v>3012</v>
      </c>
      <c r="X2009" s="18"/>
    </row>
    <row r="2010" customFormat="false" ht="13.8" hidden="false" customHeight="false" outlineLevel="0" collapsed="false">
      <c r="A2010" s="18"/>
      <c r="B2010" s="65" t="n">
        <v>3713</v>
      </c>
      <c r="C2010" s="81" t="n">
        <v>43706</v>
      </c>
      <c r="D2010" s="115" t="s">
        <v>22</v>
      </c>
      <c r="E2010" s="65" t="s">
        <v>2151</v>
      </c>
      <c r="F2010" s="91" t="s">
        <v>2152</v>
      </c>
      <c r="G2010" s="65" t="n">
        <v>4</v>
      </c>
      <c r="H2010" s="65" t="n">
        <v>238</v>
      </c>
      <c r="I2010" s="65" t="n">
        <v>8</v>
      </c>
      <c r="J2010" s="83" t="n">
        <v>46.3</v>
      </c>
      <c r="K2010" s="88" t="n">
        <v>395000</v>
      </c>
      <c r="L2010" s="85" t="n">
        <f aca="false">K2010/J2010</f>
        <v>8531.31749460043</v>
      </c>
      <c r="M2010" s="92"/>
      <c r="N2010" s="93"/>
      <c r="O2010" s="88" t="n">
        <v>395000</v>
      </c>
      <c r="P2010" s="88" t="n">
        <f aca="false">O2010/J2010</f>
        <v>8531.31749460043</v>
      </c>
      <c r="Q2010" s="94" t="s">
        <v>1486</v>
      </c>
      <c r="R2010" s="65" t="s">
        <v>36</v>
      </c>
      <c r="S2010" s="65" t="s">
        <v>29</v>
      </c>
      <c r="T2010" s="65" t="s">
        <v>30</v>
      </c>
      <c r="U2010" s="24" t="s">
        <v>31</v>
      </c>
      <c r="V2010" s="89" t="n">
        <v>43790</v>
      </c>
      <c r="W2010" s="91" t="s">
        <v>3013</v>
      </c>
      <c r="X2010" s="18"/>
    </row>
    <row r="2011" customFormat="false" ht="13.8" hidden="false" customHeight="false" outlineLevel="0" collapsed="false">
      <c r="A2011" s="18"/>
      <c r="B2011" s="65" t="n">
        <v>2565</v>
      </c>
      <c r="C2011" s="81" t="n">
        <v>43706</v>
      </c>
      <c r="D2011" s="115" t="s">
        <v>22</v>
      </c>
      <c r="E2011" s="65" t="s">
        <v>178</v>
      </c>
      <c r="F2011" s="82" t="s">
        <v>387</v>
      </c>
      <c r="G2011" s="65" t="n">
        <v>69</v>
      </c>
      <c r="H2011" s="65" t="n">
        <v>30</v>
      </c>
      <c r="I2011" s="65" t="n">
        <v>4</v>
      </c>
      <c r="J2011" s="83" t="n">
        <v>48.16</v>
      </c>
      <c r="K2011" s="84" t="n">
        <v>604400</v>
      </c>
      <c r="L2011" s="85" t="n">
        <f aca="false">K2011/J2011</f>
        <v>12549.8338870432</v>
      </c>
      <c r="M2011" s="90"/>
      <c r="N2011" s="87"/>
      <c r="O2011" s="88" t="n">
        <v>604400</v>
      </c>
      <c r="P2011" s="88" t="n">
        <f aca="false">O2011/J2011</f>
        <v>12549.8338870432</v>
      </c>
      <c r="Q2011" s="83" t="s">
        <v>1486</v>
      </c>
      <c r="R2011" s="65" t="s">
        <v>36</v>
      </c>
      <c r="S2011" s="65" t="s">
        <v>29</v>
      </c>
      <c r="T2011" s="65" t="s">
        <v>30</v>
      </c>
      <c r="U2011" s="24" t="s">
        <v>31</v>
      </c>
      <c r="V2011" s="119" t="n">
        <v>43790</v>
      </c>
      <c r="W2011" s="18" t="s">
        <v>3014</v>
      </c>
      <c r="X2011" s="18"/>
    </row>
    <row r="2012" customFormat="false" ht="13.8" hidden="false" customHeight="false" outlineLevel="0" collapsed="false">
      <c r="A2012" s="18"/>
      <c r="B2012" s="62" t="n">
        <v>2562</v>
      </c>
      <c r="C2012" s="81" t="n">
        <v>43707</v>
      </c>
      <c r="D2012" s="38" t="s">
        <v>22</v>
      </c>
      <c r="E2012" s="22" t="s">
        <v>93</v>
      </c>
      <c r="F2012" s="82" t="s">
        <v>514</v>
      </c>
      <c r="G2012" s="65" t="s">
        <v>848</v>
      </c>
      <c r="H2012" s="112" t="s">
        <v>112</v>
      </c>
      <c r="I2012" s="112" t="s">
        <v>26</v>
      </c>
      <c r="J2012" s="83" t="n">
        <f aca="false">44.39-1.49</f>
        <v>42.9</v>
      </c>
      <c r="K2012" s="84" t="n">
        <v>414000</v>
      </c>
      <c r="L2012" s="85" t="n">
        <f aca="false">K2012/J2012</f>
        <v>9650.34965034965</v>
      </c>
      <c r="M2012" s="114" t="s">
        <v>189</v>
      </c>
      <c r="N2012" s="93"/>
      <c r="O2012" s="88" t="n">
        <f aca="false">K2012+N2012</f>
        <v>414000</v>
      </c>
      <c r="P2012" s="88" t="n">
        <f aca="false">O2012/J2012</f>
        <v>9650.34965034965</v>
      </c>
      <c r="Q2012" s="83" t="s">
        <v>3015</v>
      </c>
      <c r="R2012" s="65" t="s">
        <v>26</v>
      </c>
      <c r="S2012" s="19" t="s">
        <v>29</v>
      </c>
      <c r="T2012" s="19" t="s">
        <v>30</v>
      </c>
      <c r="U2012" s="19" t="s">
        <v>31</v>
      </c>
      <c r="V2012" s="22" t="s">
        <v>2184</v>
      </c>
      <c r="W2012" s="18"/>
      <c r="X2012" s="18"/>
    </row>
    <row r="2013" customFormat="false" ht="13.8" hidden="false" customHeight="false" outlineLevel="0" collapsed="false">
      <c r="A2013" s="18"/>
      <c r="B2013" s="65" t="s">
        <v>3016</v>
      </c>
      <c r="C2013" s="81" t="n">
        <v>43707</v>
      </c>
      <c r="D2013" s="38" t="s">
        <v>22</v>
      </c>
      <c r="E2013" s="22" t="s">
        <v>125</v>
      </c>
      <c r="F2013" s="82" t="s">
        <v>261</v>
      </c>
      <c r="G2013" s="65" t="s">
        <v>2369</v>
      </c>
      <c r="H2013" s="65" t="s">
        <v>494</v>
      </c>
      <c r="I2013" s="65" t="s">
        <v>36</v>
      </c>
      <c r="J2013" s="83" t="n">
        <v>62.66</v>
      </c>
      <c r="K2013" s="84" t="n">
        <v>609999</v>
      </c>
      <c r="L2013" s="85" t="n">
        <f aca="false">K2013/J2013</f>
        <v>9735.0622406639</v>
      </c>
      <c r="M2013" s="90" t="s">
        <v>1140</v>
      </c>
      <c r="N2013" s="87"/>
      <c r="O2013" s="88" t="n">
        <f aca="false">K2013+N2013</f>
        <v>609999</v>
      </c>
      <c r="P2013" s="88" t="n">
        <f aca="false">O2013/J2013</f>
        <v>9735.0622406639</v>
      </c>
      <c r="Q2013" s="83" t="s">
        <v>1129</v>
      </c>
      <c r="R2013" s="65" t="s">
        <v>49</v>
      </c>
      <c r="S2013" s="19" t="s">
        <v>29</v>
      </c>
      <c r="T2013" s="19" t="s">
        <v>30</v>
      </c>
      <c r="U2013" s="19" t="s">
        <v>31</v>
      </c>
      <c r="V2013" s="22" t="s">
        <v>2184</v>
      </c>
      <c r="W2013" s="18"/>
      <c r="X2013" s="18"/>
    </row>
    <row r="2014" customFormat="false" ht="13.8" hidden="false" customHeight="false" outlineLevel="0" collapsed="false">
      <c r="A2014" s="18"/>
      <c r="B2014" s="62" t="n">
        <v>3728</v>
      </c>
      <c r="C2014" s="81" t="n">
        <v>43707</v>
      </c>
      <c r="D2014" s="38" t="s">
        <v>22</v>
      </c>
      <c r="E2014" s="65" t="s">
        <v>72</v>
      </c>
      <c r="F2014" s="82" t="s">
        <v>46</v>
      </c>
      <c r="G2014" s="65" t="s">
        <v>786</v>
      </c>
      <c r="H2014" s="112" t="s">
        <v>55</v>
      </c>
      <c r="I2014" s="112" t="s">
        <v>26</v>
      </c>
      <c r="J2014" s="83" t="n">
        <v>53.91</v>
      </c>
      <c r="K2014" s="84" t="n">
        <v>490000</v>
      </c>
      <c r="L2014" s="85" t="n">
        <f aca="false">K2014/J2014</f>
        <v>9089.22277870525</v>
      </c>
      <c r="M2014" s="114"/>
      <c r="N2014" s="93"/>
      <c r="O2014" s="88" t="n">
        <f aca="false">K2014+N2014</f>
        <v>490000</v>
      </c>
      <c r="P2014" s="88" t="n">
        <f aca="false">O2014/J2014</f>
        <v>9089.22277870525</v>
      </c>
      <c r="Q2014" s="83" t="s">
        <v>952</v>
      </c>
      <c r="R2014" s="65" t="s">
        <v>26</v>
      </c>
      <c r="S2014" s="19" t="s">
        <v>29</v>
      </c>
      <c r="T2014" s="19" t="s">
        <v>30</v>
      </c>
      <c r="U2014" s="19" t="s">
        <v>31</v>
      </c>
      <c r="V2014" s="22" t="s">
        <v>2184</v>
      </c>
      <c r="W2014" s="18"/>
      <c r="X2014" s="18"/>
    </row>
    <row r="2015" customFormat="false" ht="13.8" hidden="false" customHeight="false" outlineLevel="0" collapsed="false">
      <c r="A2015" s="18"/>
      <c r="B2015" s="62" t="n">
        <v>7221</v>
      </c>
      <c r="C2015" s="81" t="n">
        <v>43707</v>
      </c>
      <c r="D2015" s="38" t="s">
        <v>22</v>
      </c>
      <c r="E2015" s="22" t="s">
        <v>543</v>
      </c>
      <c r="F2015" s="82" t="s">
        <v>1991</v>
      </c>
      <c r="G2015" s="65" t="s">
        <v>396</v>
      </c>
      <c r="H2015" s="112" t="s">
        <v>102</v>
      </c>
      <c r="I2015" s="112" t="s">
        <v>111</v>
      </c>
      <c r="J2015" s="83" t="n">
        <v>47.01</v>
      </c>
      <c r="K2015" s="84" t="n">
        <v>370000</v>
      </c>
      <c r="L2015" s="85" t="n">
        <f aca="false">K2015/J2015</f>
        <v>7870.66581578388</v>
      </c>
      <c r="M2015" s="114"/>
      <c r="N2015" s="93"/>
      <c r="O2015" s="88" t="n">
        <f aca="false">K2015+N2015</f>
        <v>370000</v>
      </c>
      <c r="P2015" s="88" t="n">
        <f aca="false">O2015/J2015</f>
        <v>7870.66581578388</v>
      </c>
      <c r="Q2015" s="83" t="s">
        <v>3017</v>
      </c>
      <c r="R2015" s="65" t="s">
        <v>26</v>
      </c>
      <c r="S2015" s="19" t="s">
        <v>29</v>
      </c>
      <c r="T2015" s="19" t="s">
        <v>30</v>
      </c>
      <c r="U2015" s="19" t="s">
        <v>31</v>
      </c>
      <c r="V2015" s="22" t="s">
        <v>2184</v>
      </c>
      <c r="W2015" s="18"/>
      <c r="X2015" s="18"/>
    </row>
    <row r="2016" customFormat="false" ht="13.8" hidden="false" customHeight="false" outlineLevel="0" collapsed="false">
      <c r="A2016" s="18"/>
      <c r="B2016" s="65" t="n">
        <v>2579</v>
      </c>
      <c r="C2016" s="81" t="n">
        <v>43707</v>
      </c>
      <c r="D2016" s="115" t="s">
        <v>22</v>
      </c>
      <c r="E2016" s="65" t="s">
        <v>175</v>
      </c>
      <c r="F2016" s="91" t="s">
        <v>3018</v>
      </c>
      <c r="G2016" s="65" t="n">
        <v>83</v>
      </c>
      <c r="H2016" s="65" t="n">
        <v>12</v>
      </c>
      <c r="I2016" s="65" t="n">
        <v>3</v>
      </c>
      <c r="J2016" s="83" t="n">
        <v>78.79</v>
      </c>
      <c r="K2016" s="84" t="n">
        <v>900000</v>
      </c>
      <c r="L2016" s="85" t="n">
        <f aca="false">K2016/J2016</f>
        <v>11422.769386978</v>
      </c>
      <c r="M2016" s="92"/>
      <c r="N2016" s="93"/>
      <c r="O2016" s="88" t="n">
        <v>900000</v>
      </c>
      <c r="P2016" s="88" t="n">
        <f aca="false">O2016/J2016</f>
        <v>11422.769386978</v>
      </c>
      <c r="Q2016" s="65" t="s">
        <v>3019</v>
      </c>
      <c r="R2016" s="65" t="s">
        <v>26</v>
      </c>
      <c r="S2016" s="65" t="s">
        <v>29</v>
      </c>
      <c r="T2016" s="65" t="s">
        <v>30</v>
      </c>
      <c r="U2016" s="24" t="s">
        <v>31</v>
      </c>
      <c r="V2016" s="89" t="n">
        <v>43790</v>
      </c>
      <c r="W2016" s="18" t="s">
        <v>3020</v>
      </c>
      <c r="X2016" s="18"/>
    </row>
    <row r="2017" customFormat="false" ht="13.8" hidden="false" customHeight="false" outlineLevel="0" collapsed="false">
      <c r="A2017" s="18"/>
      <c r="B2017" s="65" t="n">
        <v>6348</v>
      </c>
      <c r="C2017" s="81" t="n">
        <v>43707</v>
      </c>
      <c r="D2017" s="115" t="s">
        <v>22</v>
      </c>
      <c r="E2017" s="65" t="s">
        <v>61</v>
      </c>
      <c r="F2017" s="82" t="s">
        <v>361</v>
      </c>
      <c r="G2017" s="65" t="s">
        <v>213</v>
      </c>
      <c r="H2017" s="65" t="n">
        <v>347</v>
      </c>
      <c r="I2017" s="65" t="n">
        <v>4</v>
      </c>
      <c r="J2017" s="83" t="n">
        <v>31.06</v>
      </c>
      <c r="K2017" s="84" t="n">
        <v>327000</v>
      </c>
      <c r="L2017" s="85" t="n">
        <f aca="false">K2017/J2017</f>
        <v>10528.0103026401</v>
      </c>
      <c r="M2017" s="90"/>
      <c r="N2017" s="87"/>
      <c r="O2017" s="88" t="n">
        <v>327000</v>
      </c>
      <c r="P2017" s="88" t="n">
        <f aca="false">O2017/J2017</f>
        <v>10528.0103026401</v>
      </c>
      <c r="Q2017" s="83" t="s">
        <v>3021</v>
      </c>
      <c r="R2017" s="65" t="s">
        <v>27</v>
      </c>
      <c r="S2017" s="65" t="s">
        <v>29</v>
      </c>
      <c r="T2017" s="65" t="s">
        <v>30</v>
      </c>
      <c r="U2017" s="24" t="s">
        <v>31</v>
      </c>
      <c r="V2017" s="119" t="n">
        <v>43790</v>
      </c>
      <c r="W2017" s="18" t="s">
        <v>2268</v>
      </c>
      <c r="X2017" s="18"/>
    </row>
    <row r="2018" customFormat="false" ht="13.8" hidden="false" customHeight="false" outlineLevel="0" collapsed="false">
      <c r="A2018" s="18"/>
      <c r="B2018" s="65" t="s">
        <v>3022</v>
      </c>
      <c r="C2018" s="81" t="n">
        <v>43710</v>
      </c>
      <c r="D2018" s="38" t="s">
        <v>22</v>
      </c>
      <c r="E2018" s="22" t="s">
        <v>284</v>
      </c>
      <c r="F2018" s="82" t="s">
        <v>532</v>
      </c>
      <c r="G2018" s="65" t="s">
        <v>95</v>
      </c>
      <c r="H2018" s="65" t="s">
        <v>82</v>
      </c>
      <c r="I2018" s="65" t="s">
        <v>26</v>
      </c>
      <c r="J2018" s="83" t="n">
        <v>56.81</v>
      </c>
      <c r="K2018" s="84" t="n">
        <v>820000</v>
      </c>
      <c r="L2018" s="85" t="n">
        <f aca="false">K2018/J2018</f>
        <v>14434.0785073051</v>
      </c>
      <c r="M2018" s="90"/>
      <c r="N2018" s="87"/>
      <c r="O2018" s="88" t="n">
        <f aca="false">K2018+N2018</f>
        <v>820000</v>
      </c>
      <c r="P2018" s="88" t="n">
        <f aca="false">O2018/J2018</f>
        <v>14434.0785073051</v>
      </c>
      <c r="Q2018" s="83" t="s">
        <v>3023</v>
      </c>
      <c r="R2018" s="65" t="s">
        <v>26</v>
      </c>
      <c r="S2018" s="19" t="s">
        <v>29</v>
      </c>
      <c r="T2018" s="19" t="s">
        <v>30</v>
      </c>
      <c r="U2018" s="19" t="s">
        <v>31</v>
      </c>
      <c r="V2018" s="22" t="s">
        <v>2184</v>
      </c>
      <c r="W2018" s="18"/>
      <c r="X2018" s="18"/>
    </row>
    <row r="2019" customFormat="false" ht="13.8" hidden="false" customHeight="false" outlineLevel="0" collapsed="false">
      <c r="A2019" s="18"/>
      <c r="B2019" s="65" t="s">
        <v>3024</v>
      </c>
      <c r="C2019" s="81" t="n">
        <v>43710</v>
      </c>
      <c r="D2019" s="38" t="s">
        <v>22</v>
      </c>
      <c r="E2019" s="22" t="s">
        <v>517</v>
      </c>
      <c r="F2019" s="82" t="s">
        <v>518</v>
      </c>
      <c r="G2019" s="65" t="s">
        <v>1374</v>
      </c>
      <c r="H2019" s="65" t="s">
        <v>300</v>
      </c>
      <c r="I2019" s="65" t="s">
        <v>36</v>
      </c>
      <c r="J2019" s="83" t="n">
        <v>38.9</v>
      </c>
      <c r="K2019" s="84" t="n">
        <v>372000</v>
      </c>
      <c r="L2019" s="85" t="n">
        <f aca="false">K2019/J2019</f>
        <v>9562.98200514139</v>
      </c>
      <c r="M2019" s="90" t="s">
        <v>189</v>
      </c>
      <c r="N2019" s="87"/>
      <c r="O2019" s="88" t="n">
        <f aca="false">K2019+N2019</f>
        <v>372000</v>
      </c>
      <c r="P2019" s="88" t="n">
        <f aca="false">O2019/J2019</f>
        <v>9562.98200514139</v>
      </c>
      <c r="Q2019" s="83" t="s">
        <v>2748</v>
      </c>
      <c r="R2019" s="65" t="s">
        <v>36</v>
      </c>
      <c r="S2019" s="19" t="s">
        <v>29</v>
      </c>
      <c r="T2019" s="19" t="s">
        <v>30</v>
      </c>
      <c r="U2019" s="19" t="s">
        <v>31</v>
      </c>
      <c r="V2019" s="22" t="s">
        <v>2184</v>
      </c>
      <c r="W2019" s="18"/>
      <c r="X2019" s="18"/>
    </row>
    <row r="2020" customFormat="false" ht="13.8" hidden="false" customHeight="false" outlineLevel="0" collapsed="false">
      <c r="A2020" s="18"/>
      <c r="B2020" s="65" t="n">
        <v>4201</v>
      </c>
      <c r="C2020" s="81" t="n">
        <v>43710</v>
      </c>
      <c r="D2020" s="115" t="s">
        <v>22</v>
      </c>
      <c r="E2020" s="65" t="s">
        <v>23</v>
      </c>
      <c r="F2020" s="91" t="s">
        <v>722</v>
      </c>
      <c r="G2020" s="65" t="n">
        <v>7</v>
      </c>
      <c r="H2020" s="65" t="n">
        <v>34</v>
      </c>
      <c r="I2020" s="65" t="n">
        <v>4</v>
      </c>
      <c r="J2020" s="83" t="n">
        <v>50.2</v>
      </c>
      <c r="K2020" s="88" t="n">
        <v>490000</v>
      </c>
      <c r="L2020" s="85" t="n">
        <f aca="false">K2020/J2020</f>
        <v>9760.95617529881</v>
      </c>
      <c r="M2020" s="92"/>
      <c r="N2020" s="93"/>
      <c r="O2020" s="88" t="n">
        <v>490000</v>
      </c>
      <c r="P2020" s="88" t="n">
        <f aca="false">O2020/J2020</f>
        <v>9760.95617529881</v>
      </c>
      <c r="Q2020" s="94" t="s">
        <v>1486</v>
      </c>
      <c r="R2020" s="65" t="s">
        <v>36</v>
      </c>
      <c r="S2020" s="65" t="s">
        <v>29</v>
      </c>
      <c r="T2020" s="65" t="s">
        <v>30</v>
      </c>
      <c r="U2020" s="24" t="s">
        <v>31</v>
      </c>
      <c r="V2020" s="89" t="n">
        <v>43790</v>
      </c>
      <c r="W2020" s="91" t="s">
        <v>3025</v>
      </c>
      <c r="X2020" s="18"/>
    </row>
    <row r="2021" customFormat="false" ht="13.8" hidden="false" customHeight="false" outlineLevel="0" collapsed="false">
      <c r="A2021" s="18"/>
      <c r="B2021" s="65" t="n">
        <v>14965</v>
      </c>
      <c r="C2021" s="81" t="n">
        <v>43710</v>
      </c>
      <c r="D2021" s="115" t="s">
        <v>22</v>
      </c>
      <c r="E2021" s="65" t="s">
        <v>72</v>
      </c>
      <c r="F2021" s="82" t="s">
        <v>94</v>
      </c>
      <c r="G2021" s="65" t="s">
        <v>1268</v>
      </c>
      <c r="H2021" s="65" t="n">
        <v>108</v>
      </c>
      <c r="I2021" s="65" t="n">
        <v>7</v>
      </c>
      <c r="J2021" s="83" t="n">
        <v>41.5</v>
      </c>
      <c r="K2021" s="84" t="n">
        <v>400000</v>
      </c>
      <c r="L2021" s="85" t="n">
        <f aca="false">K2021/J2021</f>
        <v>9638.55421686747</v>
      </c>
      <c r="M2021" s="90"/>
      <c r="N2021" s="87"/>
      <c r="O2021" s="88" t="n">
        <v>400000</v>
      </c>
      <c r="P2021" s="88" t="n">
        <f aca="false">O2021/J2021</f>
        <v>9638.55421686747</v>
      </c>
      <c r="Q2021" s="83" t="s">
        <v>1517</v>
      </c>
      <c r="R2021" s="65" t="s">
        <v>27</v>
      </c>
      <c r="S2021" s="65" t="s">
        <v>29</v>
      </c>
      <c r="T2021" s="65" t="s">
        <v>30</v>
      </c>
      <c r="U2021" s="24" t="s">
        <v>31</v>
      </c>
      <c r="V2021" s="119" t="n">
        <v>43790</v>
      </c>
      <c r="W2021" s="18" t="s">
        <v>3026</v>
      </c>
      <c r="X2021" s="18"/>
    </row>
    <row r="2022" customFormat="false" ht="13.8" hidden="false" customHeight="false" outlineLevel="0" collapsed="false">
      <c r="A2022" s="18"/>
      <c r="B2022" s="65" t="s">
        <v>3027</v>
      </c>
      <c r="C2022" s="81" t="n">
        <v>43711</v>
      </c>
      <c r="D2022" s="38" t="s">
        <v>22</v>
      </c>
      <c r="E2022" s="22" t="s">
        <v>319</v>
      </c>
      <c r="F2022" s="82" t="s">
        <v>320</v>
      </c>
      <c r="G2022" s="65" t="s">
        <v>1374</v>
      </c>
      <c r="H2022" s="65" t="s">
        <v>902</v>
      </c>
      <c r="I2022" s="65" t="s">
        <v>36</v>
      </c>
      <c r="J2022" s="83" t="n">
        <v>52.18</v>
      </c>
      <c r="K2022" s="84" t="n">
        <v>545000</v>
      </c>
      <c r="L2022" s="85" t="n">
        <f aca="false">K2022/J2022</f>
        <v>10444.6147949406</v>
      </c>
      <c r="M2022" s="90" t="s">
        <v>940</v>
      </c>
      <c r="N2022" s="87" t="n">
        <f aca="false">11550+23450</f>
        <v>35000</v>
      </c>
      <c r="O2022" s="88" t="n">
        <f aca="false">K2022+N2022</f>
        <v>580000</v>
      </c>
      <c r="P2022" s="88" t="n">
        <f aca="false">O2022/J2022</f>
        <v>11115.3698735148</v>
      </c>
      <c r="Q2022" s="83" t="s">
        <v>3028</v>
      </c>
      <c r="R2022" s="65" t="s">
        <v>36</v>
      </c>
      <c r="S2022" s="19" t="s">
        <v>29</v>
      </c>
      <c r="T2022" s="19" t="s">
        <v>30</v>
      </c>
      <c r="U2022" s="19" t="s">
        <v>31</v>
      </c>
      <c r="V2022" s="22" t="s">
        <v>2184</v>
      </c>
      <c r="W2022" s="18"/>
      <c r="X2022" s="18"/>
    </row>
    <row r="2023" customFormat="false" ht="13.8" hidden="false" customHeight="false" outlineLevel="0" collapsed="false">
      <c r="A2023" s="18"/>
      <c r="B2023" s="65" t="s">
        <v>3029</v>
      </c>
      <c r="C2023" s="81" t="n">
        <v>43711</v>
      </c>
      <c r="D2023" s="38" t="s">
        <v>22</v>
      </c>
      <c r="E2023" s="22" t="s">
        <v>140</v>
      </c>
      <c r="F2023" s="91" t="s">
        <v>273</v>
      </c>
      <c r="G2023" s="65" t="s">
        <v>3003</v>
      </c>
      <c r="H2023" s="65" t="s">
        <v>55</v>
      </c>
      <c r="I2023" s="65" t="s">
        <v>26</v>
      </c>
      <c r="J2023" s="83" t="n">
        <v>57.87</v>
      </c>
      <c r="K2023" s="84" t="n">
        <v>220300</v>
      </c>
      <c r="L2023" s="85" t="n">
        <f aca="false">K2023/J2023</f>
        <v>3806.80836357353</v>
      </c>
      <c r="M2023" s="90"/>
      <c r="N2023" s="87"/>
      <c r="O2023" s="88" t="n">
        <f aca="false">K2023+N2023</f>
        <v>220300</v>
      </c>
      <c r="P2023" s="88" t="n">
        <f aca="false">O2023/J2023</f>
        <v>3806.80836357353</v>
      </c>
      <c r="Q2023" s="94" t="s">
        <v>3004</v>
      </c>
      <c r="R2023" s="65" t="s">
        <v>49</v>
      </c>
      <c r="S2023" s="19" t="s">
        <v>29</v>
      </c>
      <c r="T2023" s="19" t="s">
        <v>30</v>
      </c>
      <c r="U2023" s="19" t="s">
        <v>31</v>
      </c>
      <c r="V2023" s="22" t="s">
        <v>2184</v>
      </c>
      <c r="W2023" s="18"/>
      <c r="X2023" s="18"/>
    </row>
    <row r="2024" customFormat="false" ht="13.8" hidden="false" customHeight="false" outlineLevel="0" collapsed="false">
      <c r="A2024" s="18"/>
      <c r="B2024" s="65" t="s">
        <v>3030</v>
      </c>
      <c r="C2024" s="81" t="n">
        <v>43711</v>
      </c>
      <c r="D2024" s="38" t="s">
        <v>22</v>
      </c>
      <c r="E2024" s="22" t="s">
        <v>322</v>
      </c>
      <c r="F2024" s="82" t="s">
        <v>323</v>
      </c>
      <c r="G2024" s="65" t="s">
        <v>1023</v>
      </c>
      <c r="H2024" s="65" t="s">
        <v>154</v>
      </c>
      <c r="I2024" s="65" t="s">
        <v>82</v>
      </c>
      <c r="J2024" s="83" t="n">
        <v>38.4</v>
      </c>
      <c r="K2024" s="84" t="n">
        <v>562000</v>
      </c>
      <c r="L2024" s="85" t="n">
        <f aca="false">K2024/J2024</f>
        <v>14635.4166666667</v>
      </c>
      <c r="M2024" s="90" t="s">
        <v>940</v>
      </c>
      <c r="N2024" s="87"/>
      <c r="O2024" s="88" t="n">
        <f aca="false">K2024+N2024</f>
        <v>562000</v>
      </c>
      <c r="P2024" s="88" t="n">
        <f aca="false">O2024/J2024</f>
        <v>14635.4166666667</v>
      </c>
      <c r="Q2024" s="83" t="s">
        <v>3031</v>
      </c>
      <c r="R2024" s="65" t="s">
        <v>36</v>
      </c>
      <c r="S2024" s="19" t="s">
        <v>29</v>
      </c>
      <c r="T2024" s="19" t="s">
        <v>30</v>
      </c>
      <c r="U2024" s="19" t="s">
        <v>31</v>
      </c>
      <c r="V2024" s="22" t="s">
        <v>2184</v>
      </c>
      <c r="W2024" s="18"/>
      <c r="X2024" s="18"/>
    </row>
    <row r="2025" customFormat="false" ht="13.8" hidden="false" customHeight="false" outlineLevel="0" collapsed="false">
      <c r="A2025" s="18"/>
      <c r="B2025" s="65" t="s">
        <v>3032</v>
      </c>
      <c r="C2025" s="81" t="n">
        <v>43711</v>
      </c>
      <c r="D2025" s="38" t="s">
        <v>22</v>
      </c>
      <c r="E2025" s="22" t="s">
        <v>235</v>
      </c>
      <c r="F2025" s="82" t="s">
        <v>2446</v>
      </c>
      <c r="G2025" s="65" t="s">
        <v>120</v>
      </c>
      <c r="H2025" s="65" t="s">
        <v>154</v>
      </c>
      <c r="I2025" s="65" t="s">
        <v>49</v>
      </c>
      <c r="J2025" s="83" t="n">
        <v>33.68</v>
      </c>
      <c r="K2025" s="84" t="n">
        <v>450000</v>
      </c>
      <c r="L2025" s="85" t="n">
        <f aca="false">K2025/J2025</f>
        <v>13361.0451306413</v>
      </c>
      <c r="M2025" s="90"/>
      <c r="N2025" s="87"/>
      <c r="O2025" s="88" t="n">
        <f aca="false">K2025+N2025</f>
        <v>450000</v>
      </c>
      <c r="P2025" s="88" t="n">
        <f aca="false">O2025/J2025</f>
        <v>13361.0451306413</v>
      </c>
      <c r="Q2025" s="83" t="s">
        <v>3033</v>
      </c>
      <c r="R2025" s="65" t="s">
        <v>36</v>
      </c>
      <c r="S2025" s="19" t="s">
        <v>29</v>
      </c>
      <c r="T2025" s="19" t="s">
        <v>30</v>
      </c>
      <c r="U2025" s="19" t="s">
        <v>31</v>
      </c>
      <c r="V2025" s="22" t="s">
        <v>2184</v>
      </c>
      <c r="W2025" s="18"/>
      <c r="X2025" s="18"/>
    </row>
    <row r="2026" customFormat="false" ht="13.8" hidden="false" customHeight="false" outlineLevel="0" collapsed="false">
      <c r="A2026" s="18"/>
      <c r="B2026" s="65" t="s">
        <v>3034</v>
      </c>
      <c r="C2026" s="81" t="n">
        <v>43711</v>
      </c>
      <c r="D2026" s="38" t="s">
        <v>22</v>
      </c>
      <c r="E2026" s="22" t="s">
        <v>350</v>
      </c>
      <c r="F2026" s="82" t="s">
        <v>351</v>
      </c>
      <c r="G2026" s="65" t="s">
        <v>27</v>
      </c>
      <c r="H2026" s="65" t="s">
        <v>457</v>
      </c>
      <c r="I2026" s="65" t="s">
        <v>57</v>
      </c>
      <c r="J2026" s="83" t="n">
        <f aca="false">51.01-3.32</f>
        <v>47.69</v>
      </c>
      <c r="K2026" s="84" t="n">
        <v>510000</v>
      </c>
      <c r="L2026" s="85" t="n">
        <f aca="false">K2026/J2026</f>
        <v>10694.0658418956</v>
      </c>
      <c r="M2026" s="90" t="s">
        <v>1739</v>
      </c>
      <c r="N2026" s="87"/>
      <c r="O2026" s="88" t="n">
        <f aca="false">K2026+N2026</f>
        <v>510000</v>
      </c>
      <c r="P2026" s="88" t="n">
        <f aca="false">O2026/J2026</f>
        <v>10694.0658418956</v>
      </c>
      <c r="Q2026" s="83" t="s">
        <v>3035</v>
      </c>
      <c r="R2026" s="65" t="s">
        <v>36</v>
      </c>
      <c r="S2026" s="19" t="s">
        <v>29</v>
      </c>
      <c r="T2026" s="19" t="s">
        <v>30</v>
      </c>
      <c r="U2026" s="19" t="s">
        <v>31</v>
      </c>
      <c r="V2026" s="22" t="s">
        <v>2184</v>
      </c>
      <c r="W2026" s="18"/>
      <c r="X2026" s="18"/>
    </row>
    <row r="2027" customFormat="false" ht="13.8" hidden="false" customHeight="false" outlineLevel="0" collapsed="false">
      <c r="A2027" s="18"/>
      <c r="B2027" s="65" t="n">
        <v>6404</v>
      </c>
      <c r="C2027" s="81" t="n">
        <v>43711</v>
      </c>
      <c r="D2027" s="115" t="s">
        <v>22</v>
      </c>
      <c r="E2027" s="65" t="s">
        <v>278</v>
      </c>
      <c r="F2027" s="91" t="s">
        <v>416</v>
      </c>
      <c r="G2027" s="65" t="n">
        <v>4</v>
      </c>
      <c r="H2027" s="65" t="n">
        <v>47</v>
      </c>
      <c r="I2027" s="65" t="n">
        <v>4</v>
      </c>
      <c r="J2027" s="83" t="n">
        <v>46.98</v>
      </c>
      <c r="K2027" s="88" t="n">
        <v>380000</v>
      </c>
      <c r="L2027" s="85" t="n">
        <f aca="false">K2027/J2027</f>
        <v>8088.54831843338</v>
      </c>
      <c r="M2027" s="92"/>
      <c r="N2027" s="93"/>
      <c r="O2027" s="88" t="n">
        <v>380000</v>
      </c>
      <c r="P2027" s="88" t="n">
        <f aca="false">O2027/J2027</f>
        <v>8088.54831843338</v>
      </c>
      <c r="Q2027" s="94" t="s">
        <v>1573</v>
      </c>
      <c r="R2027" s="65" t="s">
        <v>26</v>
      </c>
      <c r="S2027" s="65" t="s">
        <v>29</v>
      </c>
      <c r="T2027" s="65" t="s">
        <v>30</v>
      </c>
      <c r="U2027" s="24" t="s">
        <v>31</v>
      </c>
      <c r="V2027" s="89" t="n">
        <v>43790</v>
      </c>
      <c r="W2027" s="18" t="s">
        <v>3036</v>
      </c>
      <c r="X2027" s="18"/>
    </row>
    <row r="2028" customFormat="false" ht="13.8" hidden="false" customHeight="false" outlineLevel="0" collapsed="false">
      <c r="A2028" s="18"/>
      <c r="B2028" s="62" t="n">
        <v>15014</v>
      </c>
      <c r="C2028" s="81" t="n">
        <v>43711</v>
      </c>
      <c r="D2028" s="115" t="s">
        <v>22</v>
      </c>
      <c r="E2028" s="65" t="s">
        <v>278</v>
      </c>
      <c r="F2028" s="82" t="s">
        <v>288</v>
      </c>
      <c r="G2028" s="65" t="s">
        <v>445</v>
      </c>
      <c r="H2028" s="112" t="n">
        <v>10</v>
      </c>
      <c r="I2028" s="112" t="n">
        <v>2</v>
      </c>
      <c r="J2028" s="83" t="n">
        <v>61.68</v>
      </c>
      <c r="K2028" s="84" t="n">
        <v>590000</v>
      </c>
      <c r="L2028" s="85" t="n">
        <f aca="false">K2028/J2028</f>
        <v>9565.49935149157</v>
      </c>
      <c r="M2028" s="114"/>
      <c r="N2028" s="93"/>
      <c r="O2028" s="88" t="n">
        <v>590000</v>
      </c>
      <c r="P2028" s="88" t="n">
        <f aca="false">O2028/J2028</f>
        <v>9565.49935149157</v>
      </c>
      <c r="Q2028" s="83" t="s">
        <v>3037</v>
      </c>
      <c r="R2028" s="65" t="s">
        <v>36</v>
      </c>
      <c r="S2028" s="118" t="s">
        <v>29</v>
      </c>
      <c r="T2028" s="83" t="s">
        <v>30</v>
      </c>
      <c r="U2028" s="24" t="s">
        <v>31</v>
      </c>
      <c r="V2028" s="119" t="n">
        <v>43790</v>
      </c>
      <c r="W2028" s="18" t="s">
        <v>3038</v>
      </c>
      <c r="X2028" s="18"/>
    </row>
    <row r="2029" customFormat="false" ht="13.8" hidden="false" customHeight="false" outlineLevel="0" collapsed="false">
      <c r="A2029" s="18"/>
      <c r="B2029" s="65" t="n">
        <v>14472</v>
      </c>
      <c r="C2029" s="81" t="n">
        <v>43711</v>
      </c>
      <c r="D2029" s="115" t="s">
        <v>22</v>
      </c>
      <c r="E2029" s="65" t="s">
        <v>178</v>
      </c>
      <c r="F2029" s="82" t="s">
        <v>513</v>
      </c>
      <c r="G2029" s="65" t="n">
        <v>5</v>
      </c>
      <c r="H2029" s="65" t="n">
        <v>28</v>
      </c>
      <c r="I2029" s="65" t="n">
        <v>2</v>
      </c>
      <c r="J2029" s="83" t="n">
        <v>36</v>
      </c>
      <c r="K2029" s="84" t="n">
        <v>402000</v>
      </c>
      <c r="L2029" s="85" t="n">
        <f aca="false">K2029/J2029</f>
        <v>11166.6666666667</v>
      </c>
      <c r="M2029" s="90" t="s">
        <v>3039</v>
      </c>
      <c r="N2029" s="87"/>
      <c r="O2029" s="88" t="n">
        <v>402000</v>
      </c>
      <c r="P2029" s="88" t="n">
        <f aca="false">O2029/J2029</f>
        <v>11166.6666666667</v>
      </c>
      <c r="Q2029" s="83" t="s">
        <v>3040</v>
      </c>
      <c r="R2029" s="65" t="s">
        <v>27</v>
      </c>
      <c r="S2029" s="65" t="s">
        <v>29</v>
      </c>
      <c r="T2029" s="65" t="s">
        <v>30</v>
      </c>
      <c r="U2029" s="24" t="s">
        <v>31</v>
      </c>
      <c r="V2029" s="119" t="n">
        <v>43790</v>
      </c>
      <c r="W2029" s="18" t="s">
        <v>3041</v>
      </c>
      <c r="X2029" s="18"/>
    </row>
    <row r="2030" customFormat="false" ht="13.8" hidden="false" customHeight="false" outlineLevel="0" collapsed="false">
      <c r="A2030" s="18"/>
      <c r="B2030" s="65" t="n">
        <v>5536</v>
      </c>
      <c r="C2030" s="81" t="n">
        <v>43711</v>
      </c>
      <c r="D2030" s="115" t="s">
        <v>22</v>
      </c>
      <c r="E2030" s="65" t="s">
        <v>190</v>
      </c>
      <c r="F2030" s="82" t="s">
        <v>591</v>
      </c>
      <c r="G2030" s="65" t="n">
        <v>17</v>
      </c>
      <c r="H2030" s="65" t="n">
        <v>17</v>
      </c>
      <c r="I2030" s="65" t="n">
        <v>3</v>
      </c>
      <c r="J2030" s="83" t="n">
        <v>36.4</v>
      </c>
      <c r="K2030" s="84" t="n">
        <v>335000</v>
      </c>
      <c r="L2030" s="85" t="n">
        <f aca="false">K2030/J2030</f>
        <v>9203.2967032967</v>
      </c>
      <c r="M2030" s="90" t="s">
        <v>3042</v>
      </c>
      <c r="N2030" s="87"/>
      <c r="O2030" s="88" t="n">
        <v>335000</v>
      </c>
      <c r="P2030" s="88" t="n">
        <f aca="false">O2030/J2030</f>
        <v>9203.2967032967</v>
      </c>
      <c r="Q2030" s="83" t="s">
        <v>1320</v>
      </c>
      <c r="R2030" s="65" t="s">
        <v>27</v>
      </c>
      <c r="S2030" s="65" t="s">
        <v>29</v>
      </c>
      <c r="T2030" s="65" t="s">
        <v>30</v>
      </c>
      <c r="U2030" s="24" t="s">
        <v>31</v>
      </c>
      <c r="V2030" s="119" t="n">
        <v>43790</v>
      </c>
      <c r="W2030" s="18" t="s">
        <v>3043</v>
      </c>
      <c r="X2030" s="18"/>
    </row>
    <row r="2031" customFormat="false" ht="13.8" hidden="false" customHeight="false" outlineLevel="0" collapsed="false">
      <c r="A2031" s="18"/>
      <c r="B2031" s="62" t="n">
        <v>3779</v>
      </c>
      <c r="C2031" s="81" t="n">
        <v>43712</v>
      </c>
      <c r="D2031" s="38" t="s">
        <v>22</v>
      </c>
      <c r="E2031" s="22" t="s">
        <v>61</v>
      </c>
      <c r="F2031" s="82" t="s">
        <v>62</v>
      </c>
      <c r="G2031" s="65" t="s">
        <v>27</v>
      </c>
      <c r="H2031" s="112" t="s">
        <v>3044</v>
      </c>
      <c r="I2031" s="112" t="s">
        <v>49</v>
      </c>
      <c r="J2031" s="83" t="n">
        <v>42.86</v>
      </c>
      <c r="K2031" s="84" t="n">
        <v>200000</v>
      </c>
      <c r="L2031" s="85" t="n">
        <f aca="false">K2031/J2031</f>
        <v>4666.35557629491</v>
      </c>
      <c r="M2031" s="114"/>
      <c r="N2031" s="93"/>
      <c r="O2031" s="88" t="n">
        <f aca="false">K2031+N2031</f>
        <v>200000</v>
      </c>
      <c r="P2031" s="88" t="n">
        <f aca="false">O2031/J2031</f>
        <v>4666.35557629491</v>
      </c>
      <c r="Q2031" s="83" t="s">
        <v>925</v>
      </c>
      <c r="R2031" s="65" t="s">
        <v>26</v>
      </c>
      <c r="S2031" s="19" t="s">
        <v>29</v>
      </c>
      <c r="T2031" s="19" t="s">
        <v>30</v>
      </c>
      <c r="U2031" s="19" t="s">
        <v>31</v>
      </c>
      <c r="V2031" s="22" t="s">
        <v>2184</v>
      </c>
      <c r="W2031" s="18"/>
      <c r="X2031" s="18"/>
    </row>
    <row r="2032" customFormat="false" ht="13.8" hidden="false" customHeight="false" outlineLevel="0" collapsed="false">
      <c r="A2032" s="18"/>
      <c r="B2032" s="65" t="s">
        <v>3045</v>
      </c>
      <c r="C2032" s="81" t="n">
        <v>43712</v>
      </c>
      <c r="D2032" s="38" t="s">
        <v>22</v>
      </c>
      <c r="E2032" s="22" t="s">
        <v>171</v>
      </c>
      <c r="F2032" s="82" t="s">
        <v>315</v>
      </c>
      <c r="G2032" s="65" t="s">
        <v>222</v>
      </c>
      <c r="H2032" s="65" t="s">
        <v>165</v>
      </c>
      <c r="I2032" s="65" t="s">
        <v>200</v>
      </c>
      <c r="J2032" s="83" t="n">
        <v>50.8</v>
      </c>
      <c r="K2032" s="84" t="n">
        <v>492500</v>
      </c>
      <c r="L2032" s="85" t="n">
        <f aca="false">K2032/J2032</f>
        <v>9694.88188976378</v>
      </c>
      <c r="M2032" s="86"/>
      <c r="N2032" s="87"/>
      <c r="O2032" s="88" t="n">
        <f aca="false">K2032+N2032</f>
        <v>492500</v>
      </c>
      <c r="P2032" s="88" t="n">
        <f aca="false">O2032/J2032</f>
        <v>9694.88188976378</v>
      </c>
      <c r="Q2032" s="83" t="s">
        <v>3046</v>
      </c>
      <c r="R2032" s="65" t="s">
        <v>26</v>
      </c>
      <c r="S2032" s="19" t="s">
        <v>29</v>
      </c>
      <c r="T2032" s="19" t="s">
        <v>30</v>
      </c>
      <c r="U2032" s="19" t="s">
        <v>31</v>
      </c>
      <c r="V2032" s="22" t="s">
        <v>2184</v>
      </c>
      <c r="W2032" s="18"/>
      <c r="X2032" s="18"/>
    </row>
    <row r="2033" customFormat="false" ht="13.8" hidden="false" customHeight="false" outlineLevel="0" collapsed="false">
      <c r="A2033" s="18"/>
      <c r="B2033" s="65" t="n">
        <v>1856</v>
      </c>
      <c r="C2033" s="81" t="n">
        <v>43712</v>
      </c>
      <c r="D2033" s="115" t="s">
        <v>22</v>
      </c>
      <c r="E2033" s="65" t="s">
        <v>299</v>
      </c>
      <c r="F2033" s="91" t="s">
        <v>94</v>
      </c>
      <c r="G2033" s="65" t="n">
        <v>82</v>
      </c>
      <c r="H2033" s="65" t="n">
        <v>17</v>
      </c>
      <c r="I2033" s="65" t="n">
        <v>4</v>
      </c>
      <c r="J2033" s="83" t="n">
        <v>31.07</v>
      </c>
      <c r="K2033" s="88" t="n">
        <v>730000</v>
      </c>
      <c r="L2033" s="85" t="n">
        <f aca="false">K2033/J2033</f>
        <v>23495.3331187641</v>
      </c>
      <c r="M2033" s="92" t="s">
        <v>3047</v>
      </c>
      <c r="N2033" s="93"/>
      <c r="O2033" s="88" t="n">
        <v>730000</v>
      </c>
      <c r="P2033" s="88" t="n">
        <f aca="false">O2033/J2033</f>
        <v>23495.3331187641</v>
      </c>
      <c r="Q2033" s="94" t="s">
        <v>3048</v>
      </c>
      <c r="R2033" s="65" t="s">
        <v>27</v>
      </c>
      <c r="S2033" s="65" t="s">
        <v>29</v>
      </c>
      <c r="T2033" s="65" t="s">
        <v>30</v>
      </c>
      <c r="U2033" s="112" t="s">
        <v>31</v>
      </c>
      <c r="V2033" s="89" t="n">
        <v>43790</v>
      </c>
      <c r="W2033" s="18" t="s">
        <v>3049</v>
      </c>
      <c r="X2033" s="18"/>
      <c r="Y2033" s="116"/>
    </row>
    <row r="2034" customFormat="false" ht="13.8" hidden="false" customHeight="false" outlineLevel="0" collapsed="false">
      <c r="A2034" s="18"/>
      <c r="B2034" s="62" t="n">
        <v>2580</v>
      </c>
      <c r="C2034" s="81" t="n">
        <v>43712</v>
      </c>
      <c r="D2034" s="115" t="s">
        <v>22</v>
      </c>
      <c r="E2034" s="65" t="s">
        <v>175</v>
      </c>
      <c r="F2034" s="82" t="s">
        <v>485</v>
      </c>
      <c r="G2034" s="65" t="n">
        <v>37</v>
      </c>
      <c r="H2034" s="112" t="n">
        <v>14</v>
      </c>
      <c r="I2034" s="112" t="n">
        <v>3</v>
      </c>
      <c r="J2034" s="83" t="n">
        <v>33.12</v>
      </c>
      <c r="K2034" s="84" t="n">
        <v>330000</v>
      </c>
      <c r="L2034" s="85" t="n">
        <f aca="false">K2034/J2034</f>
        <v>9963.76811594203</v>
      </c>
      <c r="M2034" s="114"/>
      <c r="N2034" s="93"/>
      <c r="O2034" s="88" t="n">
        <v>330000</v>
      </c>
      <c r="P2034" s="88" t="n">
        <f aca="false">O2034/J2034</f>
        <v>9963.76811594203</v>
      </c>
      <c r="Q2034" s="83" t="s">
        <v>1320</v>
      </c>
      <c r="R2034" s="65" t="s">
        <v>27</v>
      </c>
      <c r="S2034" s="118" t="s">
        <v>29</v>
      </c>
      <c r="T2034" s="83" t="s">
        <v>30</v>
      </c>
      <c r="U2034" s="24" t="s">
        <v>31</v>
      </c>
      <c r="V2034" s="119" t="n">
        <v>43790</v>
      </c>
      <c r="W2034" s="18" t="s">
        <v>3050</v>
      </c>
      <c r="X2034" s="18"/>
    </row>
    <row r="2035" customFormat="false" ht="13.8" hidden="false" customHeight="false" outlineLevel="0" collapsed="false">
      <c r="A2035" s="18"/>
      <c r="B2035" s="65" t="n">
        <v>15171</v>
      </c>
      <c r="C2035" s="81" t="n">
        <v>43712</v>
      </c>
      <c r="D2035" s="115" t="s">
        <v>22</v>
      </c>
      <c r="E2035" s="65" t="s">
        <v>623</v>
      </c>
      <c r="F2035" s="91" t="s">
        <v>3051</v>
      </c>
      <c r="G2035" s="65" t="n">
        <v>7</v>
      </c>
      <c r="H2035" s="65" t="n">
        <v>57</v>
      </c>
      <c r="I2035" s="65" t="n">
        <v>3</v>
      </c>
      <c r="J2035" s="83" t="n">
        <v>46.66</v>
      </c>
      <c r="K2035" s="84" t="n">
        <v>615000</v>
      </c>
      <c r="L2035" s="85" t="n">
        <f aca="false">K2035/J2035</f>
        <v>13180.4543506215</v>
      </c>
      <c r="M2035" s="117" t="s">
        <v>3052</v>
      </c>
      <c r="N2035" s="87"/>
      <c r="O2035" s="88" t="n">
        <v>615000</v>
      </c>
      <c r="P2035" s="88" t="n">
        <f aca="false">O2035/J2035</f>
        <v>13180.4543506215</v>
      </c>
      <c r="Q2035" s="65" t="s">
        <v>1576</v>
      </c>
      <c r="R2035" s="65" t="s">
        <v>36</v>
      </c>
      <c r="S2035" s="65" t="s">
        <v>29</v>
      </c>
      <c r="T2035" s="65" t="s">
        <v>30</v>
      </c>
      <c r="U2035" s="24" t="s">
        <v>31</v>
      </c>
      <c r="V2035" s="89" t="n">
        <v>43790</v>
      </c>
      <c r="W2035" s="18" t="s">
        <v>3053</v>
      </c>
      <c r="X2035" s="18"/>
    </row>
    <row r="2036" customFormat="false" ht="13.8" hidden="false" customHeight="false" outlineLevel="0" collapsed="false">
      <c r="A2036" s="18"/>
      <c r="B2036" s="62" t="n">
        <v>8268</v>
      </c>
      <c r="C2036" s="81" t="n">
        <v>43712</v>
      </c>
      <c r="D2036" s="115" t="s">
        <v>22</v>
      </c>
      <c r="E2036" s="65" t="s">
        <v>934</v>
      </c>
      <c r="F2036" s="82" t="s">
        <v>46</v>
      </c>
      <c r="G2036" s="65" t="s">
        <v>1747</v>
      </c>
      <c r="H2036" s="112" t="n">
        <v>11</v>
      </c>
      <c r="I2036" s="112" t="n">
        <v>4</v>
      </c>
      <c r="J2036" s="83" t="n">
        <v>84.67</v>
      </c>
      <c r="K2036" s="84" t="n">
        <v>699000</v>
      </c>
      <c r="L2036" s="85" t="n">
        <f aca="false">K2036/J2036</f>
        <v>8255.58048895713</v>
      </c>
      <c r="M2036" s="114"/>
      <c r="N2036" s="93"/>
      <c r="O2036" s="88" t="n">
        <v>699000</v>
      </c>
      <c r="P2036" s="88" t="n">
        <f aca="false">O2036/J2036</f>
        <v>8255.58048895713</v>
      </c>
      <c r="Q2036" s="83" t="s">
        <v>3054</v>
      </c>
      <c r="R2036" s="65" t="s">
        <v>36</v>
      </c>
      <c r="S2036" s="118" t="s">
        <v>29</v>
      </c>
      <c r="T2036" s="83" t="s">
        <v>30</v>
      </c>
      <c r="U2036" s="24" t="s">
        <v>31</v>
      </c>
      <c r="V2036" s="119" t="n">
        <v>43790</v>
      </c>
      <c r="W2036" s="18" t="s">
        <v>3055</v>
      </c>
      <c r="X2036" s="18"/>
    </row>
    <row r="2037" customFormat="false" ht="13.8" hidden="false" customHeight="false" outlineLevel="0" collapsed="false">
      <c r="A2037" s="18"/>
      <c r="B2037" s="122" t="n">
        <v>15132</v>
      </c>
      <c r="C2037" s="81" t="n">
        <v>43712</v>
      </c>
      <c r="D2037" s="115" t="s">
        <v>22</v>
      </c>
      <c r="E2037" s="65" t="s">
        <v>125</v>
      </c>
      <c r="F2037" s="82" t="s">
        <v>73</v>
      </c>
      <c r="G2037" s="65" t="s">
        <v>3056</v>
      </c>
      <c r="H2037" s="65" t="n">
        <v>29</v>
      </c>
      <c r="I2037" s="65" t="n">
        <v>3</v>
      </c>
      <c r="J2037" s="83" t="n">
        <v>49.73</v>
      </c>
      <c r="K2037" s="84" t="n">
        <v>520000</v>
      </c>
      <c r="L2037" s="85" t="n">
        <f aca="false">K2037/J2037</f>
        <v>10456.4649105168</v>
      </c>
      <c r="M2037" s="90" t="s">
        <v>1448</v>
      </c>
      <c r="N2037" s="87"/>
      <c r="O2037" s="88" t="n">
        <v>520000</v>
      </c>
      <c r="P2037" s="88" t="n">
        <f aca="false">O2037/J2037</f>
        <v>10456.4649105168</v>
      </c>
      <c r="Q2037" s="83" t="s">
        <v>2303</v>
      </c>
      <c r="R2037" s="65" t="s">
        <v>36</v>
      </c>
      <c r="S2037" s="65" t="s">
        <v>29</v>
      </c>
      <c r="T2037" s="65" t="s">
        <v>30</v>
      </c>
      <c r="U2037" s="24" t="s">
        <v>31</v>
      </c>
      <c r="V2037" s="119" t="n">
        <v>43790</v>
      </c>
      <c r="W2037" s="18" t="s">
        <v>3057</v>
      </c>
      <c r="X2037" s="18"/>
    </row>
    <row r="2038" customFormat="false" ht="13.8" hidden="false" customHeight="false" outlineLevel="0" collapsed="false">
      <c r="A2038" s="18"/>
      <c r="B2038" s="62" t="n">
        <v>1646</v>
      </c>
      <c r="C2038" s="81" t="n">
        <v>43712</v>
      </c>
      <c r="D2038" s="64" t="s">
        <v>22</v>
      </c>
      <c r="E2038" s="65" t="s">
        <v>203</v>
      </c>
      <c r="F2038" s="18" t="s">
        <v>138</v>
      </c>
      <c r="G2038" s="62" t="n">
        <v>8</v>
      </c>
      <c r="H2038" s="62" t="n">
        <v>709</v>
      </c>
      <c r="I2038" s="62" t="n">
        <v>8</v>
      </c>
      <c r="J2038" s="62" t="n">
        <v>43.33</v>
      </c>
      <c r="K2038" s="66" t="n">
        <v>488000</v>
      </c>
      <c r="L2038" s="66" t="n">
        <f aca="false">K2038/J2038</f>
        <v>11262.4048003693</v>
      </c>
      <c r="M2038" s="18" t="s">
        <v>3058</v>
      </c>
      <c r="N2038" s="54" t="n">
        <v>20000</v>
      </c>
      <c r="O2038" s="66" t="n">
        <f aca="false">K2038+N2038</f>
        <v>508000</v>
      </c>
      <c r="P2038" s="88" t="n">
        <f aca="false">O2038/J2038</f>
        <v>11723.9787675975</v>
      </c>
      <c r="Q2038" s="62" t="s">
        <v>1431</v>
      </c>
      <c r="R2038" s="65" t="s">
        <v>36</v>
      </c>
      <c r="S2038" s="62" t="s">
        <v>29</v>
      </c>
      <c r="T2038" s="62" t="s">
        <v>30</v>
      </c>
      <c r="U2038" s="123" t="s">
        <v>31</v>
      </c>
      <c r="V2038" s="81" t="n">
        <v>43801</v>
      </c>
      <c r="W2038" s="18" t="s">
        <v>3059</v>
      </c>
      <c r="X2038" s="18"/>
    </row>
    <row r="2039" customFormat="false" ht="13.8" hidden="false" customHeight="false" outlineLevel="0" collapsed="false">
      <c r="A2039" s="18"/>
      <c r="B2039" s="65" t="s">
        <v>3060</v>
      </c>
      <c r="C2039" s="81" t="n">
        <v>43713</v>
      </c>
      <c r="D2039" s="38" t="s">
        <v>22</v>
      </c>
      <c r="E2039" s="22" t="s">
        <v>389</v>
      </c>
      <c r="F2039" s="82" t="s">
        <v>582</v>
      </c>
      <c r="G2039" s="65" t="s">
        <v>222</v>
      </c>
      <c r="H2039" s="65" t="s">
        <v>684</v>
      </c>
      <c r="I2039" s="65" t="s">
        <v>36</v>
      </c>
      <c r="J2039" s="83" t="n">
        <f aca="false">65.28-8.15</f>
        <v>57.13</v>
      </c>
      <c r="K2039" s="84" t="n">
        <v>690000</v>
      </c>
      <c r="L2039" s="85" t="n">
        <f aca="false">K2039/J2039</f>
        <v>12077.7174864344</v>
      </c>
      <c r="M2039" s="90" t="s">
        <v>189</v>
      </c>
      <c r="N2039" s="87"/>
      <c r="O2039" s="88" t="n">
        <f aca="false">K2039+N2039</f>
        <v>690000</v>
      </c>
      <c r="P2039" s="88" t="n">
        <f aca="false">O2039/J2039</f>
        <v>12077.7174864344</v>
      </c>
      <c r="Q2039" s="83" t="s">
        <v>3061</v>
      </c>
      <c r="R2039" s="65" t="s">
        <v>49</v>
      </c>
      <c r="S2039" s="19" t="s">
        <v>29</v>
      </c>
      <c r="T2039" s="19" t="s">
        <v>30</v>
      </c>
      <c r="U2039" s="19" t="s">
        <v>31</v>
      </c>
      <c r="V2039" s="22" t="s">
        <v>2184</v>
      </c>
      <c r="W2039" s="18"/>
      <c r="X2039" s="18"/>
    </row>
    <row r="2040" customFormat="false" ht="13.8" hidden="false" customHeight="false" outlineLevel="0" collapsed="false">
      <c r="A2040" s="18"/>
      <c r="B2040" s="62" t="n">
        <v>2331</v>
      </c>
      <c r="C2040" s="81" t="n">
        <v>43713</v>
      </c>
      <c r="D2040" s="115" t="s">
        <v>22</v>
      </c>
      <c r="E2040" s="65" t="s">
        <v>378</v>
      </c>
      <c r="F2040" s="82" t="s">
        <v>379</v>
      </c>
      <c r="G2040" s="65" t="n">
        <v>3</v>
      </c>
      <c r="H2040" s="112" t="n">
        <v>27</v>
      </c>
      <c r="I2040" s="112" t="n">
        <v>5</v>
      </c>
      <c r="J2040" s="83" t="n">
        <v>54.63</v>
      </c>
      <c r="K2040" s="84" t="n">
        <v>790000</v>
      </c>
      <c r="L2040" s="85" t="n">
        <f aca="false">K2040/J2040</f>
        <v>14460.9189090243</v>
      </c>
      <c r="M2040" s="114"/>
      <c r="N2040" s="93"/>
      <c r="O2040" s="88" t="n">
        <v>790000</v>
      </c>
      <c r="P2040" s="88" t="n">
        <f aca="false">O2040/J2040</f>
        <v>14460.9189090243</v>
      </c>
      <c r="Q2040" s="83" t="s">
        <v>3062</v>
      </c>
      <c r="R2040" s="65" t="s">
        <v>36</v>
      </c>
      <c r="S2040" s="118" t="s">
        <v>29</v>
      </c>
      <c r="T2040" s="83" t="s">
        <v>30</v>
      </c>
      <c r="U2040" s="24" t="s">
        <v>31</v>
      </c>
      <c r="V2040" s="119" t="n">
        <v>43790</v>
      </c>
      <c r="W2040" s="18" t="s">
        <v>3063</v>
      </c>
      <c r="X2040" s="18"/>
    </row>
    <row r="2041" customFormat="false" ht="13.8" hidden="false" customHeight="false" outlineLevel="0" collapsed="false">
      <c r="A2041" s="18"/>
      <c r="B2041" s="65" t="n">
        <v>2844</v>
      </c>
      <c r="C2041" s="81" t="n">
        <v>43713</v>
      </c>
      <c r="D2041" s="115" t="s">
        <v>22</v>
      </c>
      <c r="E2041" s="65" t="s">
        <v>350</v>
      </c>
      <c r="F2041" s="91" t="s">
        <v>3064</v>
      </c>
      <c r="G2041" s="65" t="s">
        <v>274</v>
      </c>
      <c r="H2041" s="65" t="n">
        <v>192</v>
      </c>
      <c r="I2041" s="65" t="n">
        <v>7</v>
      </c>
      <c r="J2041" s="83" t="n">
        <v>51.76</v>
      </c>
      <c r="K2041" s="84" t="n">
        <v>375200</v>
      </c>
      <c r="L2041" s="85" t="n">
        <f aca="false">K2041/J2041</f>
        <v>7248.84080370943</v>
      </c>
      <c r="M2041" s="117" t="s">
        <v>3065</v>
      </c>
      <c r="N2041" s="87" t="n">
        <v>10200</v>
      </c>
      <c r="O2041" s="88" t="n">
        <v>385400</v>
      </c>
      <c r="P2041" s="88" t="n">
        <f aca="false">O2041/J2041</f>
        <v>7445.90417310665</v>
      </c>
      <c r="Q2041" s="65" t="s">
        <v>3066</v>
      </c>
      <c r="R2041" s="65" t="s">
        <v>36</v>
      </c>
      <c r="S2041" s="65" t="s">
        <v>29</v>
      </c>
      <c r="T2041" s="65" t="s">
        <v>30</v>
      </c>
      <c r="U2041" s="24" t="s">
        <v>31</v>
      </c>
      <c r="V2041" s="89" t="n">
        <v>43790</v>
      </c>
      <c r="W2041" s="18" t="s">
        <v>3067</v>
      </c>
      <c r="X2041" s="18"/>
    </row>
    <row r="2042" customFormat="false" ht="13.8" hidden="false" customHeight="false" outlineLevel="0" collapsed="false">
      <c r="A2042" s="18"/>
      <c r="B2042" s="65" t="n">
        <v>5573</v>
      </c>
      <c r="C2042" s="81" t="n">
        <v>43713</v>
      </c>
      <c r="D2042" s="115" t="s">
        <v>22</v>
      </c>
      <c r="E2042" s="65" t="s">
        <v>61</v>
      </c>
      <c r="F2042" s="91" t="s">
        <v>46</v>
      </c>
      <c r="G2042" s="65" t="n">
        <v>230</v>
      </c>
      <c r="H2042" s="65" t="n">
        <v>46</v>
      </c>
      <c r="I2042" s="65" t="n">
        <v>2</v>
      </c>
      <c r="J2042" s="83" t="n">
        <v>31</v>
      </c>
      <c r="K2042" s="88" t="n">
        <v>305000</v>
      </c>
      <c r="L2042" s="85" t="n">
        <f aca="false">K2042/J2042</f>
        <v>9838.70967741935</v>
      </c>
      <c r="M2042" s="92"/>
      <c r="N2042" s="93"/>
      <c r="O2042" s="88" t="n">
        <v>305000</v>
      </c>
      <c r="P2042" s="88" t="n">
        <f aca="false">O2042/J2042</f>
        <v>9838.70967741935</v>
      </c>
      <c r="Q2042" s="94" t="s">
        <v>3021</v>
      </c>
      <c r="R2042" s="65" t="s">
        <v>27</v>
      </c>
      <c r="S2042" s="65" t="s">
        <v>29</v>
      </c>
      <c r="T2042" s="65" t="s">
        <v>30</v>
      </c>
      <c r="U2042" s="112" t="s">
        <v>31</v>
      </c>
      <c r="V2042" s="89" t="n">
        <v>43790</v>
      </c>
      <c r="W2042" s="18" t="s">
        <v>3068</v>
      </c>
      <c r="X2042" s="18"/>
      <c r="Y2042" s="116"/>
    </row>
    <row r="2043" customFormat="false" ht="13.8" hidden="false" customHeight="false" outlineLevel="0" collapsed="false">
      <c r="A2043" s="18"/>
      <c r="B2043" s="65" t="s">
        <v>3069</v>
      </c>
      <c r="C2043" s="81" t="n">
        <v>43714</v>
      </c>
      <c r="D2043" s="38" t="s">
        <v>22</v>
      </c>
      <c r="E2043" s="22" t="s">
        <v>53</v>
      </c>
      <c r="F2043" s="82" t="s">
        <v>614</v>
      </c>
      <c r="G2043" s="65" t="s">
        <v>27</v>
      </c>
      <c r="H2043" s="65" t="s">
        <v>3070</v>
      </c>
      <c r="I2043" s="65" t="s">
        <v>112</v>
      </c>
      <c r="J2043" s="83" t="n">
        <v>47.9</v>
      </c>
      <c r="K2043" s="84" t="n">
        <v>321000</v>
      </c>
      <c r="L2043" s="85" t="n">
        <f aca="false">K2043/J2043</f>
        <v>6701.46137787056</v>
      </c>
      <c r="M2043" s="90"/>
      <c r="N2043" s="87"/>
      <c r="O2043" s="88" t="n">
        <f aca="false">K2043+N2043</f>
        <v>321000</v>
      </c>
      <c r="P2043" s="88" t="n">
        <f aca="false">O2043/J2043</f>
        <v>6701.46137787056</v>
      </c>
      <c r="Q2043" s="94" t="s">
        <v>2762</v>
      </c>
      <c r="R2043" s="65" t="s">
        <v>26</v>
      </c>
      <c r="S2043" s="19" t="s">
        <v>29</v>
      </c>
      <c r="T2043" s="19" t="s">
        <v>30</v>
      </c>
      <c r="U2043" s="19" t="s">
        <v>31</v>
      </c>
      <c r="V2043" s="22" t="s">
        <v>2184</v>
      </c>
      <c r="W2043" s="18"/>
      <c r="X2043" s="18"/>
    </row>
    <row r="2044" customFormat="false" ht="13.8" hidden="false" customHeight="false" outlineLevel="0" collapsed="false">
      <c r="A2044" s="18"/>
      <c r="B2044" s="62" t="n">
        <v>4920</v>
      </c>
      <c r="C2044" s="81" t="n">
        <v>43714</v>
      </c>
      <c r="D2044" s="38" t="s">
        <v>22</v>
      </c>
      <c r="E2044" s="22" t="s">
        <v>23</v>
      </c>
      <c r="F2044" s="82" t="s">
        <v>387</v>
      </c>
      <c r="G2044" s="65" t="s">
        <v>3071</v>
      </c>
      <c r="H2044" s="112" t="s">
        <v>200</v>
      </c>
      <c r="I2044" s="112" t="s">
        <v>49</v>
      </c>
      <c r="J2044" s="83" t="n">
        <v>49.7</v>
      </c>
      <c r="K2044" s="84" t="n">
        <v>520800</v>
      </c>
      <c r="L2044" s="85" t="n">
        <f aca="false">K2044/J2044</f>
        <v>10478.8732394366</v>
      </c>
      <c r="M2044" s="114"/>
      <c r="N2044" s="93"/>
      <c r="O2044" s="88" t="n">
        <f aca="false">K2044+N2044</f>
        <v>520800</v>
      </c>
      <c r="P2044" s="88" t="n">
        <f aca="false">O2044/J2044</f>
        <v>10478.8732394366</v>
      </c>
      <c r="Q2044" s="83" t="s">
        <v>925</v>
      </c>
      <c r="R2044" s="65" t="s">
        <v>26</v>
      </c>
      <c r="S2044" s="19" t="s">
        <v>29</v>
      </c>
      <c r="T2044" s="19" t="s">
        <v>30</v>
      </c>
      <c r="U2044" s="19" t="s">
        <v>31</v>
      </c>
      <c r="V2044" s="22" t="s">
        <v>2184</v>
      </c>
      <c r="W2044" s="18"/>
      <c r="X2044" s="18"/>
    </row>
    <row r="2045" customFormat="false" ht="13.8" hidden="false" customHeight="false" outlineLevel="0" collapsed="false">
      <c r="A2045" s="18"/>
      <c r="B2045" s="65" t="n">
        <v>4610</v>
      </c>
      <c r="C2045" s="81" t="n">
        <v>43714</v>
      </c>
      <c r="D2045" s="115" t="s">
        <v>22</v>
      </c>
      <c r="E2045" s="65" t="s">
        <v>178</v>
      </c>
      <c r="F2045" s="82" t="s">
        <v>219</v>
      </c>
      <c r="G2045" s="65" t="n">
        <v>1</v>
      </c>
      <c r="H2045" s="65" t="n">
        <v>2</v>
      </c>
      <c r="I2045" s="65" t="n">
        <v>1</v>
      </c>
      <c r="J2045" s="83" t="n">
        <v>52.1</v>
      </c>
      <c r="K2045" s="84" t="n">
        <v>672000</v>
      </c>
      <c r="L2045" s="85" t="n">
        <f aca="false">K2045/J2045</f>
        <v>12898.2725527831</v>
      </c>
      <c r="M2045" s="90"/>
      <c r="N2045" s="87"/>
      <c r="O2045" s="88" t="n">
        <v>672000</v>
      </c>
      <c r="P2045" s="88" t="n">
        <f aca="false">O2045/J2045</f>
        <v>12898.2725527831</v>
      </c>
      <c r="Q2045" s="83" t="s">
        <v>1486</v>
      </c>
      <c r="R2045" s="65" t="s">
        <v>36</v>
      </c>
      <c r="S2045" s="65" t="s">
        <v>29</v>
      </c>
      <c r="T2045" s="65" t="s">
        <v>30</v>
      </c>
      <c r="U2045" s="24" t="s">
        <v>31</v>
      </c>
      <c r="V2045" s="119" t="n">
        <v>43790</v>
      </c>
      <c r="W2045" s="18" t="s">
        <v>2650</v>
      </c>
      <c r="X2045" s="18"/>
    </row>
    <row r="2046" customFormat="false" ht="13.8" hidden="false" customHeight="false" outlineLevel="0" collapsed="false">
      <c r="A2046" s="18"/>
      <c r="B2046" s="65" t="n">
        <v>2118</v>
      </c>
      <c r="C2046" s="81" t="n">
        <v>43714</v>
      </c>
      <c r="D2046" s="115" t="s">
        <v>22</v>
      </c>
      <c r="E2046" s="65" t="s">
        <v>399</v>
      </c>
      <c r="F2046" s="82" t="s">
        <v>3072</v>
      </c>
      <c r="G2046" s="65" t="n">
        <v>1</v>
      </c>
      <c r="H2046" s="65" t="n">
        <v>19</v>
      </c>
      <c r="I2046" s="65" t="n">
        <v>5</v>
      </c>
      <c r="J2046" s="83" t="n">
        <v>154.32</v>
      </c>
      <c r="K2046" s="84" t="n">
        <v>2050000</v>
      </c>
      <c r="L2046" s="85" t="n">
        <f aca="false">K2046/J2046</f>
        <v>13284.0850181441</v>
      </c>
      <c r="M2046" s="90" t="s">
        <v>3073</v>
      </c>
      <c r="N2046" s="87" t="n">
        <v>50000</v>
      </c>
      <c r="O2046" s="88" t="n">
        <v>2100000</v>
      </c>
      <c r="P2046" s="88" t="n">
        <f aca="false">O2046/J2046</f>
        <v>13608.0870917574</v>
      </c>
      <c r="Q2046" s="83" t="s">
        <v>3074</v>
      </c>
      <c r="R2046" s="65" t="s">
        <v>26</v>
      </c>
      <c r="S2046" s="65" t="s">
        <v>29</v>
      </c>
      <c r="T2046" s="65" t="s">
        <v>30</v>
      </c>
      <c r="U2046" s="24" t="s">
        <v>31</v>
      </c>
      <c r="V2046" s="89" t="n">
        <v>43790</v>
      </c>
      <c r="W2046" s="18" t="s">
        <v>3075</v>
      </c>
      <c r="X2046" s="18"/>
    </row>
    <row r="2047" customFormat="false" ht="13.8" hidden="false" customHeight="false" outlineLevel="0" collapsed="false">
      <c r="A2047" s="18"/>
      <c r="B2047" s="65" t="n">
        <v>9309</v>
      </c>
      <c r="C2047" s="81" t="n">
        <v>43714</v>
      </c>
      <c r="D2047" s="115" t="s">
        <v>22</v>
      </c>
      <c r="E2047" s="65" t="s">
        <v>350</v>
      </c>
      <c r="F2047" s="91" t="s">
        <v>323</v>
      </c>
      <c r="G2047" s="65" t="s">
        <v>860</v>
      </c>
      <c r="H2047" s="65" t="n">
        <v>38</v>
      </c>
      <c r="I2047" s="65" t="n">
        <v>4</v>
      </c>
      <c r="J2047" s="83" t="n">
        <v>51.16</v>
      </c>
      <c r="K2047" s="88" t="n">
        <v>565851.4</v>
      </c>
      <c r="L2047" s="85" t="n">
        <f aca="false">K2047/J2047</f>
        <v>11060.4261141517</v>
      </c>
      <c r="M2047" s="92" t="s">
        <v>987</v>
      </c>
      <c r="N2047" s="93" t="n">
        <v>30000</v>
      </c>
      <c r="O2047" s="88" t="n">
        <v>600000</v>
      </c>
      <c r="P2047" s="88" t="n">
        <f aca="false">O2047/J2047</f>
        <v>11727.9124315872</v>
      </c>
      <c r="Q2047" s="94" t="s">
        <v>3076</v>
      </c>
      <c r="R2047" s="65" t="s">
        <v>36</v>
      </c>
      <c r="S2047" s="65" t="s">
        <v>29</v>
      </c>
      <c r="T2047" s="65" t="s">
        <v>30</v>
      </c>
      <c r="U2047" s="24" t="s">
        <v>31</v>
      </c>
      <c r="V2047" s="89" t="n">
        <v>43790</v>
      </c>
      <c r="W2047" s="18" t="s">
        <v>3077</v>
      </c>
      <c r="X2047" s="18"/>
      <c r="Y2047" s="116"/>
    </row>
    <row r="2048" customFormat="false" ht="13.8" hidden="false" customHeight="false" outlineLevel="0" collapsed="false">
      <c r="A2048" s="18"/>
      <c r="B2048" s="65" t="n">
        <v>2323</v>
      </c>
      <c r="C2048" s="81" t="n">
        <v>43714</v>
      </c>
      <c r="D2048" s="115" t="s">
        <v>22</v>
      </c>
      <c r="E2048" s="65" t="s">
        <v>407</v>
      </c>
      <c r="F2048" s="91" t="s">
        <v>978</v>
      </c>
      <c r="G2048" s="65" t="n">
        <v>7</v>
      </c>
      <c r="H2048" s="65" t="n">
        <v>5</v>
      </c>
      <c r="I2048" s="65" t="n">
        <v>2</v>
      </c>
      <c r="J2048" s="83" t="n">
        <v>118.77</v>
      </c>
      <c r="K2048" s="84" t="n">
        <v>1158500</v>
      </c>
      <c r="L2048" s="85" t="n">
        <f aca="false">K2048/J2048</f>
        <v>9754.14667003452</v>
      </c>
      <c r="M2048" s="92" t="s">
        <v>3078</v>
      </c>
      <c r="N2048" s="93" t="n">
        <v>35000</v>
      </c>
      <c r="O2048" s="88" t="n">
        <v>1193500</v>
      </c>
      <c r="P2048" s="88" t="n">
        <f aca="false">O2048/J2048</f>
        <v>10048.8338806096</v>
      </c>
      <c r="Q2048" s="83" t="s">
        <v>3079</v>
      </c>
      <c r="R2048" s="65" t="s">
        <v>49</v>
      </c>
      <c r="S2048" s="65" t="s">
        <v>29</v>
      </c>
      <c r="T2048" s="65" t="s">
        <v>30</v>
      </c>
      <c r="U2048" s="24" t="s">
        <v>31</v>
      </c>
      <c r="V2048" s="89" t="n">
        <v>43790</v>
      </c>
      <c r="W2048" s="18" t="s">
        <v>3080</v>
      </c>
      <c r="X2048" s="18"/>
    </row>
    <row r="2049" customFormat="false" ht="13.8" hidden="false" customHeight="false" outlineLevel="0" collapsed="false">
      <c r="A2049" s="18"/>
      <c r="B2049" s="62" t="n">
        <v>1961</v>
      </c>
      <c r="C2049" s="81" t="n">
        <v>43715</v>
      </c>
      <c r="D2049" s="115" t="s">
        <v>22</v>
      </c>
      <c r="E2049" s="65" t="s">
        <v>962</v>
      </c>
      <c r="F2049" s="82" t="s">
        <v>963</v>
      </c>
      <c r="G2049" s="65" t="n">
        <v>1</v>
      </c>
      <c r="H2049" s="112" t="n">
        <v>67</v>
      </c>
      <c r="I2049" s="112" t="n">
        <v>6</v>
      </c>
      <c r="J2049" s="83" t="n">
        <v>39.54</v>
      </c>
      <c r="K2049" s="84" t="n">
        <v>510000</v>
      </c>
      <c r="L2049" s="85" t="n">
        <f aca="false">K2049/J2049</f>
        <v>12898.3308042489</v>
      </c>
      <c r="M2049" s="114"/>
      <c r="N2049" s="93"/>
      <c r="O2049" s="88" t="n">
        <v>510000</v>
      </c>
      <c r="P2049" s="88" t="n">
        <f aca="false">O2049/J2049</f>
        <v>12898.3308042489</v>
      </c>
      <c r="Q2049" s="83" t="s">
        <v>3081</v>
      </c>
      <c r="R2049" s="65" t="s">
        <v>36</v>
      </c>
      <c r="S2049" s="118" t="s">
        <v>29</v>
      </c>
      <c r="T2049" s="83" t="s">
        <v>30</v>
      </c>
      <c r="U2049" s="24" t="s">
        <v>31</v>
      </c>
      <c r="V2049" s="119" t="n">
        <v>43790</v>
      </c>
      <c r="W2049" s="18" t="s">
        <v>3082</v>
      </c>
      <c r="X2049" s="18"/>
    </row>
    <row r="2050" customFormat="false" ht="13.8" hidden="false" customHeight="false" outlineLevel="0" collapsed="false">
      <c r="A2050" s="18"/>
      <c r="B2050" s="62" t="n">
        <v>5670</v>
      </c>
      <c r="C2050" s="81" t="n">
        <v>43717</v>
      </c>
      <c r="D2050" s="115" t="s">
        <v>22</v>
      </c>
      <c r="E2050" s="65" t="s">
        <v>37</v>
      </c>
      <c r="F2050" s="82" t="s">
        <v>386</v>
      </c>
      <c r="G2050" s="65" t="n">
        <v>6</v>
      </c>
      <c r="H2050" s="112" t="n">
        <v>96</v>
      </c>
      <c r="I2050" s="112" t="n">
        <v>3</v>
      </c>
      <c r="J2050" s="83" t="n">
        <v>44.1</v>
      </c>
      <c r="K2050" s="84" t="n">
        <v>405000</v>
      </c>
      <c r="L2050" s="85" t="n">
        <f aca="false">K2050/J2050</f>
        <v>9183.67346938776</v>
      </c>
      <c r="M2050" s="114"/>
      <c r="N2050" s="93"/>
      <c r="O2050" s="88" t="n">
        <v>405000</v>
      </c>
      <c r="P2050" s="88" t="n">
        <f aca="false">O2050/J2050</f>
        <v>9183.67346938776</v>
      </c>
      <c r="Q2050" s="83" t="s">
        <v>1486</v>
      </c>
      <c r="R2050" s="65" t="s">
        <v>36</v>
      </c>
      <c r="S2050" s="118" t="s">
        <v>29</v>
      </c>
      <c r="T2050" s="83" t="s">
        <v>30</v>
      </c>
      <c r="U2050" s="24" t="s">
        <v>31</v>
      </c>
      <c r="V2050" s="119" t="n">
        <v>43790</v>
      </c>
      <c r="W2050" s="18" t="s">
        <v>3083</v>
      </c>
      <c r="X2050" s="18"/>
    </row>
    <row r="2051" customFormat="false" ht="13.8" hidden="false" customHeight="false" outlineLevel="0" collapsed="false">
      <c r="A2051" s="18"/>
      <c r="B2051" s="62" t="n">
        <v>4692</v>
      </c>
      <c r="C2051" s="81" t="n">
        <v>43717</v>
      </c>
      <c r="D2051" s="115" t="s">
        <v>22</v>
      </c>
      <c r="E2051" s="65" t="s">
        <v>171</v>
      </c>
      <c r="F2051" s="82" t="s">
        <v>315</v>
      </c>
      <c r="G2051" s="65" t="n">
        <v>34</v>
      </c>
      <c r="H2051" s="112" t="n">
        <v>123</v>
      </c>
      <c r="I2051" s="112" t="n">
        <v>9</v>
      </c>
      <c r="J2051" s="83" t="n">
        <v>56.4</v>
      </c>
      <c r="K2051" s="84" t="n">
        <v>335000</v>
      </c>
      <c r="L2051" s="85" t="n">
        <f aca="false">K2051/J2051</f>
        <v>5939.71631205674</v>
      </c>
      <c r="M2051" s="114"/>
      <c r="N2051" s="93"/>
      <c r="O2051" s="88" t="n">
        <v>335000</v>
      </c>
      <c r="P2051" s="88" t="n">
        <f aca="false">O2051/J2051</f>
        <v>5939.71631205674</v>
      </c>
      <c r="Q2051" s="83" t="s">
        <v>1340</v>
      </c>
      <c r="R2051" s="65" t="s">
        <v>26</v>
      </c>
      <c r="S2051" s="118" t="s">
        <v>29</v>
      </c>
      <c r="T2051" s="83" t="s">
        <v>30</v>
      </c>
      <c r="U2051" s="24" t="s">
        <v>31</v>
      </c>
      <c r="V2051" s="119" t="n">
        <v>43790</v>
      </c>
      <c r="W2051" s="18" t="s">
        <v>3084</v>
      </c>
      <c r="X2051" s="18"/>
    </row>
    <row r="2052" customFormat="false" ht="13.8" hidden="false" customHeight="false" outlineLevel="0" collapsed="false">
      <c r="A2052" s="18"/>
      <c r="B2052" s="65" t="n">
        <v>3056</v>
      </c>
      <c r="C2052" s="81" t="n">
        <v>43717</v>
      </c>
      <c r="D2052" s="115" t="s">
        <v>22</v>
      </c>
      <c r="E2052" s="65" t="s">
        <v>3085</v>
      </c>
      <c r="F2052" s="91" t="s">
        <v>3086</v>
      </c>
      <c r="G2052" s="65" t="s">
        <v>1567</v>
      </c>
      <c r="H2052" s="65" t="n">
        <v>43</v>
      </c>
      <c r="I2052" s="65" t="n">
        <v>6</v>
      </c>
      <c r="J2052" s="83" t="n">
        <v>42.23</v>
      </c>
      <c r="K2052" s="88" t="n">
        <v>550000</v>
      </c>
      <c r="L2052" s="85" t="n">
        <f aca="false">K2052/J2052</f>
        <v>13023.9166469335</v>
      </c>
      <c r="M2052" s="92"/>
      <c r="N2052" s="93"/>
      <c r="O2052" s="88" t="n">
        <v>550000</v>
      </c>
      <c r="P2052" s="88" t="n">
        <f aca="false">O2052/J2052</f>
        <v>13023.9166469335</v>
      </c>
      <c r="Q2052" s="94" t="s">
        <v>3087</v>
      </c>
      <c r="R2052" s="65" t="s">
        <v>36</v>
      </c>
      <c r="S2052" s="65" t="s">
        <v>29</v>
      </c>
      <c r="T2052" s="65" t="s">
        <v>30</v>
      </c>
      <c r="U2052" s="24" t="s">
        <v>31</v>
      </c>
      <c r="V2052" s="89" t="n">
        <v>43790</v>
      </c>
      <c r="W2052" s="91" t="s">
        <v>3088</v>
      </c>
      <c r="X2052" s="18"/>
    </row>
    <row r="2053" customFormat="false" ht="13.8" hidden="false" customHeight="false" outlineLevel="0" collapsed="false">
      <c r="A2053" s="18"/>
      <c r="B2053" s="65" t="n">
        <v>7627</v>
      </c>
      <c r="C2053" s="81" t="n">
        <v>43717</v>
      </c>
      <c r="D2053" s="115" t="s">
        <v>22</v>
      </c>
      <c r="E2053" s="65" t="s">
        <v>109</v>
      </c>
      <c r="F2053" s="91" t="s">
        <v>3018</v>
      </c>
      <c r="G2053" s="65" t="n">
        <v>15</v>
      </c>
      <c r="H2053" s="65" t="n">
        <v>12</v>
      </c>
      <c r="I2053" s="65" t="n">
        <v>4</v>
      </c>
      <c r="J2053" s="83" t="n">
        <v>37.1</v>
      </c>
      <c r="K2053" s="84" t="n">
        <v>699999</v>
      </c>
      <c r="L2053" s="85" t="n">
        <f aca="false">K2053/J2053</f>
        <v>18867.897574124</v>
      </c>
      <c r="M2053" s="117"/>
      <c r="N2053" s="87"/>
      <c r="O2053" s="88" t="n">
        <v>699999</v>
      </c>
      <c r="P2053" s="88" t="n">
        <f aca="false">O2053/J2053</f>
        <v>18867.897574124</v>
      </c>
      <c r="Q2053" s="65" t="s">
        <v>3089</v>
      </c>
      <c r="R2053" s="65" t="s">
        <v>27</v>
      </c>
      <c r="S2053" s="65" t="s">
        <v>29</v>
      </c>
      <c r="T2053" s="65" t="s">
        <v>30</v>
      </c>
      <c r="U2053" s="24" t="s">
        <v>31</v>
      </c>
      <c r="V2053" s="89" t="n">
        <v>43790</v>
      </c>
      <c r="W2053" s="18" t="s">
        <v>3090</v>
      </c>
      <c r="X2053" s="18"/>
    </row>
    <row r="2054" customFormat="false" ht="13.8" hidden="false" customHeight="false" outlineLevel="0" collapsed="false">
      <c r="A2054" s="18"/>
      <c r="B2054" s="65" t="n">
        <v>4699</v>
      </c>
      <c r="C2054" s="81" t="n">
        <v>43717</v>
      </c>
      <c r="D2054" s="115" t="s">
        <v>22</v>
      </c>
      <c r="E2054" s="65" t="s">
        <v>690</v>
      </c>
      <c r="F2054" s="82" t="s">
        <v>691</v>
      </c>
      <c r="G2054" s="65" t="n">
        <v>3</v>
      </c>
      <c r="H2054" s="65" t="n">
        <v>7</v>
      </c>
      <c r="I2054" s="65" t="n">
        <v>4</v>
      </c>
      <c r="J2054" s="83" t="n">
        <v>163.23</v>
      </c>
      <c r="K2054" s="84" t="n">
        <v>1385500</v>
      </c>
      <c r="L2054" s="85" t="n">
        <f aca="false">K2054/J2054</f>
        <v>8488.02303498132</v>
      </c>
      <c r="M2054" s="86" t="s">
        <v>987</v>
      </c>
      <c r="N2054" s="87"/>
      <c r="O2054" s="88" t="n">
        <v>1385500</v>
      </c>
      <c r="P2054" s="88" t="n">
        <f aca="false">O2054/J2054</f>
        <v>8488.02303498132</v>
      </c>
      <c r="Q2054" s="83" t="s">
        <v>3091</v>
      </c>
      <c r="R2054" s="65" t="s">
        <v>49</v>
      </c>
      <c r="S2054" s="65" t="s">
        <v>29</v>
      </c>
      <c r="T2054" s="65" t="s">
        <v>30</v>
      </c>
      <c r="U2054" s="24" t="s">
        <v>31</v>
      </c>
      <c r="V2054" s="89" t="n">
        <v>43790</v>
      </c>
      <c r="W2054" s="18" t="s">
        <v>3092</v>
      </c>
      <c r="X2054" s="18"/>
    </row>
    <row r="2055" customFormat="false" ht="13.8" hidden="false" customHeight="false" outlineLevel="0" collapsed="false">
      <c r="A2055" s="18"/>
      <c r="B2055" s="65" t="n">
        <v>4444</v>
      </c>
      <c r="C2055" s="81" t="n">
        <v>43717</v>
      </c>
      <c r="D2055" s="115" t="s">
        <v>22</v>
      </c>
      <c r="E2055" s="65" t="s">
        <v>103</v>
      </c>
      <c r="F2055" s="82" t="s">
        <v>3093</v>
      </c>
      <c r="G2055" s="65" t="n">
        <v>11</v>
      </c>
      <c r="H2055" s="65" t="n">
        <v>10</v>
      </c>
      <c r="I2055" s="65" t="n">
        <v>2</v>
      </c>
      <c r="J2055" s="83" t="n">
        <v>121</v>
      </c>
      <c r="K2055" s="84" t="n">
        <v>890000</v>
      </c>
      <c r="L2055" s="85" t="n">
        <f aca="false">K2055/J2055</f>
        <v>7355.37190082645</v>
      </c>
      <c r="M2055" s="90" t="s">
        <v>3094</v>
      </c>
      <c r="N2055" s="87"/>
      <c r="O2055" s="88" t="n">
        <v>890000</v>
      </c>
      <c r="P2055" s="88" t="n">
        <f aca="false">O2055/J2055</f>
        <v>7355.37190082645</v>
      </c>
      <c r="Q2055" s="83" t="s">
        <v>3095</v>
      </c>
      <c r="R2055" s="65" t="s">
        <v>49</v>
      </c>
      <c r="S2055" s="65" t="s">
        <v>29</v>
      </c>
      <c r="T2055" s="65" t="s">
        <v>30</v>
      </c>
      <c r="U2055" s="24" t="s">
        <v>31</v>
      </c>
      <c r="V2055" s="119" t="n">
        <v>43790</v>
      </c>
      <c r="W2055" s="18" t="s">
        <v>3096</v>
      </c>
      <c r="X2055" s="18"/>
    </row>
    <row r="2056" customFormat="false" ht="13.8" hidden="false" customHeight="false" outlineLevel="0" collapsed="false">
      <c r="A2056" s="18"/>
      <c r="B2056" s="62" t="n">
        <v>6511</v>
      </c>
      <c r="C2056" s="81" t="n">
        <v>43717</v>
      </c>
      <c r="D2056" s="115" t="s">
        <v>22</v>
      </c>
      <c r="E2056" s="65" t="s">
        <v>278</v>
      </c>
      <c r="F2056" s="82" t="s">
        <v>288</v>
      </c>
      <c r="G2056" s="65" t="n">
        <v>21</v>
      </c>
      <c r="H2056" s="112" t="n">
        <v>5</v>
      </c>
      <c r="I2056" s="112" t="n">
        <v>2</v>
      </c>
      <c r="J2056" s="83" t="n">
        <v>79.27</v>
      </c>
      <c r="K2056" s="84" t="n">
        <v>700000</v>
      </c>
      <c r="L2056" s="85" t="n">
        <f aca="false">K2056/J2056</f>
        <v>8830.57903368235</v>
      </c>
      <c r="M2056" s="114"/>
      <c r="N2056" s="93"/>
      <c r="O2056" s="88" t="n">
        <v>700000</v>
      </c>
      <c r="P2056" s="88" t="n">
        <f aca="false">O2056/J2056</f>
        <v>8830.57903368235</v>
      </c>
      <c r="Q2056" s="83" t="s">
        <v>3097</v>
      </c>
      <c r="R2056" s="65" t="s">
        <v>36</v>
      </c>
      <c r="S2056" s="118" t="s">
        <v>29</v>
      </c>
      <c r="T2056" s="83" t="s">
        <v>30</v>
      </c>
      <c r="U2056" s="24" t="s">
        <v>31</v>
      </c>
      <c r="V2056" s="119" t="n">
        <v>43790</v>
      </c>
      <c r="W2056" s="18" t="s">
        <v>3098</v>
      </c>
      <c r="X2056" s="18"/>
    </row>
    <row r="2057" customFormat="false" ht="13.8" hidden="false" customHeight="false" outlineLevel="0" collapsed="false">
      <c r="A2057" s="18"/>
      <c r="B2057" s="65" t="n">
        <v>9046</v>
      </c>
      <c r="C2057" s="81" t="n">
        <v>43717</v>
      </c>
      <c r="D2057" s="115" t="s">
        <v>22</v>
      </c>
      <c r="E2057" s="65" t="s">
        <v>3099</v>
      </c>
      <c r="F2057" s="82" t="s">
        <v>3100</v>
      </c>
      <c r="G2057" s="65" t="s">
        <v>3101</v>
      </c>
      <c r="H2057" s="65" t="n">
        <v>2</v>
      </c>
      <c r="I2057" s="65" t="n">
        <v>2</v>
      </c>
      <c r="J2057" s="83" t="n">
        <v>125.49</v>
      </c>
      <c r="K2057" s="84" t="n">
        <v>997000</v>
      </c>
      <c r="L2057" s="85" t="n">
        <f aca="false">K2057/J2057</f>
        <v>7944.85616383776</v>
      </c>
      <c r="M2057" s="86"/>
      <c r="N2057" s="87"/>
      <c r="O2057" s="88" t="n">
        <v>997000</v>
      </c>
      <c r="P2057" s="88" t="n">
        <f aca="false">O2057/J2057</f>
        <v>7944.85616383776</v>
      </c>
      <c r="Q2057" s="83" t="s">
        <v>3102</v>
      </c>
      <c r="R2057" s="65" t="s">
        <v>49</v>
      </c>
      <c r="S2057" s="65" t="s">
        <v>29</v>
      </c>
      <c r="T2057" s="65" t="s">
        <v>30</v>
      </c>
      <c r="U2057" s="24" t="s">
        <v>31</v>
      </c>
      <c r="V2057" s="89" t="n">
        <v>43790</v>
      </c>
      <c r="W2057" s="18" t="s">
        <v>3103</v>
      </c>
      <c r="X2057" s="18"/>
    </row>
    <row r="2058" customFormat="false" ht="13.8" hidden="false" customHeight="false" outlineLevel="0" collapsed="false">
      <c r="A2058" s="18"/>
      <c r="B2058" s="65" t="n">
        <v>5879</v>
      </c>
      <c r="C2058" s="81" t="n">
        <v>43718</v>
      </c>
      <c r="D2058" s="115" t="s">
        <v>22</v>
      </c>
      <c r="E2058" s="65" t="s">
        <v>93</v>
      </c>
      <c r="F2058" s="91" t="s">
        <v>402</v>
      </c>
      <c r="G2058" s="65" t="n">
        <v>23</v>
      </c>
      <c r="H2058" s="65" t="n">
        <v>57</v>
      </c>
      <c r="I2058" s="65" t="n">
        <v>8</v>
      </c>
      <c r="J2058" s="83" t="n">
        <v>31.5</v>
      </c>
      <c r="K2058" s="88" t="n">
        <v>308000</v>
      </c>
      <c r="L2058" s="85" t="n">
        <f aca="false">K2058/J2058</f>
        <v>9777.77777777778</v>
      </c>
      <c r="M2058" s="92"/>
      <c r="N2058" s="93"/>
      <c r="O2058" s="88" t="n">
        <v>308000</v>
      </c>
      <c r="P2058" s="88" t="n">
        <f aca="false">O2058/J2058</f>
        <v>9777.77777777778</v>
      </c>
      <c r="Q2058" s="94" t="s">
        <v>1320</v>
      </c>
      <c r="R2058" s="65" t="s">
        <v>27</v>
      </c>
      <c r="S2058" s="65" t="s">
        <v>29</v>
      </c>
      <c r="T2058" s="65" t="s">
        <v>30</v>
      </c>
      <c r="U2058" s="24" t="s">
        <v>31</v>
      </c>
      <c r="V2058" s="89" t="n">
        <v>43790</v>
      </c>
      <c r="W2058" s="91" t="s">
        <v>3104</v>
      </c>
      <c r="X2058" s="18"/>
    </row>
    <row r="2059" customFormat="false" ht="13.8" hidden="false" customHeight="false" outlineLevel="0" collapsed="false">
      <c r="A2059" s="18"/>
      <c r="B2059" s="65" t="n">
        <v>3898</v>
      </c>
      <c r="C2059" s="81" t="n">
        <v>43718</v>
      </c>
      <c r="D2059" s="115" t="s">
        <v>22</v>
      </c>
      <c r="E2059" s="65" t="s">
        <v>190</v>
      </c>
      <c r="F2059" s="91" t="s">
        <v>191</v>
      </c>
      <c r="G2059" s="65" t="n">
        <v>14</v>
      </c>
      <c r="H2059" s="65" t="n">
        <v>6</v>
      </c>
      <c r="I2059" s="65" t="n">
        <v>2</v>
      </c>
      <c r="J2059" s="83" t="n">
        <v>34.4</v>
      </c>
      <c r="K2059" s="88" t="n">
        <v>300000</v>
      </c>
      <c r="L2059" s="85" t="n">
        <f aca="false">K2059/J2059</f>
        <v>8720.93023255814</v>
      </c>
      <c r="M2059" s="92" t="s">
        <v>189</v>
      </c>
      <c r="N2059" s="93"/>
      <c r="O2059" s="85" t="n">
        <v>300000</v>
      </c>
      <c r="P2059" s="88" t="n">
        <f aca="false">O2059/J2059</f>
        <v>8720.93023255814</v>
      </c>
      <c r="Q2059" s="94" t="s">
        <v>1320</v>
      </c>
      <c r="R2059" s="65" t="s">
        <v>27</v>
      </c>
      <c r="S2059" s="65" t="s">
        <v>29</v>
      </c>
      <c r="T2059" s="65" t="s">
        <v>30</v>
      </c>
      <c r="U2059" s="112" t="s">
        <v>31</v>
      </c>
      <c r="V2059" s="89" t="n">
        <v>43790</v>
      </c>
      <c r="W2059" s="18" t="s">
        <v>3105</v>
      </c>
      <c r="X2059" s="18"/>
      <c r="Y2059" s="116"/>
    </row>
    <row r="2060" customFormat="false" ht="13.8" hidden="false" customHeight="false" outlineLevel="0" collapsed="false">
      <c r="A2060" s="18"/>
      <c r="B2060" s="65" t="n">
        <v>2752</v>
      </c>
      <c r="C2060" s="81" t="n">
        <v>43718</v>
      </c>
      <c r="D2060" s="115" t="s">
        <v>22</v>
      </c>
      <c r="E2060" s="65" t="s">
        <v>677</v>
      </c>
      <c r="F2060" s="82" t="s">
        <v>344</v>
      </c>
      <c r="G2060" s="65" t="n">
        <v>20</v>
      </c>
      <c r="H2060" s="65" t="n">
        <v>128</v>
      </c>
      <c r="I2060" s="65" t="n">
        <v>7</v>
      </c>
      <c r="J2060" s="83" t="n">
        <v>46.5</v>
      </c>
      <c r="K2060" s="84" t="n">
        <v>455000</v>
      </c>
      <c r="L2060" s="85" t="n">
        <f aca="false">K2060/J2060</f>
        <v>9784.94623655914</v>
      </c>
      <c r="M2060" s="90"/>
      <c r="N2060" s="87"/>
      <c r="O2060" s="88" t="n">
        <v>455000</v>
      </c>
      <c r="P2060" s="88" t="n">
        <f aca="false">O2060/J2060</f>
        <v>9784.94623655914</v>
      </c>
      <c r="Q2060" s="83" t="s">
        <v>1486</v>
      </c>
      <c r="R2060" s="65" t="s">
        <v>36</v>
      </c>
      <c r="S2060" s="65" t="s">
        <v>29</v>
      </c>
      <c r="T2060" s="65" t="s">
        <v>30</v>
      </c>
      <c r="U2060" s="24" t="s">
        <v>31</v>
      </c>
      <c r="V2060" s="119" t="n">
        <v>43790</v>
      </c>
      <c r="W2060" s="18" t="s">
        <v>3106</v>
      </c>
      <c r="X2060" s="18"/>
    </row>
    <row r="2061" customFormat="false" ht="13.8" hidden="false" customHeight="false" outlineLevel="0" collapsed="false">
      <c r="A2061" s="18"/>
      <c r="B2061" s="65" t="n">
        <v>3370</v>
      </c>
      <c r="C2061" s="81" t="n">
        <v>43718</v>
      </c>
      <c r="D2061" s="115" t="s">
        <v>22</v>
      </c>
      <c r="E2061" s="65" t="s">
        <v>109</v>
      </c>
      <c r="F2061" s="91" t="s">
        <v>110</v>
      </c>
      <c r="G2061" s="65" t="n">
        <v>12</v>
      </c>
      <c r="H2061" s="65" t="n">
        <v>16</v>
      </c>
      <c r="I2061" s="65" t="n">
        <v>1</v>
      </c>
      <c r="J2061" s="83" t="n">
        <v>48.07</v>
      </c>
      <c r="K2061" s="88" t="n">
        <v>450000</v>
      </c>
      <c r="L2061" s="85" t="n">
        <f aca="false">K2061/J2061</f>
        <v>9361.34803411691</v>
      </c>
      <c r="M2061" s="92"/>
      <c r="N2061" s="93"/>
      <c r="O2061" s="88" t="n">
        <v>450000</v>
      </c>
      <c r="P2061" s="88" t="n">
        <f aca="false">O2061/J2061</f>
        <v>9361.34803411691</v>
      </c>
      <c r="Q2061" s="94" t="s">
        <v>1486</v>
      </c>
      <c r="R2061" s="65" t="s">
        <v>36</v>
      </c>
      <c r="S2061" s="65" t="s">
        <v>29</v>
      </c>
      <c r="T2061" s="65" t="s">
        <v>30</v>
      </c>
      <c r="U2061" s="24" t="s">
        <v>31</v>
      </c>
      <c r="V2061" s="89" t="n">
        <v>43790</v>
      </c>
      <c r="W2061" s="18" t="s">
        <v>3107</v>
      </c>
      <c r="X2061" s="18"/>
      <c r="Y2061" s="116"/>
    </row>
    <row r="2062" customFormat="false" ht="13.8" hidden="false" customHeight="false" outlineLevel="0" collapsed="false">
      <c r="A2062" s="18"/>
      <c r="B2062" s="65" t="n">
        <v>4605</v>
      </c>
      <c r="C2062" s="81" t="n">
        <v>43718</v>
      </c>
      <c r="D2062" s="115" t="s">
        <v>22</v>
      </c>
      <c r="E2062" s="65" t="s">
        <v>53</v>
      </c>
      <c r="F2062" s="82" t="s">
        <v>46</v>
      </c>
      <c r="G2062" s="65" t="n">
        <v>257</v>
      </c>
      <c r="H2062" s="65" t="n">
        <v>167</v>
      </c>
      <c r="I2062" s="65" t="n">
        <v>3</v>
      </c>
      <c r="J2062" s="83" t="n">
        <v>70.35</v>
      </c>
      <c r="K2062" s="84" t="n">
        <v>875000</v>
      </c>
      <c r="L2062" s="85" t="n">
        <f aca="false">K2062/J2062</f>
        <v>12437.8109452736</v>
      </c>
      <c r="M2062" s="90"/>
      <c r="N2062" s="87"/>
      <c r="O2062" s="88" t="n">
        <v>875000</v>
      </c>
      <c r="P2062" s="88" t="n">
        <f aca="false">O2062/J2062</f>
        <v>12437.8109452736</v>
      </c>
      <c r="Q2062" s="83" t="s">
        <v>1471</v>
      </c>
      <c r="R2062" s="65" t="s">
        <v>26</v>
      </c>
      <c r="S2062" s="65" t="s">
        <v>29</v>
      </c>
      <c r="T2062" s="65" t="s">
        <v>30</v>
      </c>
      <c r="U2062" s="24" t="s">
        <v>31</v>
      </c>
      <c r="V2062" s="119" t="n">
        <v>43790</v>
      </c>
      <c r="W2062" s="18" t="s">
        <v>3108</v>
      </c>
      <c r="X2062" s="18"/>
    </row>
    <row r="2063" customFormat="false" ht="13.8" hidden="false" customHeight="false" outlineLevel="0" collapsed="false">
      <c r="A2063" s="18"/>
      <c r="B2063" s="65" t="n">
        <v>1675</v>
      </c>
      <c r="C2063" s="81" t="n">
        <v>43718</v>
      </c>
      <c r="D2063" s="115" t="s">
        <v>22</v>
      </c>
      <c r="E2063" s="65" t="s">
        <v>934</v>
      </c>
      <c r="F2063" s="82" t="s">
        <v>3109</v>
      </c>
      <c r="G2063" s="65" t="n">
        <v>5</v>
      </c>
      <c r="H2063" s="65" t="n">
        <v>13</v>
      </c>
      <c r="I2063" s="65" t="n">
        <v>6</v>
      </c>
      <c r="J2063" s="83" t="n">
        <v>157.13</v>
      </c>
      <c r="K2063" s="84" t="n">
        <v>1550000</v>
      </c>
      <c r="L2063" s="85" t="n">
        <f aca="false">K2063/J2063</f>
        <v>9864.44345446446</v>
      </c>
      <c r="M2063" s="90" t="s">
        <v>3110</v>
      </c>
      <c r="N2063" s="87"/>
      <c r="O2063" s="88" t="n">
        <v>1550000</v>
      </c>
      <c r="P2063" s="88" t="n">
        <f aca="false">O2063/J2063</f>
        <v>9864.44345446446</v>
      </c>
      <c r="Q2063" s="83" t="s">
        <v>3111</v>
      </c>
      <c r="R2063" s="65" t="s">
        <v>49</v>
      </c>
      <c r="S2063" s="65" t="s">
        <v>29</v>
      </c>
      <c r="T2063" s="65" t="s">
        <v>30</v>
      </c>
      <c r="U2063" s="24" t="s">
        <v>31</v>
      </c>
      <c r="V2063" s="119" t="n">
        <v>43790</v>
      </c>
      <c r="W2063" s="18" t="s">
        <v>3112</v>
      </c>
      <c r="X2063" s="18"/>
    </row>
    <row r="2064" customFormat="false" ht="13.8" hidden="false" customHeight="false" outlineLevel="0" collapsed="false">
      <c r="A2064" s="18"/>
      <c r="B2064" s="62" t="n">
        <v>10419</v>
      </c>
      <c r="C2064" s="81" t="n">
        <v>43719</v>
      </c>
      <c r="D2064" s="64" t="s">
        <v>22</v>
      </c>
      <c r="E2064" s="65" t="s">
        <v>623</v>
      </c>
      <c r="F2064" s="18" t="s">
        <v>272</v>
      </c>
      <c r="G2064" s="62" t="s">
        <v>3113</v>
      </c>
      <c r="H2064" s="62" t="n">
        <v>305</v>
      </c>
      <c r="I2064" s="62" t="n">
        <v>13</v>
      </c>
      <c r="J2064" s="62" t="n">
        <v>65.42</v>
      </c>
      <c r="K2064" s="66" t="n">
        <v>910000</v>
      </c>
      <c r="L2064" s="85" t="n">
        <f aca="false">K2064/J2064</f>
        <v>13910.1192295934</v>
      </c>
      <c r="M2064" s="18" t="s">
        <v>3114</v>
      </c>
      <c r="N2064" s="54"/>
      <c r="O2064" s="66" t="n">
        <v>910000</v>
      </c>
      <c r="P2064" s="88" t="n">
        <f aca="false">O2064/J2064</f>
        <v>13910.1192295934</v>
      </c>
      <c r="Q2064" s="62" t="s">
        <v>3115</v>
      </c>
      <c r="R2064" s="65" t="s">
        <v>26</v>
      </c>
      <c r="S2064" s="62" t="s">
        <v>29</v>
      </c>
      <c r="T2064" s="62" t="s">
        <v>30</v>
      </c>
      <c r="U2064" s="62" t="s">
        <v>31</v>
      </c>
      <c r="V2064" s="62" t="n">
        <v>43790</v>
      </c>
      <c r="W2064" s="18" t="s">
        <v>3116</v>
      </c>
      <c r="X2064" s="18"/>
    </row>
    <row r="2065" customFormat="false" ht="13.8" hidden="false" customHeight="false" outlineLevel="0" collapsed="false">
      <c r="A2065" s="18"/>
      <c r="B2065" s="65" t="n">
        <v>2512</v>
      </c>
      <c r="C2065" s="81" t="n">
        <v>43719</v>
      </c>
      <c r="D2065" s="115" t="s">
        <v>22</v>
      </c>
      <c r="E2065" s="65" t="s">
        <v>354</v>
      </c>
      <c r="F2065" s="91" t="s">
        <v>456</v>
      </c>
      <c r="G2065" s="65" t="n">
        <v>4</v>
      </c>
      <c r="H2065" s="65" t="n">
        <v>76</v>
      </c>
      <c r="I2065" s="65"/>
      <c r="J2065" s="83" t="n">
        <v>45.9</v>
      </c>
      <c r="K2065" s="88" t="n">
        <v>533000</v>
      </c>
      <c r="L2065" s="85" t="n">
        <f aca="false">K2065/J2065</f>
        <v>11612.2004357299</v>
      </c>
      <c r="M2065" s="92"/>
      <c r="N2065" s="93"/>
      <c r="O2065" s="88" t="n">
        <v>533000</v>
      </c>
      <c r="P2065" s="88" t="n">
        <f aca="false">O2065/J2065</f>
        <v>11612.2004357299</v>
      </c>
      <c r="Q2065" s="94" t="s">
        <v>1486</v>
      </c>
      <c r="R2065" s="65" t="s">
        <v>36</v>
      </c>
      <c r="S2065" s="65" t="s">
        <v>29</v>
      </c>
      <c r="T2065" s="65" t="s">
        <v>30</v>
      </c>
      <c r="U2065" s="24" t="s">
        <v>31</v>
      </c>
      <c r="V2065" s="89" t="n">
        <v>43790</v>
      </c>
      <c r="W2065" s="91" t="s">
        <v>3117</v>
      </c>
      <c r="X2065" s="18"/>
    </row>
    <row r="2066" customFormat="false" ht="13.8" hidden="false" customHeight="false" outlineLevel="0" collapsed="false">
      <c r="A2066" s="18"/>
      <c r="B2066" s="65" t="n">
        <v>3425</v>
      </c>
      <c r="C2066" s="81" t="n">
        <v>43719</v>
      </c>
      <c r="D2066" s="115" t="s">
        <v>22</v>
      </c>
      <c r="E2066" s="65" t="s">
        <v>65</v>
      </c>
      <c r="F2066" s="82" t="s">
        <v>66</v>
      </c>
      <c r="G2066" s="65" t="n">
        <v>70</v>
      </c>
      <c r="H2066" s="65" t="n">
        <v>22</v>
      </c>
      <c r="I2066" s="65" t="n">
        <v>6</v>
      </c>
      <c r="J2066" s="83" t="n">
        <v>55.5</v>
      </c>
      <c r="K2066" s="84" t="n">
        <v>550000</v>
      </c>
      <c r="L2066" s="85" t="n">
        <f aca="false">K2066/J2066</f>
        <v>9909.90990990991</v>
      </c>
      <c r="M2066" s="90" t="s">
        <v>987</v>
      </c>
      <c r="N2066" s="87" t="n">
        <v>30000</v>
      </c>
      <c r="O2066" s="88" t="n">
        <v>580000</v>
      </c>
      <c r="P2066" s="88" t="n">
        <f aca="false">O2066/J2066</f>
        <v>10450.4504504505</v>
      </c>
      <c r="Q2066" s="83" t="s">
        <v>3118</v>
      </c>
      <c r="R2066" s="65" t="s">
        <v>36</v>
      </c>
      <c r="S2066" s="65" t="s">
        <v>29</v>
      </c>
      <c r="T2066" s="65" t="s">
        <v>30</v>
      </c>
      <c r="U2066" s="24" t="s">
        <v>31</v>
      </c>
      <c r="V2066" s="119" t="n">
        <v>43790</v>
      </c>
      <c r="W2066" s="18" t="s">
        <v>3119</v>
      </c>
      <c r="X2066" s="18"/>
    </row>
    <row r="2067" customFormat="false" ht="13.8" hidden="false" customHeight="false" outlineLevel="0" collapsed="false">
      <c r="A2067" s="18"/>
      <c r="B2067" s="62" t="n">
        <v>5920</v>
      </c>
      <c r="C2067" s="81" t="n">
        <v>43719</v>
      </c>
      <c r="D2067" s="115" t="s">
        <v>22</v>
      </c>
      <c r="E2067" s="65" t="s">
        <v>354</v>
      </c>
      <c r="F2067" s="82" t="s">
        <v>386</v>
      </c>
      <c r="G2067" s="65" t="n">
        <v>15</v>
      </c>
      <c r="H2067" s="112" t="n">
        <v>5</v>
      </c>
      <c r="I2067" s="112" t="n">
        <v>2</v>
      </c>
      <c r="J2067" s="83" t="n">
        <v>35.5</v>
      </c>
      <c r="K2067" s="84" t="n">
        <v>370000</v>
      </c>
      <c r="L2067" s="85" t="n">
        <f aca="false">K2067/J2067</f>
        <v>10422.5352112676</v>
      </c>
      <c r="M2067" s="114"/>
      <c r="N2067" s="93"/>
      <c r="O2067" s="88" t="n">
        <v>370000</v>
      </c>
      <c r="P2067" s="88" t="n">
        <f aca="false">O2067/J2067</f>
        <v>10422.5352112676</v>
      </c>
      <c r="Q2067" s="83" t="s">
        <v>1320</v>
      </c>
      <c r="R2067" s="65" t="s">
        <v>27</v>
      </c>
      <c r="S2067" s="118" t="s">
        <v>29</v>
      </c>
      <c r="T2067" s="83" t="s">
        <v>30</v>
      </c>
      <c r="U2067" s="24" t="s">
        <v>31</v>
      </c>
      <c r="V2067" s="119" t="n">
        <v>43790</v>
      </c>
      <c r="W2067" s="18" t="s">
        <v>3120</v>
      </c>
      <c r="X2067" s="18"/>
    </row>
    <row r="2068" customFormat="false" ht="13.8" hidden="false" customHeight="false" outlineLevel="0" collapsed="false">
      <c r="A2068" s="18"/>
      <c r="B2068" s="65" t="n">
        <v>4485</v>
      </c>
      <c r="C2068" s="81" t="n">
        <v>43719</v>
      </c>
      <c r="D2068" s="115" t="s">
        <v>22</v>
      </c>
      <c r="E2068" s="65" t="s">
        <v>350</v>
      </c>
      <c r="F2068" s="91" t="s">
        <v>351</v>
      </c>
      <c r="G2068" s="65" t="n">
        <v>1</v>
      </c>
      <c r="H2068" s="65" t="n">
        <v>22</v>
      </c>
      <c r="I2068" s="65" t="n">
        <v>5</v>
      </c>
      <c r="J2068" s="83" t="n">
        <v>43.84</v>
      </c>
      <c r="K2068" s="88" t="n">
        <v>470000</v>
      </c>
      <c r="L2068" s="85" t="n">
        <f aca="false">K2068/J2068</f>
        <v>10720.802919708</v>
      </c>
      <c r="M2068" s="92" t="s">
        <v>3121</v>
      </c>
      <c r="N2068" s="93" t="n">
        <v>30000</v>
      </c>
      <c r="O2068" s="88" t="n">
        <v>500000</v>
      </c>
      <c r="P2068" s="88" t="n">
        <f aca="false">O2068/J2068</f>
        <v>11405.1094890511</v>
      </c>
      <c r="Q2068" s="94" t="s">
        <v>3122</v>
      </c>
      <c r="R2068" s="65" t="s">
        <v>27</v>
      </c>
      <c r="S2068" s="65" t="s">
        <v>29</v>
      </c>
      <c r="T2068" s="65" t="s">
        <v>30</v>
      </c>
      <c r="U2068" s="24" t="s">
        <v>31</v>
      </c>
      <c r="V2068" s="89" t="n">
        <v>43790</v>
      </c>
      <c r="W2068" s="18" t="s">
        <v>3123</v>
      </c>
      <c r="X2068" s="18"/>
    </row>
    <row r="2069" customFormat="false" ht="13.8" hidden="false" customHeight="false" outlineLevel="0" collapsed="false">
      <c r="A2069" s="18"/>
      <c r="B2069" s="65" t="n">
        <v>5690</v>
      </c>
      <c r="C2069" s="81" t="n">
        <v>43719</v>
      </c>
      <c r="D2069" s="115" t="s">
        <v>22</v>
      </c>
      <c r="E2069" s="65" t="s">
        <v>175</v>
      </c>
      <c r="F2069" s="82" t="s">
        <v>450</v>
      </c>
      <c r="G2069" s="65" t="n">
        <v>55</v>
      </c>
      <c r="H2069" s="65" t="n">
        <v>6</v>
      </c>
      <c r="I2069" s="65" t="n">
        <v>2</v>
      </c>
      <c r="J2069" s="83" t="n">
        <v>55.44</v>
      </c>
      <c r="K2069" s="84" t="n">
        <v>565000</v>
      </c>
      <c r="L2069" s="85" t="n">
        <f aca="false">K2069/J2069</f>
        <v>10191.1976911977</v>
      </c>
      <c r="M2069" s="90"/>
      <c r="N2069" s="87"/>
      <c r="O2069" s="88" t="n">
        <v>565000</v>
      </c>
      <c r="P2069" s="88" t="n">
        <f aca="false">O2069/J2069</f>
        <v>10191.1976911977</v>
      </c>
      <c r="Q2069" s="83" t="s">
        <v>1486</v>
      </c>
      <c r="R2069" s="65" t="s">
        <v>36</v>
      </c>
      <c r="S2069" s="65" t="s">
        <v>29</v>
      </c>
      <c r="T2069" s="65" t="s">
        <v>30</v>
      </c>
      <c r="U2069" s="24" t="s">
        <v>31</v>
      </c>
      <c r="V2069" s="119" t="n">
        <v>43790</v>
      </c>
      <c r="W2069" s="18" t="s">
        <v>3124</v>
      </c>
      <c r="X2069" s="18"/>
    </row>
    <row r="2070" customFormat="false" ht="13.8" hidden="false" customHeight="false" outlineLevel="0" collapsed="false">
      <c r="A2070" s="18"/>
      <c r="B2070" s="62" t="n">
        <v>4100</v>
      </c>
      <c r="C2070" s="81" t="n">
        <v>43719</v>
      </c>
      <c r="D2070" s="115" t="s">
        <v>22</v>
      </c>
      <c r="E2070" s="65" t="s">
        <v>37</v>
      </c>
      <c r="F2070" s="82" t="s">
        <v>38</v>
      </c>
      <c r="G2070" s="65" t="n">
        <v>131</v>
      </c>
      <c r="H2070" s="112" t="n">
        <v>37</v>
      </c>
      <c r="I2070" s="112" t="n">
        <v>4</v>
      </c>
      <c r="J2070" s="83" t="n">
        <v>55.1</v>
      </c>
      <c r="K2070" s="84" t="n">
        <v>690000</v>
      </c>
      <c r="L2070" s="85" t="n">
        <f aca="false">K2070/J2070</f>
        <v>12522.6860254083</v>
      </c>
      <c r="M2070" s="114" t="s">
        <v>3125</v>
      </c>
      <c r="N2070" s="93" t="n">
        <v>35000</v>
      </c>
      <c r="O2070" s="88" t="n">
        <v>725000</v>
      </c>
      <c r="P2070" s="88" t="n">
        <f aca="false">O2070/J2070</f>
        <v>13157.8947368421</v>
      </c>
      <c r="Q2070" s="83" t="s">
        <v>3126</v>
      </c>
      <c r="R2070" s="65" t="s">
        <v>26</v>
      </c>
      <c r="S2070" s="118" t="s">
        <v>29</v>
      </c>
      <c r="T2070" s="83" t="s">
        <v>30</v>
      </c>
      <c r="U2070" s="24" t="s">
        <v>31</v>
      </c>
      <c r="V2070" s="119" t="n">
        <v>43790</v>
      </c>
      <c r="W2070" s="18" t="s">
        <v>3127</v>
      </c>
      <c r="X2070" s="18"/>
    </row>
    <row r="2071" customFormat="false" ht="13.8" hidden="false" customHeight="false" outlineLevel="0" collapsed="false">
      <c r="A2071" s="18"/>
      <c r="B2071" s="65" t="n">
        <v>2747</v>
      </c>
      <c r="C2071" s="81" t="n">
        <v>43719</v>
      </c>
      <c r="D2071" s="115" t="s">
        <v>22</v>
      </c>
      <c r="E2071" s="65" t="s">
        <v>399</v>
      </c>
      <c r="F2071" s="82" t="s">
        <v>617</v>
      </c>
      <c r="G2071" s="65" t="n">
        <v>4</v>
      </c>
      <c r="H2071" s="65" t="n">
        <v>16</v>
      </c>
      <c r="I2071" s="65" t="n">
        <v>5</v>
      </c>
      <c r="J2071" s="83" t="n">
        <v>54</v>
      </c>
      <c r="K2071" s="84" t="n">
        <v>590000</v>
      </c>
      <c r="L2071" s="85" t="n">
        <f aca="false">K2071/J2071</f>
        <v>10925.9259259259</v>
      </c>
      <c r="M2071" s="90" t="s">
        <v>3128</v>
      </c>
      <c r="N2071" s="87" t="n">
        <v>40000</v>
      </c>
      <c r="O2071" s="88" t="n">
        <v>630000</v>
      </c>
      <c r="P2071" s="88" t="n">
        <f aca="false">O2071/J2071</f>
        <v>11666.6666666667</v>
      </c>
      <c r="Q2071" s="83" t="s">
        <v>1486</v>
      </c>
      <c r="R2071" s="65" t="s">
        <v>36</v>
      </c>
      <c r="S2071" s="65" t="s">
        <v>29</v>
      </c>
      <c r="T2071" s="65" t="s">
        <v>30</v>
      </c>
      <c r="U2071" s="24" t="s">
        <v>31</v>
      </c>
      <c r="V2071" s="119" t="n">
        <v>43790</v>
      </c>
      <c r="W2071" s="18" t="s">
        <v>3129</v>
      </c>
      <c r="X2071" s="18"/>
    </row>
    <row r="2072" customFormat="false" ht="13.8" hidden="false" customHeight="false" outlineLevel="0" collapsed="false">
      <c r="A2072" s="18"/>
      <c r="B2072" s="65" t="n">
        <v>2534</v>
      </c>
      <c r="C2072" s="81" t="n">
        <v>43719</v>
      </c>
      <c r="D2072" s="115" t="s">
        <v>22</v>
      </c>
      <c r="E2072" s="65" t="s">
        <v>459</v>
      </c>
      <c r="F2072" s="82" t="s">
        <v>416</v>
      </c>
      <c r="G2072" s="65" t="n">
        <v>1</v>
      </c>
      <c r="H2072" s="65" t="n">
        <v>11</v>
      </c>
      <c r="I2072" s="65" t="n">
        <v>4</v>
      </c>
      <c r="J2072" s="83" t="n">
        <v>45.5</v>
      </c>
      <c r="K2072" s="84" t="n">
        <v>436800</v>
      </c>
      <c r="L2072" s="85" t="n">
        <f aca="false">K2072/J2072</f>
        <v>9600</v>
      </c>
      <c r="M2072" s="90"/>
      <c r="N2072" s="87"/>
      <c r="O2072" s="88" t="n">
        <v>436000</v>
      </c>
      <c r="P2072" s="88" t="n">
        <f aca="false">O2072/J2072</f>
        <v>9582.41758241758</v>
      </c>
      <c r="Q2072" s="83" t="s">
        <v>1340</v>
      </c>
      <c r="R2072" s="65" t="s">
        <v>26</v>
      </c>
      <c r="S2072" s="65" t="s">
        <v>29</v>
      </c>
      <c r="T2072" s="65" t="s">
        <v>30</v>
      </c>
      <c r="U2072" s="24" t="s">
        <v>31</v>
      </c>
      <c r="V2072" s="119" t="n">
        <v>43790</v>
      </c>
      <c r="W2072" s="18" t="s">
        <v>3130</v>
      </c>
      <c r="X2072" s="18"/>
    </row>
    <row r="2073" customFormat="false" ht="13.8" hidden="false" customHeight="false" outlineLevel="0" collapsed="false">
      <c r="A2073" s="18"/>
      <c r="B2073" s="65" t="n">
        <v>2049</v>
      </c>
      <c r="C2073" s="81" t="n">
        <v>43720</v>
      </c>
      <c r="D2073" s="115" t="s">
        <v>22</v>
      </c>
      <c r="E2073" s="65" t="s">
        <v>187</v>
      </c>
      <c r="F2073" s="82" t="s">
        <v>127</v>
      </c>
      <c r="G2073" s="65" t="s">
        <v>2238</v>
      </c>
      <c r="H2073" s="65" t="n">
        <v>87</v>
      </c>
      <c r="I2073" s="65" t="n">
        <v>2</v>
      </c>
      <c r="J2073" s="83" t="n">
        <v>43.52</v>
      </c>
      <c r="K2073" s="84" t="n">
        <v>540000</v>
      </c>
      <c r="L2073" s="85" t="n">
        <f aca="false">K2073/J2073</f>
        <v>12408.0882352941</v>
      </c>
      <c r="M2073" s="90"/>
      <c r="N2073" s="87"/>
      <c r="O2073" s="88" t="n">
        <v>540000</v>
      </c>
      <c r="P2073" s="88" t="n">
        <f aca="false">O2073/J2073</f>
        <v>12408.0882352941</v>
      </c>
      <c r="Q2073" s="83" t="s">
        <v>1486</v>
      </c>
      <c r="R2073" s="65" t="s">
        <v>36</v>
      </c>
      <c r="S2073" s="65" t="s">
        <v>29</v>
      </c>
      <c r="T2073" s="65" t="s">
        <v>30</v>
      </c>
      <c r="U2073" s="24" t="s">
        <v>31</v>
      </c>
      <c r="V2073" s="119" t="n">
        <v>43790</v>
      </c>
      <c r="W2073" s="18" t="s">
        <v>3131</v>
      </c>
      <c r="X2073" s="18"/>
    </row>
    <row r="2074" customFormat="false" ht="13.8" hidden="false" customHeight="false" outlineLevel="0" collapsed="false">
      <c r="A2074" s="18"/>
      <c r="B2074" s="65" t="n">
        <v>4680</v>
      </c>
      <c r="C2074" s="81" t="n">
        <v>43720</v>
      </c>
      <c r="D2074" s="115" t="s">
        <v>22</v>
      </c>
      <c r="E2074" s="65" t="s">
        <v>144</v>
      </c>
      <c r="F2074" s="91" t="s">
        <v>46</v>
      </c>
      <c r="G2074" s="65" t="n">
        <v>53</v>
      </c>
      <c r="H2074" s="65" t="n">
        <v>61</v>
      </c>
      <c r="I2074" s="65" t="n">
        <v>4</v>
      </c>
      <c r="J2074" s="83" t="n">
        <v>60.61</v>
      </c>
      <c r="K2074" s="84" t="n">
        <v>480000</v>
      </c>
      <c r="L2074" s="85" t="n">
        <f aca="false">K2074/J2074</f>
        <v>7919.48523345983</v>
      </c>
      <c r="M2074" s="92" t="s">
        <v>3132</v>
      </c>
      <c r="N2074" s="93"/>
      <c r="O2074" s="88" t="n">
        <v>480000</v>
      </c>
      <c r="P2074" s="88" t="n">
        <f aca="false">O2074/J2074</f>
        <v>7919.48523345983</v>
      </c>
      <c r="Q2074" s="65" t="s">
        <v>1471</v>
      </c>
      <c r="R2074" s="65" t="s">
        <v>26</v>
      </c>
      <c r="S2074" s="65" t="s">
        <v>29</v>
      </c>
      <c r="T2074" s="65" t="s">
        <v>30</v>
      </c>
      <c r="U2074" s="24" t="s">
        <v>31</v>
      </c>
      <c r="V2074" s="89" t="n">
        <v>43790</v>
      </c>
      <c r="W2074" s="18" t="s">
        <v>3133</v>
      </c>
      <c r="X2074" s="18"/>
    </row>
    <row r="2075" customFormat="false" ht="13.8" hidden="false" customHeight="false" outlineLevel="0" collapsed="false">
      <c r="A2075" s="18"/>
      <c r="B2075" s="65" t="n">
        <v>9156</v>
      </c>
      <c r="C2075" s="81" t="n">
        <v>43720</v>
      </c>
      <c r="D2075" s="115" t="s">
        <v>22</v>
      </c>
      <c r="E2075" s="65" t="s">
        <v>399</v>
      </c>
      <c r="F2075" s="82" t="s">
        <v>1047</v>
      </c>
      <c r="G2075" s="65" t="n">
        <v>2</v>
      </c>
      <c r="H2075" s="65" t="n">
        <v>6</v>
      </c>
      <c r="I2075" s="65" t="n">
        <v>4</v>
      </c>
      <c r="J2075" s="83" t="n">
        <v>54.84</v>
      </c>
      <c r="K2075" s="84" t="n">
        <v>520000</v>
      </c>
      <c r="L2075" s="85" t="n">
        <f aca="false">K2075/J2075</f>
        <v>9482.12983223924</v>
      </c>
      <c r="M2075" s="90"/>
      <c r="N2075" s="87"/>
      <c r="O2075" s="88" t="n">
        <v>520000</v>
      </c>
      <c r="P2075" s="88" t="n">
        <f aca="false">O2075/J2075</f>
        <v>9482.12983223924</v>
      </c>
      <c r="Q2075" s="83" t="s">
        <v>1486</v>
      </c>
      <c r="R2075" s="65" t="s">
        <v>36</v>
      </c>
      <c r="S2075" s="65" t="s">
        <v>29</v>
      </c>
      <c r="T2075" s="65" t="s">
        <v>30</v>
      </c>
      <c r="U2075" s="24" t="s">
        <v>31</v>
      </c>
      <c r="V2075" s="119" t="n">
        <v>43790</v>
      </c>
      <c r="W2075" s="18" t="s">
        <v>3134</v>
      </c>
      <c r="X2075" s="18"/>
    </row>
    <row r="2076" customFormat="false" ht="13.8" hidden="false" customHeight="false" outlineLevel="0" collapsed="false">
      <c r="A2076" s="18"/>
      <c r="B2076" s="62" t="n">
        <v>7780</v>
      </c>
      <c r="C2076" s="81" t="n">
        <v>43720</v>
      </c>
      <c r="D2076" s="115" t="s">
        <v>22</v>
      </c>
      <c r="E2076" s="65" t="s">
        <v>80</v>
      </c>
      <c r="F2076" s="82" t="s">
        <v>162</v>
      </c>
      <c r="G2076" s="65" t="n">
        <v>5</v>
      </c>
      <c r="H2076" s="112" t="n">
        <v>13</v>
      </c>
      <c r="I2076" s="112" t="n">
        <v>2</v>
      </c>
      <c r="J2076" s="83" t="n">
        <v>80.75</v>
      </c>
      <c r="K2076" s="84" t="n">
        <v>1420000</v>
      </c>
      <c r="L2076" s="85" t="n">
        <f aca="false">K2076/J2076</f>
        <v>17585.1393188855</v>
      </c>
      <c r="M2076" s="114" t="s">
        <v>3135</v>
      </c>
      <c r="N2076" s="93"/>
      <c r="O2076" s="88" t="n">
        <v>1420000</v>
      </c>
      <c r="P2076" s="88" t="n">
        <f aca="false">O2076/J2076</f>
        <v>17585.1393188855</v>
      </c>
      <c r="Q2076" s="83" t="s">
        <v>3136</v>
      </c>
      <c r="R2076" s="65" t="s">
        <v>26</v>
      </c>
      <c r="S2076" s="118" t="s">
        <v>29</v>
      </c>
      <c r="T2076" s="83" t="s">
        <v>30</v>
      </c>
      <c r="U2076" s="24" t="s">
        <v>31</v>
      </c>
      <c r="V2076" s="119" t="n">
        <v>43790</v>
      </c>
      <c r="W2076" s="18" t="s">
        <v>3137</v>
      </c>
      <c r="X2076" s="18"/>
    </row>
    <row r="2077" customFormat="false" ht="13.8" hidden="false" customHeight="false" outlineLevel="0" collapsed="false">
      <c r="A2077" s="18"/>
      <c r="B2077" s="62" t="n">
        <v>5530</v>
      </c>
      <c r="C2077" s="81" t="n">
        <v>43720</v>
      </c>
      <c r="D2077" s="115" t="s">
        <v>22</v>
      </c>
      <c r="E2077" s="65" t="s">
        <v>206</v>
      </c>
      <c r="F2077" s="82" t="s">
        <v>191</v>
      </c>
      <c r="G2077" s="65" t="s">
        <v>417</v>
      </c>
      <c r="H2077" s="112" t="n">
        <v>10</v>
      </c>
      <c r="I2077" s="112" t="n">
        <v>3</v>
      </c>
      <c r="J2077" s="83" t="n">
        <v>27.84</v>
      </c>
      <c r="K2077" s="84" t="n">
        <v>460000</v>
      </c>
      <c r="L2077" s="85" t="n">
        <f aca="false">K2077/J2077</f>
        <v>16522.9885057471</v>
      </c>
      <c r="M2077" s="114"/>
      <c r="N2077" s="93"/>
      <c r="O2077" s="88" t="n">
        <v>460000</v>
      </c>
      <c r="P2077" s="88" t="n">
        <f aca="false">O2077/J2077</f>
        <v>16522.9885057471</v>
      </c>
      <c r="Q2077" s="83" t="s">
        <v>1320</v>
      </c>
      <c r="R2077" s="65" t="s">
        <v>27</v>
      </c>
      <c r="S2077" s="118" t="s">
        <v>29</v>
      </c>
      <c r="T2077" s="83" t="s">
        <v>30</v>
      </c>
      <c r="U2077" s="24" t="s">
        <v>31</v>
      </c>
      <c r="V2077" s="119" t="n">
        <v>43790</v>
      </c>
      <c r="W2077" s="18" t="s">
        <v>2501</v>
      </c>
      <c r="X2077" s="18"/>
    </row>
    <row r="2078" customFormat="false" ht="13.8" hidden="false" customHeight="false" outlineLevel="0" collapsed="false">
      <c r="A2078" s="18"/>
      <c r="B2078" s="65" t="n">
        <v>4846</v>
      </c>
      <c r="C2078" s="81" t="n">
        <v>43720</v>
      </c>
      <c r="D2078" s="115" t="s">
        <v>22</v>
      </c>
      <c r="E2078" s="65" t="s">
        <v>80</v>
      </c>
      <c r="F2078" s="91" t="s">
        <v>81</v>
      </c>
      <c r="G2078" s="65" t="n">
        <v>2</v>
      </c>
      <c r="H2078" s="65" t="n">
        <v>67</v>
      </c>
      <c r="I2078" s="65" t="n">
        <v>2</v>
      </c>
      <c r="J2078" s="83" t="n">
        <v>34.74</v>
      </c>
      <c r="K2078" s="88" t="n">
        <v>495000</v>
      </c>
      <c r="L2078" s="85" t="n">
        <f aca="false">K2078/J2078</f>
        <v>14248.7046632124</v>
      </c>
      <c r="M2078" s="92"/>
      <c r="N2078" s="93"/>
      <c r="O2078" s="88" t="n">
        <v>495000</v>
      </c>
      <c r="P2078" s="88" t="n">
        <f aca="false">O2078/J2078</f>
        <v>14248.7046632124</v>
      </c>
      <c r="Q2078" s="94" t="s">
        <v>3138</v>
      </c>
      <c r="R2078" s="65" t="s">
        <v>27</v>
      </c>
      <c r="S2078" s="65" t="s">
        <v>29</v>
      </c>
      <c r="T2078" s="65" t="s">
        <v>30</v>
      </c>
      <c r="U2078" s="112" t="s">
        <v>31</v>
      </c>
      <c r="V2078" s="119" t="n">
        <v>43790</v>
      </c>
      <c r="W2078" s="18" t="s">
        <v>3139</v>
      </c>
      <c r="X2078" s="18"/>
      <c r="Y2078" s="116"/>
    </row>
    <row r="2079" customFormat="false" ht="13.8" hidden="false" customHeight="false" outlineLevel="0" collapsed="false">
      <c r="A2079" s="18"/>
      <c r="B2079" s="65" t="n">
        <v>5116</v>
      </c>
      <c r="C2079" s="81" t="n">
        <v>43720</v>
      </c>
      <c r="D2079" s="115" t="s">
        <v>22</v>
      </c>
      <c r="E2079" s="65" t="s">
        <v>156</v>
      </c>
      <c r="F2079" s="82" t="s">
        <v>392</v>
      </c>
      <c r="G2079" s="65" t="s">
        <v>1311</v>
      </c>
      <c r="H2079" s="65" t="n">
        <v>27</v>
      </c>
      <c r="I2079" s="65" t="n">
        <v>2</v>
      </c>
      <c r="J2079" s="83" t="n">
        <v>85.68</v>
      </c>
      <c r="K2079" s="84" t="n">
        <v>965000</v>
      </c>
      <c r="L2079" s="85" t="n">
        <f aca="false">K2079/J2079</f>
        <v>11262.8384687208</v>
      </c>
      <c r="M2079" s="90" t="s">
        <v>3140</v>
      </c>
      <c r="N2079" s="87" t="n">
        <v>50000</v>
      </c>
      <c r="O2079" s="88" t="n">
        <v>1015000</v>
      </c>
      <c r="P2079" s="88" t="n">
        <f aca="false">O2079/J2079</f>
        <v>11846.4052287582</v>
      </c>
      <c r="Q2079" s="83" t="s">
        <v>2515</v>
      </c>
      <c r="R2079" s="65" t="s">
        <v>26</v>
      </c>
      <c r="S2079" s="65" t="s">
        <v>29</v>
      </c>
      <c r="T2079" s="65" t="s">
        <v>30</v>
      </c>
      <c r="U2079" s="24" t="s">
        <v>31</v>
      </c>
      <c r="V2079" s="119" t="n">
        <v>43790</v>
      </c>
      <c r="W2079" s="18" t="s">
        <v>3141</v>
      </c>
      <c r="X2079" s="18"/>
    </row>
    <row r="2080" customFormat="false" ht="13.8" hidden="false" customHeight="false" outlineLevel="0" collapsed="false">
      <c r="A2080" s="18"/>
      <c r="B2080" s="62" t="n">
        <v>5075</v>
      </c>
      <c r="C2080" s="81" t="n">
        <v>43720</v>
      </c>
      <c r="D2080" s="115" t="s">
        <v>22</v>
      </c>
      <c r="E2080" s="65" t="s">
        <v>109</v>
      </c>
      <c r="F2080" s="82" t="s">
        <v>176</v>
      </c>
      <c r="G2080" s="65" t="n">
        <v>70</v>
      </c>
      <c r="H2080" s="112" t="n">
        <v>6</v>
      </c>
      <c r="I2080" s="112" t="n">
        <v>2</v>
      </c>
      <c r="J2080" s="83" t="n">
        <v>84.52</v>
      </c>
      <c r="K2080" s="84" t="n">
        <v>965000</v>
      </c>
      <c r="L2080" s="85" t="n">
        <f aca="false">K2080/J2080</f>
        <v>11417.4159962139</v>
      </c>
      <c r="M2080" s="114"/>
      <c r="N2080" s="93"/>
      <c r="O2080" s="88" t="n">
        <v>965000</v>
      </c>
      <c r="P2080" s="88" t="n">
        <f aca="false">O2080/J2080</f>
        <v>11417.4159962139</v>
      </c>
      <c r="Q2080" s="83" t="s">
        <v>1340</v>
      </c>
      <c r="R2080" s="65" t="s">
        <v>26</v>
      </c>
      <c r="S2080" s="118" t="s">
        <v>29</v>
      </c>
      <c r="T2080" s="83" t="s">
        <v>30</v>
      </c>
      <c r="U2080" s="24" t="s">
        <v>31</v>
      </c>
      <c r="V2080" s="119" t="n">
        <v>43790</v>
      </c>
      <c r="W2080" s="18" t="s">
        <v>3142</v>
      </c>
      <c r="X2080" s="18"/>
    </row>
    <row r="2081" customFormat="false" ht="13.8" hidden="false" customHeight="false" outlineLevel="0" collapsed="false">
      <c r="A2081" s="18"/>
      <c r="B2081" s="65" t="s">
        <v>3143</v>
      </c>
      <c r="C2081" s="81" t="n">
        <v>43721</v>
      </c>
      <c r="D2081" s="38" t="s">
        <v>22</v>
      </c>
      <c r="E2081" s="22" t="s">
        <v>118</v>
      </c>
      <c r="F2081" s="82" t="s">
        <v>119</v>
      </c>
      <c r="G2081" s="65" t="s">
        <v>25</v>
      </c>
      <c r="H2081" s="65" t="s">
        <v>27</v>
      </c>
      <c r="I2081" s="65" t="s">
        <v>26</v>
      </c>
      <c r="J2081" s="83" t="n">
        <v>41.6</v>
      </c>
      <c r="K2081" s="84" t="n">
        <v>434500</v>
      </c>
      <c r="L2081" s="85" t="n">
        <f aca="false">K2081/J2081</f>
        <v>10444.7115384615</v>
      </c>
      <c r="M2081" s="111"/>
      <c r="N2081" s="87"/>
      <c r="O2081" s="88" t="n">
        <f aca="false">K2081+N2081</f>
        <v>434500</v>
      </c>
      <c r="P2081" s="88" t="n">
        <f aca="false">O2081/J2081</f>
        <v>10444.7115384615</v>
      </c>
      <c r="Q2081" s="83" t="s">
        <v>2896</v>
      </c>
      <c r="R2081" s="65" t="s">
        <v>27</v>
      </c>
      <c r="S2081" s="19" t="s">
        <v>29</v>
      </c>
      <c r="T2081" s="19" t="s">
        <v>30</v>
      </c>
      <c r="U2081" s="19" t="s">
        <v>31</v>
      </c>
      <c r="V2081" s="22" t="s">
        <v>2184</v>
      </c>
      <c r="W2081" s="18"/>
      <c r="X2081" s="18"/>
    </row>
    <row r="2082" customFormat="false" ht="13.8" hidden="false" customHeight="false" outlineLevel="0" collapsed="false">
      <c r="A2082" s="18"/>
      <c r="B2082" s="62" t="n">
        <v>2143</v>
      </c>
      <c r="C2082" s="81" t="n">
        <v>43721</v>
      </c>
      <c r="D2082" s="115" t="s">
        <v>22</v>
      </c>
      <c r="E2082" s="65" t="s">
        <v>623</v>
      </c>
      <c r="F2082" s="82" t="s">
        <v>3144</v>
      </c>
      <c r="G2082" s="65" t="s">
        <v>752</v>
      </c>
      <c r="H2082" s="112" t="n">
        <v>8</v>
      </c>
      <c r="I2082" s="112" t="n">
        <v>2</v>
      </c>
      <c r="J2082" s="83" t="n">
        <v>65.77</v>
      </c>
      <c r="K2082" s="84" t="n">
        <v>795000</v>
      </c>
      <c r="L2082" s="85" t="n">
        <f aca="false">K2082/J2082</f>
        <v>12087.5779230652</v>
      </c>
      <c r="M2082" s="114"/>
      <c r="N2082" s="93"/>
      <c r="O2082" s="88" t="n">
        <v>795000</v>
      </c>
      <c r="P2082" s="88" t="n">
        <f aca="false">O2082/J2082</f>
        <v>12087.5779230652</v>
      </c>
      <c r="Q2082" s="83" t="s">
        <v>3145</v>
      </c>
      <c r="R2082" s="65" t="s">
        <v>26</v>
      </c>
      <c r="S2082" s="118" t="s">
        <v>29</v>
      </c>
      <c r="T2082" s="83" t="s">
        <v>30</v>
      </c>
      <c r="U2082" s="24" t="s">
        <v>31</v>
      </c>
      <c r="V2082" s="119" t="n">
        <v>43790</v>
      </c>
      <c r="W2082" s="18" t="s">
        <v>3146</v>
      </c>
      <c r="X2082" s="18"/>
    </row>
    <row r="2083" customFormat="false" ht="13.8" hidden="false" customHeight="false" outlineLevel="0" collapsed="false">
      <c r="A2083" s="18"/>
      <c r="B2083" s="65" t="n">
        <v>4427</v>
      </c>
      <c r="C2083" s="81" t="n">
        <v>43721</v>
      </c>
      <c r="D2083" s="115" t="s">
        <v>22</v>
      </c>
      <c r="E2083" s="65" t="s">
        <v>3147</v>
      </c>
      <c r="F2083" s="91" t="s">
        <v>3148</v>
      </c>
      <c r="G2083" s="65" t="n">
        <v>23</v>
      </c>
      <c r="H2083" s="65" t="n">
        <v>1</v>
      </c>
      <c r="I2083" s="65" t="n">
        <v>1</v>
      </c>
      <c r="J2083" s="83" t="n">
        <v>91.7</v>
      </c>
      <c r="K2083" s="88" t="n">
        <v>3450000</v>
      </c>
      <c r="L2083" s="85" t="n">
        <f aca="false">K2083/J2083</f>
        <v>37622.6826608506</v>
      </c>
      <c r="M2083" s="92"/>
      <c r="N2083" s="93"/>
      <c r="O2083" s="88" t="n">
        <v>3450000</v>
      </c>
      <c r="P2083" s="88" t="n">
        <f aca="false">O2083/J2083</f>
        <v>37622.6826608506</v>
      </c>
      <c r="Q2083" s="94" t="s">
        <v>3149</v>
      </c>
      <c r="R2083" s="65" t="s">
        <v>26</v>
      </c>
      <c r="S2083" s="65" t="s">
        <v>29</v>
      </c>
      <c r="T2083" s="65" t="s">
        <v>30</v>
      </c>
      <c r="U2083" s="24" t="s">
        <v>31</v>
      </c>
      <c r="V2083" s="89" t="n">
        <v>43790</v>
      </c>
      <c r="W2083" s="91" t="s">
        <v>3150</v>
      </c>
      <c r="X2083" s="18"/>
    </row>
    <row r="2084" customFormat="false" ht="13.8" hidden="false" customHeight="false" outlineLevel="0" collapsed="false">
      <c r="A2084" s="18"/>
      <c r="B2084" s="65" t="n">
        <v>5734</v>
      </c>
      <c r="C2084" s="81" t="n">
        <v>43721</v>
      </c>
      <c r="D2084" s="115" t="s">
        <v>22</v>
      </c>
      <c r="E2084" s="65" t="s">
        <v>178</v>
      </c>
      <c r="F2084" s="82" t="s">
        <v>513</v>
      </c>
      <c r="G2084" s="65" t="n">
        <v>1</v>
      </c>
      <c r="H2084" s="65" t="n">
        <v>20</v>
      </c>
      <c r="I2084" s="65" t="n">
        <v>5</v>
      </c>
      <c r="J2084" s="83" t="n">
        <v>76</v>
      </c>
      <c r="K2084" s="84" t="n">
        <v>735000</v>
      </c>
      <c r="L2084" s="85" t="n">
        <f aca="false">K2084/J2084</f>
        <v>9671.05263157895</v>
      </c>
      <c r="M2084" s="86"/>
      <c r="N2084" s="87"/>
      <c r="O2084" s="88" t="n">
        <v>735000</v>
      </c>
      <c r="P2084" s="88" t="n">
        <f aca="false">O2084/J2084</f>
        <v>9671.05263157895</v>
      </c>
      <c r="Q2084" s="83" t="s">
        <v>1340</v>
      </c>
      <c r="R2084" s="65" t="s">
        <v>26</v>
      </c>
      <c r="S2084" s="65" t="s">
        <v>29</v>
      </c>
      <c r="T2084" s="65" t="s">
        <v>30</v>
      </c>
      <c r="U2084" s="24" t="s">
        <v>31</v>
      </c>
      <c r="V2084" s="89" t="n">
        <v>43790</v>
      </c>
      <c r="W2084" s="18" t="s">
        <v>3151</v>
      </c>
      <c r="X2084" s="18"/>
    </row>
    <row r="2085" customFormat="false" ht="13.8" hidden="false" customHeight="false" outlineLevel="0" collapsed="false">
      <c r="A2085" s="18"/>
      <c r="B2085" s="65" t="n">
        <v>7547</v>
      </c>
      <c r="C2085" s="81" t="n">
        <v>43721</v>
      </c>
      <c r="D2085" s="115" t="s">
        <v>22</v>
      </c>
      <c r="E2085" s="65" t="s">
        <v>86</v>
      </c>
      <c r="F2085" s="91" t="s">
        <v>471</v>
      </c>
      <c r="G2085" s="65" t="n">
        <v>28</v>
      </c>
      <c r="H2085" s="65" t="n">
        <v>12</v>
      </c>
      <c r="I2085" s="65" t="n">
        <v>3</v>
      </c>
      <c r="J2085" s="83" t="n">
        <v>53.02</v>
      </c>
      <c r="K2085" s="88" t="n">
        <v>438000</v>
      </c>
      <c r="L2085" s="85" t="n">
        <f aca="false">K2085/J2085</f>
        <v>8261.03357223689</v>
      </c>
      <c r="M2085" s="92"/>
      <c r="N2085" s="93"/>
      <c r="O2085" s="88" t="n">
        <v>438000</v>
      </c>
      <c r="P2085" s="88" t="n">
        <f aca="false">O2085/J2085</f>
        <v>8261.03357223689</v>
      </c>
      <c r="Q2085" s="94" t="s">
        <v>1660</v>
      </c>
      <c r="R2085" s="65" t="s">
        <v>36</v>
      </c>
      <c r="S2085" s="65" t="s">
        <v>29</v>
      </c>
      <c r="T2085" s="65" t="s">
        <v>30</v>
      </c>
      <c r="U2085" s="112" t="s">
        <v>31</v>
      </c>
      <c r="V2085" s="119" t="n">
        <v>43790</v>
      </c>
      <c r="W2085" s="18" t="s">
        <v>3152</v>
      </c>
      <c r="X2085" s="18"/>
      <c r="Y2085" s="116"/>
    </row>
    <row r="2086" customFormat="false" ht="13.8" hidden="false" customHeight="false" outlineLevel="0" collapsed="false">
      <c r="A2086" s="18"/>
      <c r="B2086" s="65" t="n">
        <v>4048</v>
      </c>
      <c r="C2086" s="81" t="n">
        <v>43721</v>
      </c>
      <c r="D2086" s="115" t="s">
        <v>22</v>
      </c>
      <c r="E2086" s="65" t="s">
        <v>148</v>
      </c>
      <c r="F2086" s="82" t="s">
        <v>340</v>
      </c>
      <c r="G2086" s="65" t="n">
        <v>6</v>
      </c>
      <c r="H2086" s="65" t="n">
        <v>109</v>
      </c>
      <c r="I2086" s="65" t="n">
        <v>4</v>
      </c>
      <c r="J2086" s="83" t="n">
        <v>31.06</v>
      </c>
      <c r="K2086" s="84" t="n">
        <v>330000</v>
      </c>
      <c r="L2086" s="85" t="n">
        <f aca="false">K2086/J2086</f>
        <v>10624.597553123</v>
      </c>
      <c r="M2086" s="90"/>
      <c r="N2086" s="87"/>
      <c r="O2086" s="88" t="n">
        <v>330000</v>
      </c>
      <c r="P2086" s="88" t="n">
        <f aca="false">O2086/J2086</f>
        <v>10624.597553123</v>
      </c>
      <c r="Q2086" s="83" t="s">
        <v>1320</v>
      </c>
      <c r="R2086" s="65" t="s">
        <v>27</v>
      </c>
      <c r="S2086" s="65" t="s">
        <v>29</v>
      </c>
      <c r="T2086" s="65" t="s">
        <v>30</v>
      </c>
      <c r="U2086" s="24" t="s">
        <v>31</v>
      </c>
      <c r="V2086" s="119" t="n">
        <v>43790</v>
      </c>
      <c r="W2086" s="18" t="s">
        <v>3153</v>
      </c>
      <c r="X2086" s="18"/>
    </row>
    <row r="2087" customFormat="false" ht="13.8" hidden="false" customHeight="false" outlineLevel="0" collapsed="false">
      <c r="A2087" s="18"/>
      <c r="B2087" s="65" t="n">
        <v>2077</v>
      </c>
      <c r="C2087" s="81" t="n">
        <v>43721</v>
      </c>
      <c r="D2087" s="115" t="s">
        <v>22</v>
      </c>
      <c r="E2087" s="65" t="s">
        <v>122</v>
      </c>
      <c r="F2087" s="82" t="s">
        <v>805</v>
      </c>
      <c r="G2087" s="65" t="n">
        <v>44</v>
      </c>
      <c r="H2087" s="65" t="n">
        <v>27</v>
      </c>
      <c r="I2087" s="65" t="n">
        <v>5</v>
      </c>
      <c r="J2087" s="83" t="n">
        <v>56.61</v>
      </c>
      <c r="K2087" s="84" t="n">
        <v>240000</v>
      </c>
      <c r="L2087" s="85" t="n">
        <f aca="false">K2087/J2087</f>
        <v>4239.53365129836</v>
      </c>
      <c r="M2087" s="90"/>
      <c r="N2087" s="87"/>
      <c r="O2087" s="88" t="n">
        <v>240000</v>
      </c>
      <c r="P2087" s="88" t="n">
        <f aca="false">O2087/J2087</f>
        <v>4239.53365129836</v>
      </c>
      <c r="Q2087" s="83" t="s">
        <v>1340</v>
      </c>
      <c r="R2087" s="65" t="s">
        <v>26</v>
      </c>
      <c r="S2087" s="65" t="s">
        <v>29</v>
      </c>
      <c r="T2087" s="65" t="s">
        <v>30</v>
      </c>
      <c r="U2087" s="24" t="s">
        <v>31</v>
      </c>
      <c r="V2087" s="119" t="n">
        <v>43790</v>
      </c>
      <c r="W2087" s="18" t="s">
        <v>3154</v>
      </c>
      <c r="X2087" s="18"/>
    </row>
    <row r="2088" customFormat="false" ht="13.8" hidden="false" customHeight="false" outlineLevel="0" collapsed="false">
      <c r="A2088" s="18"/>
      <c r="B2088" s="62" t="n">
        <v>9709</v>
      </c>
      <c r="C2088" s="81" t="n">
        <v>43721</v>
      </c>
      <c r="D2088" s="115" t="s">
        <v>22</v>
      </c>
      <c r="E2088" s="65" t="s">
        <v>265</v>
      </c>
      <c r="F2088" s="82" t="s">
        <v>565</v>
      </c>
      <c r="G2088" s="65" t="s">
        <v>3155</v>
      </c>
      <c r="H2088" s="112" t="n">
        <v>35</v>
      </c>
      <c r="I2088" s="112" t="n">
        <v>4</v>
      </c>
      <c r="J2088" s="83" t="n">
        <v>44.92</v>
      </c>
      <c r="K2088" s="84" t="n">
        <v>470000</v>
      </c>
      <c r="L2088" s="85" t="n">
        <f aca="false">K2088/J2088</f>
        <v>10463.0454140695</v>
      </c>
      <c r="M2088" s="114"/>
      <c r="N2088" s="93"/>
      <c r="O2088" s="88" t="n">
        <v>470000</v>
      </c>
      <c r="P2088" s="88" t="n">
        <f aca="false">O2088/J2088</f>
        <v>10463.0454140695</v>
      </c>
      <c r="Q2088" s="83" t="s">
        <v>1486</v>
      </c>
      <c r="R2088" s="65" t="s">
        <v>36</v>
      </c>
      <c r="S2088" s="118" t="s">
        <v>29</v>
      </c>
      <c r="T2088" s="83" t="s">
        <v>30</v>
      </c>
      <c r="U2088" s="24" t="s">
        <v>31</v>
      </c>
      <c r="V2088" s="119" t="n">
        <v>43790</v>
      </c>
      <c r="W2088" s="18" t="s">
        <v>3156</v>
      </c>
      <c r="X2088" s="18"/>
    </row>
    <row r="2089" customFormat="false" ht="13.8" hidden="false" customHeight="false" outlineLevel="0" collapsed="false">
      <c r="A2089" s="18"/>
      <c r="B2089" s="62" t="n">
        <v>19117</v>
      </c>
      <c r="C2089" s="81" t="n">
        <v>43721</v>
      </c>
      <c r="D2089" s="64" t="s">
        <v>22</v>
      </c>
      <c r="E2089" s="65" t="s">
        <v>187</v>
      </c>
      <c r="F2089" s="18" t="s">
        <v>271</v>
      </c>
      <c r="G2089" s="62" t="n">
        <v>46</v>
      </c>
      <c r="H2089" s="62" t="n">
        <v>18</v>
      </c>
      <c r="I2089" s="62" t="n">
        <v>4</v>
      </c>
      <c r="J2089" s="62" t="n">
        <v>47.43</v>
      </c>
      <c r="K2089" s="66" t="n">
        <v>490000</v>
      </c>
      <c r="L2089" s="66" t="n">
        <f aca="false">K2089/J2089</f>
        <v>10331.0141260805</v>
      </c>
      <c r="M2089" s="18"/>
      <c r="N2089" s="54"/>
      <c r="O2089" s="66" t="n">
        <f aca="false">K2089+N2089</f>
        <v>490000</v>
      </c>
      <c r="P2089" s="88" t="n">
        <f aca="false">O2089/J2089</f>
        <v>10331.0141260805</v>
      </c>
      <c r="Q2089" s="62" t="s">
        <v>3157</v>
      </c>
      <c r="R2089" s="65" t="s">
        <v>36</v>
      </c>
      <c r="S2089" s="62" t="s">
        <v>29</v>
      </c>
      <c r="T2089" s="62" t="s">
        <v>30</v>
      </c>
      <c r="U2089" s="123" t="s">
        <v>31</v>
      </c>
      <c r="V2089" s="81" t="n">
        <v>43801</v>
      </c>
      <c r="W2089" s="18" t="s">
        <v>3158</v>
      </c>
      <c r="X2089" s="18"/>
    </row>
    <row r="2090" customFormat="false" ht="13.8" hidden="false" customHeight="false" outlineLevel="0" collapsed="false">
      <c r="A2090" s="18"/>
      <c r="B2090" s="62" t="n">
        <v>6334</v>
      </c>
      <c r="C2090" s="81" t="n">
        <v>43724</v>
      </c>
      <c r="D2090" s="115" t="s">
        <v>22</v>
      </c>
      <c r="E2090" s="65" t="s">
        <v>690</v>
      </c>
      <c r="F2090" s="82" t="s">
        <v>3159</v>
      </c>
      <c r="G2090" s="65" t="n">
        <v>31</v>
      </c>
      <c r="H2090" s="112" t="n">
        <v>11</v>
      </c>
      <c r="I2090" s="112" t="n">
        <v>3</v>
      </c>
      <c r="J2090" s="83" t="n">
        <v>56.83</v>
      </c>
      <c r="K2090" s="84" t="n">
        <v>415000</v>
      </c>
      <c r="L2090" s="85" t="n">
        <f aca="false">K2090/J2090</f>
        <v>7302.48108393454</v>
      </c>
      <c r="M2090" s="114" t="s">
        <v>189</v>
      </c>
      <c r="N2090" s="93"/>
      <c r="O2090" s="88" t="n">
        <v>415000</v>
      </c>
      <c r="P2090" s="88" t="n">
        <f aca="false">O2090/J2090</f>
        <v>7302.48108393454</v>
      </c>
      <c r="Q2090" s="83" t="s">
        <v>1486</v>
      </c>
      <c r="R2090" s="65" t="s">
        <v>36</v>
      </c>
      <c r="S2090" s="118" t="s">
        <v>29</v>
      </c>
      <c r="T2090" s="83" t="s">
        <v>30</v>
      </c>
      <c r="U2090" s="24" t="s">
        <v>31</v>
      </c>
      <c r="V2090" s="119" t="n">
        <v>43790</v>
      </c>
      <c r="W2090" s="18" t="s">
        <v>3160</v>
      </c>
      <c r="X2090" s="18"/>
    </row>
    <row r="2091" customFormat="false" ht="13.8" hidden="false" customHeight="false" outlineLevel="0" collapsed="false">
      <c r="A2091" s="18"/>
      <c r="B2091" s="65" t="n">
        <v>4703</v>
      </c>
      <c r="C2091" s="81" t="n">
        <v>43724</v>
      </c>
      <c r="D2091" s="115" t="s">
        <v>22</v>
      </c>
      <c r="E2091" s="65" t="s">
        <v>113</v>
      </c>
      <c r="F2091" s="82" t="s">
        <v>851</v>
      </c>
      <c r="G2091" s="65" t="n">
        <v>7</v>
      </c>
      <c r="H2091" s="65" t="n">
        <v>9</v>
      </c>
      <c r="I2091" s="65" t="n">
        <v>1</v>
      </c>
      <c r="J2091" s="83" t="n">
        <v>20.8</v>
      </c>
      <c r="K2091" s="84" t="n">
        <v>290000</v>
      </c>
      <c r="L2091" s="85" t="n">
        <f aca="false">K2091/J2091</f>
        <v>13942.3076923077</v>
      </c>
      <c r="M2091" s="90"/>
      <c r="N2091" s="87"/>
      <c r="O2091" s="88" t="n">
        <v>290000</v>
      </c>
      <c r="P2091" s="88" t="n">
        <f aca="false">O2091/J2091</f>
        <v>13942.3076923077</v>
      </c>
      <c r="Q2091" s="83" t="s">
        <v>3048</v>
      </c>
      <c r="R2091" s="65" t="s">
        <v>27</v>
      </c>
      <c r="S2091" s="65" t="s">
        <v>29</v>
      </c>
      <c r="T2091" s="65" t="s">
        <v>30</v>
      </c>
      <c r="U2091" s="24" t="s">
        <v>31</v>
      </c>
      <c r="V2091" s="119" t="n">
        <v>43790</v>
      </c>
      <c r="W2091" s="18" t="s">
        <v>3161</v>
      </c>
      <c r="X2091" s="18"/>
    </row>
    <row r="2092" customFormat="false" ht="13.8" hidden="false" customHeight="false" outlineLevel="0" collapsed="false">
      <c r="A2092" s="18"/>
      <c r="B2092" s="62" t="n">
        <v>2775</v>
      </c>
      <c r="C2092" s="81" t="n">
        <v>43724</v>
      </c>
      <c r="D2092" s="115" t="s">
        <v>22</v>
      </c>
      <c r="E2092" s="65" t="s">
        <v>276</v>
      </c>
      <c r="F2092" s="82" t="s">
        <v>38</v>
      </c>
      <c r="G2092" s="65" t="n">
        <v>20</v>
      </c>
      <c r="H2092" s="112" t="n">
        <v>76</v>
      </c>
      <c r="I2092" s="112" t="n">
        <v>6</v>
      </c>
      <c r="J2092" s="83" t="n">
        <v>27.7</v>
      </c>
      <c r="K2092" s="84" t="n">
        <v>280000</v>
      </c>
      <c r="L2092" s="85" t="n">
        <f aca="false">K2092/J2092</f>
        <v>10108.3032490975</v>
      </c>
      <c r="M2092" s="114"/>
      <c r="N2092" s="93"/>
      <c r="O2092" s="88" t="n">
        <v>280000</v>
      </c>
      <c r="P2092" s="88" t="n">
        <f aca="false">O2092/J2092</f>
        <v>10108.3032490975</v>
      </c>
      <c r="Q2092" s="83" t="s">
        <v>3162</v>
      </c>
      <c r="R2092" s="65" t="s">
        <v>27</v>
      </c>
      <c r="S2092" s="118" t="s">
        <v>29</v>
      </c>
      <c r="T2092" s="83" t="s">
        <v>30</v>
      </c>
      <c r="U2092" s="24" t="s">
        <v>31</v>
      </c>
      <c r="V2092" s="119" t="n">
        <v>43790</v>
      </c>
      <c r="W2092" s="18" t="s">
        <v>3163</v>
      </c>
      <c r="X2092" s="18"/>
    </row>
    <row r="2093" customFormat="false" ht="13.8" hidden="false" customHeight="false" outlineLevel="0" collapsed="false">
      <c r="A2093" s="18"/>
      <c r="B2093" s="65" t="n">
        <v>29666</v>
      </c>
      <c r="C2093" s="81" t="n">
        <v>43724</v>
      </c>
      <c r="D2093" s="115" t="s">
        <v>22</v>
      </c>
      <c r="E2093" s="65" t="s">
        <v>343</v>
      </c>
      <c r="F2093" s="91" t="s">
        <v>1190</v>
      </c>
      <c r="G2093" s="65" t="n">
        <v>29</v>
      </c>
      <c r="H2093" s="65" t="n">
        <v>37</v>
      </c>
      <c r="I2093" s="65" t="n">
        <v>5</v>
      </c>
      <c r="J2093" s="83" t="n">
        <v>47</v>
      </c>
      <c r="K2093" s="88" t="n">
        <v>485000</v>
      </c>
      <c r="L2093" s="85" t="n">
        <f aca="false">K2093/J2093</f>
        <v>10319.1489361702</v>
      </c>
      <c r="M2093" s="92"/>
      <c r="N2093" s="93"/>
      <c r="O2093" s="85" t="n">
        <v>485000</v>
      </c>
      <c r="P2093" s="88" t="n">
        <f aca="false">O2093/J2093</f>
        <v>10319.1489361702</v>
      </c>
      <c r="Q2093" s="94" t="s">
        <v>1660</v>
      </c>
      <c r="R2093" s="65" t="s">
        <v>36</v>
      </c>
      <c r="S2093" s="65" t="s">
        <v>29</v>
      </c>
      <c r="T2093" s="65" t="s">
        <v>30</v>
      </c>
      <c r="U2093" s="112" t="s">
        <v>31</v>
      </c>
      <c r="V2093" s="89" t="n">
        <v>43790</v>
      </c>
      <c r="W2093" s="18" t="s">
        <v>3164</v>
      </c>
      <c r="X2093" s="18"/>
      <c r="Y2093" s="116"/>
    </row>
    <row r="2094" customFormat="false" ht="13.8" hidden="false" customHeight="false" outlineLevel="0" collapsed="false">
      <c r="A2094" s="18"/>
      <c r="B2094" s="65" t="n">
        <v>2766</v>
      </c>
      <c r="C2094" s="81" t="n">
        <v>43724</v>
      </c>
      <c r="D2094" s="115" t="s">
        <v>22</v>
      </c>
      <c r="E2094" s="65" t="s">
        <v>118</v>
      </c>
      <c r="F2094" s="91" t="s">
        <v>462</v>
      </c>
      <c r="G2094" s="65" t="n">
        <v>4</v>
      </c>
      <c r="H2094" s="65" t="n">
        <v>122</v>
      </c>
      <c r="I2094" s="65" t="n">
        <v>11</v>
      </c>
      <c r="J2094" s="83" t="n">
        <v>37.7</v>
      </c>
      <c r="K2094" s="84" t="n">
        <v>200000</v>
      </c>
      <c r="L2094" s="85" t="n">
        <f aca="false">K2094/J2094</f>
        <v>5305.03978779841</v>
      </c>
      <c r="M2094" s="92"/>
      <c r="N2094" s="93"/>
      <c r="O2094" s="88" t="n">
        <v>200000</v>
      </c>
      <c r="P2094" s="88" t="n">
        <f aca="false">O2094/J2094</f>
        <v>5305.03978779841</v>
      </c>
      <c r="Q2094" s="65" t="s">
        <v>1486</v>
      </c>
      <c r="R2094" s="65" t="s">
        <v>36</v>
      </c>
      <c r="S2094" s="65" t="s">
        <v>29</v>
      </c>
      <c r="T2094" s="65" t="s">
        <v>30</v>
      </c>
      <c r="U2094" s="24" t="s">
        <v>31</v>
      </c>
      <c r="V2094" s="89" t="n">
        <v>43790</v>
      </c>
      <c r="W2094" s="18" t="s">
        <v>3165</v>
      </c>
      <c r="X2094" s="18"/>
    </row>
    <row r="2095" customFormat="false" ht="13.8" hidden="false" customHeight="false" outlineLevel="0" collapsed="false">
      <c r="A2095" s="18"/>
      <c r="B2095" s="65" t="n">
        <v>4231</v>
      </c>
      <c r="C2095" s="81" t="n">
        <v>43724</v>
      </c>
      <c r="D2095" s="115" t="s">
        <v>22</v>
      </c>
      <c r="E2095" s="65" t="s">
        <v>45</v>
      </c>
      <c r="F2095" s="82" t="s">
        <v>46</v>
      </c>
      <c r="G2095" s="65" t="n">
        <v>28</v>
      </c>
      <c r="H2095" s="65" t="n">
        <v>16</v>
      </c>
      <c r="I2095" s="65" t="n">
        <v>5</v>
      </c>
      <c r="J2095" s="83" t="n">
        <v>95.17</v>
      </c>
      <c r="K2095" s="84" t="n">
        <v>220000</v>
      </c>
      <c r="L2095" s="85" t="n">
        <f aca="false">K2095/J2095</f>
        <v>2311.65283177472</v>
      </c>
      <c r="M2095" s="90"/>
      <c r="N2095" s="87"/>
      <c r="O2095" s="88" t="n">
        <v>220000</v>
      </c>
      <c r="P2095" s="88" t="n">
        <f aca="false">O2095/J2095</f>
        <v>2311.65283177472</v>
      </c>
      <c r="Q2095" s="83" t="s">
        <v>2236</v>
      </c>
      <c r="R2095" s="65" t="s">
        <v>57</v>
      </c>
      <c r="S2095" s="65" t="s">
        <v>29</v>
      </c>
      <c r="T2095" s="65" t="s">
        <v>30</v>
      </c>
      <c r="U2095" s="24" t="s">
        <v>31</v>
      </c>
      <c r="V2095" s="119" t="n">
        <v>43790</v>
      </c>
      <c r="W2095" s="18" t="s">
        <v>3166</v>
      </c>
      <c r="X2095" s="18"/>
    </row>
    <row r="2096" customFormat="false" ht="13.8" hidden="false" customHeight="false" outlineLevel="0" collapsed="false">
      <c r="A2096" s="18"/>
      <c r="B2096" s="65" t="n">
        <v>9224</v>
      </c>
      <c r="C2096" s="81" t="n">
        <v>43724</v>
      </c>
      <c r="D2096" s="115" t="s">
        <v>22</v>
      </c>
      <c r="E2096" s="65" t="s">
        <v>109</v>
      </c>
      <c r="F2096" s="82" t="s">
        <v>176</v>
      </c>
      <c r="G2096" s="65" t="n">
        <v>43</v>
      </c>
      <c r="H2096" s="65" t="n">
        <v>105</v>
      </c>
      <c r="I2096" s="65" t="n">
        <v>10</v>
      </c>
      <c r="J2096" s="83" t="n">
        <v>100.25</v>
      </c>
      <c r="K2096" s="84" t="n">
        <v>1850000</v>
      </c>
      <c r="L2096" s="85" t="n">
        <f aca="false">K2096/J2096</f>
        <v>18453.8653366584</v>
      </c>
      <c r="M2096" s="90" t="s">
        <v>3167</v>
      </c>
      <c r="N2096" s="87"/>
      <c r="O2096" s="88" t="n">
        <v>1850000</v>
      </c>
      <c r="P2096" s="88" t="n">
        <f aca="false">O2096/J2096</f>
        <v>18453.8653366584</v>
      </c>
      <c r="Q2096" s="83" t="s">
        <v>3168</v>
      </c>
      <c r="R2096" s="65" t="s">
        <v>26</v>
      </c>
      <c r="S2096" s="65" t="s">
        <v>29</v>
      </c>
      <c r="T2096" s="65" t="s">
        <v>30</v>
      </c>
      <c r="U2096" s="24" t="s">
        <v>31</v>
      </c>
      <c r="V2096" s="119" t="n">
        <v>43790</v>
      </c>
      <c r="W2096" s="18" t="s">
        <v>3169</v>
      </c>
      <c r="X2096" s="18"/>
    </row>
    <row r="2097" customFormat="false" ht="13.8" hidden="false" customHeight="false" outlineLevel="0" collapsed="false">
      <c r="A2097" s="18"/>
      <c r="B2097" s="122" t="n">
        <v>12774</v>
      </c>
      <c r="C2097" s="81" t="n">
        <v>43724</v>
      </c>
      <c r="D2097" s="115" t="s">
        <v>22</v>
      </c>
      <c r="E2097" s="65" t="s">
        <v>80</v>
      </c>
      <c r="F2097" s="82" t="s">
        <v>162</v>
      </c>
      <c r="G2097" s="65" t="s">
        <v>3170</v>
      </c>
      <c r="H2097" s="112" t="n">
        <v>10</v>
      </c>
      <c r="I2097" s="112" t="n">
        <v>4</v>
      </c>
      <c r="J2097" s="83" t="n">
        <v>153.5</v>
      </c>
      <c r="K2097" s="84" t="n">
        <v>2110000</v>
      </c>
      <c r="L2097" s="85" t="n">
        <f aca="false">K2097/J2097</f>
        <v>13745.9283387622</v>
      </c>
      <c r="M2097" s="114" t="s">
        <v>2203</v>
      </c>
      <c r="N2097" s="93"/>
      <c r="O2097" s="88" t="n">
        <v>2110000</v>
      </c>
      <c r="P2097" s="88" t="n">
        <f aca="false">O2097/J2097</f>
        <v>13745.9283387622</v>
      </c>
      <c r="Q2097" s="83" t="s">
        <v>3171</v>
      </c>
      <c r="R2097" s="65" t="s">
        <v>49</v>
      </c>
      <c r="S2097" s="118" t="s">
        <v>29</v>
      </c>
      <c r="T2097" s="83" t="s">
        <v>30</v>
      </c>
      <c r="U2097" s="24" t="s">
        <v>31</v>
      </c>
      <c r="V2097" s="119" t="n">
        <v>43790</v>
      </c>
      <c r="W2097" s="18" t="s">
        <v>3172</v>
      </c>
      <c r="X2097" s="18"/>
    </row>
    <row r="2098" customFormat="false" ht="13.8" hidden="false" customHeight="false" outlineLevel="0" collapsed="false">
      <c r="A2098" s="18"/>
      <c r="B2098" s="65" t="n">
        <v>15977</v>
      </c>
      <c r="C2098" s="81" t="n">
        <v>43724</v>
      </c>
      <c r="D2098" s="115" t="s">
        <v>22</v>
      </c>
      <c r="E2098" s="65" t="s">
        <v>543</v>
      </c>
      <c r="F2098" s="91" t="s">
        <v>628</v>
      </c>
      <c r="G2098" s="65" t="n">
        <v>5</v>
      </c>
      <c r="H2098" s="65" t="n">
        <v>24</v>
      </c>
      <c r="I2098" s="65" t="n">
        <v>4</v>
      </c>
      <c r="J2098" s="83" t="n">
        <v>50.5</v>
      </c>
      <c r="K2098" s="88" t="n">
        <v>425000</v>
      </c>
      <c r="L2098" s="85" t="n">
        <f aca="false">K2098/J2098</f>
        <v>8415.84158415842</v>
      </c>
      <c r="M2098" s="92"/>
      <c r="N2098" s="93"/>
      <c r="O2098" s="88" t="n">
        <v>425000</v>
      </c>
      <c r="P2098" s="88" t="n">
        <f aca="false">O2098/J2098</f>
        <v>8415.84158415842</v>
      </c>
      <c r="Q2098" s="94" t="s">
        <v>1486</v>
      </c>
      <c r="R2098" s="65" t="s">
        <v>36</v>
      </c>
      <c r="S2098" s="65" t="s">
        <v>29</v>
      </c>
      <c r="T2098" s="65" t="s">
        <v>30</v>
      </c>
      <c r="U2098" s="112" t="s">
        <v>31</v>
      </c>
      <c r="V2098" s="119" t="n">
        <v>43790</v>
      </c>
      <c r="W2098" s="18" t="s">
        <v>3173</v>
      </c>
      <c r="X2098" s="18"/>
      <c r="Y2098" s="116"/>
    </row>
    <row r="2099" customFormat="false" ht="13.8" hidden="false" customHeight="false" outlineLevel="0" collapsed="false">
      <c r="A2099" s="18"/>
      <c r="B2099" s="62" t="n">
        <v>15983</v>
      </c>
      <c r="C2099" s="81" t="n">
        <v>43724</v>
      </c>
      <c r="D2099" s="115" t="s">
        <v>22</v>
      </c>
      <c r="E2099" s="65" t="s">
        <v>171</v>
      </c>
      <c r="F2099" s="82" t="s">
        <v>628</v>
      </c>
      <c r="G2099" s="65" t="n">
        <v>8</v>
      </c>
      <c r="H2099" s="112" t="n">
        <v>153</v>
      </c>
      <c r="I2099" s="112" t="n">
        <v>11</v>
      </c>
      <c r="J2099" s="83" t="n">
        <v>40.8</v>
      </c>
      <c r="K2099" s="84" t="n">
        <v>380000</v>
      </c>
      <c r="L2099" s="85" t="n">
        <f aca="false">K2099/J2099</f>
        <v>9313.72549019608</v>
      </c>
      <c r="M2099" s="114"/>
      <c r="N2099" s="93"/>
      <c r="O2099" s="88" t="n">
        <v>380000</v>
      </c>
      <c r="P2099" s="88" t="n">
        <f aca="false">O2099/J2099</f>
        <v>9313.72549019608</v>
      </c>
      <c r="Q2099" s="83" t="s">
        <v>1486</v>
      </c>
      <c r="R2099" s="65" t="s">
        <v>36</v>
      </c>
      <c r="S2099" s="118" t="s">
        <v>29</v>
      </c>
      <c r="T2099" s="83" t="s">
        <v>30</v>
      </c>
      <c r="U2099" s="24" t="s">
        <v>31</v>
      </c>
      <c r="V2099" s="119" t="n">
        <v>43790</v>
      </c>
      <c r="W2099" s="18" t="s">
        <v>3174</v>
      </c>
      <c r="X2099" s="18"/>
    </row>
    <row r="2100" customFormat="false" ht="13.8" hidden="false" customHeight="false" outlineLevel="0" collapsed="false">
      <c r="A2100" s="18"/>
      <c r="B2100" s="62" t="n">
        <v>5461</v>
      </c>
      <c r="C2100" s="81" t="n">
        <v>43724</v>
      </c>
      <c r="D2100" s="64" t="s">
        <v>22</v>
      </c>
      <c r="E2100" s="65" t="s">
        <v>190</v>
      </c>
      <c r="F2100" s="18" t="s">
        <v>591</v>
      </c>
      <c r="G2100" s="65" t="s">
        <v>502</v>
      </c>
      <c r="H2100" s="62" t="n">
        <v>90</v>
      </c>
      <c r="I2100" s="62" t="n">
        <v>4</v>
      </c>
      <c r="J2100" s="62" t="n">
        <v>37.09</v>
      </c>
      <c r="K2100" s="66" t="n">
        <v>360000</v>
      </c>
      <c r="L2100" s="66" t="n">
        <f aca="false">K2100/J2100</f>
        <v>9706.12024804529</v>
      </c>
      <c r="M2100" s="18"/>
      <c r="N2100" s="54"/>
      <c r="O2100" s="66" t="n">
        <f aca="false">K2100+N2100</f>
        <v>360000</v>
      </c>
      <c r="P2100" s="88" t="n">
        <f aca="false">O2100/J2100</f>
        <v>9706.12024804529</v>
      </c>
      <c r="Q2100" s="62" t="s">
        <v>1181</v>
      </c>
      <c r="R2100" s="65" t="s">
        <v>27</v>
      </c>
      <c r="S2100" s="62" t="s">
        <v>29</v>
      </c>
      <c r="T2100" s="62" t="s">
        <v>30</v>
      </c>
      <c r="U2100" s="123" t="s">
        <v>31</v>
      </c>
      <c r="V2100" s="81" t="n">
        <v>43801</v>
      </c>
      <c r="W2100" s="18" t="s">
        <v>3175</v>
      </c>
      <c r="X2100" s="18"/>
    </row>
    <row r="2101" customFormat="false" ht="13.8" hidden="false" customHeight="false" outlineLevel="0" collapsed="false">
      <c r="A2101" s="18"/>
      <c r="B2101" s="65" t="n">
        <v>15030</v>
      </c>
      <c r="C2101" s="81" t="n">
        <v>43725</v>
      </c>
      <c r="D2101" s="115" t="s">
        <v>22</v>
      </c>
      <c r="E2101" s="65" t="s">
        <v>42</v>
      </c>
      <c r="F2101" s="91" t="s">
        <v>3176</v>
      </c>
      <c r="G2101" s="65" t="n">
        <v>4</v>
      </c>
      <c r="H2101" s="65" t="n">
        <v>21</v>
      </c>
      <c r="I2101" s="65" t="n">
        <v>4</v>
      </c>
      <c r="J2101" s="83" t="n">
        <v>25.7</v>
      </c>
      <c r="K2101" s="88" t="n">
        <v>280000</v>
      </c>
      <c r="L2101" s="85" t="n">
        <f aca="false">K2101/J2101</f>
        <v>10894.9416342412</v>
      </c>
      <c r="M2101" s="92" t="s">
        <v>2055</v>
      </c>
      <c r="N2101" s="93"/>
      <c r="O2101" s="88" t="n">
        <v>280000</v>
      </c>
      <c r="P2101" s="88" t="n">
        <f aca="false">O2101/J2101</f>
        <v>10894.9416342412</v>
      </c>
      <c r="Q2101" s="94" t="s">
        <v>3177</v>
      </c>
      <c r="R2101" s="65" t="s">
        <v>27</v>
      </c>
      <c r="S2101" s="65" t="s">
        <v>29</v>
      </c>
      <c r="T2101" s="65" t="s">
        <v>30</v>
      </c>
      <c r="U2101" s="24" t="s">
        <v>31</v>
      </c>
      <c r="V2101" s="89" t="n">
        <v>43790</v>
      </c>
      <c r="W2101" s="18" t="s">
        <v>3178</v>
      </c>
      <c r="X2101" s="18"/>
    </row>
    <row r="2102" customFormat="false" ht="13.8" hidden="false" customHeight="false" outlineLevel="0" collapsed="false">
      <c r="A2102" s="18"/>
      <c r="B2102" s="62" t="n">
        <v>2617</v>
      </c>
      <c r="C2102" s="81" t="n">
        <v>43725</v>
      </c>
      <c r="D2102" s="115" t="s">
        <v>22</v>
      </c>
      <c r="E2102" s="65" t="s">
        <v>284</v>
      </c>
      <c r="F2102" s="82" t="s">
        <v>404</v>
      </c>
      <c r="G2102" s="65" t="n">
        <v>23</v>
      </c>
      <c r="H2102" s="112" t="n">
        <v>27</v>
      </c>
      <c r="I2102" s="112" t="n">
        <v>2</v>
      </c>
      <c r="J2102" s="83" t="n">
        <v>86.24</v>
      </c>
      <c r="K2102" s="84" t="n">
        <v>1420000</v>
      </c>
      <c r="L2102" s="85" t="n">
        <f aca="false">K2102/J2102</f>
        <v>16465.6771799629</v>
      </c>
      <c r="M2102" s="114" t="s">
        <v>3179</v>
      </c>
      <c r="N2102" s="93" t="n">
        <v>40000</v>
      </c>
      <c r="O2102" s="88" t="n">
        <v>1460000</v>
      </c>
      <c r="P2102" s="88" t="n">
        <f aca="false">O2102/J2102</f>
        <v>16929.4990723562</v>
      </c>
      <c r="Q2102" s="83" t="s">
        <v>2558</v>
      </c>
      <c r="R2102" s="65" t="s">
        <v>26</v>
      </c>
      <c r="S2102" s="118" t="s">
        <v>29</v>
      </c>
      <c r="T2102" s="83" t="s">
        <v>30</v>
      </c>
      <c r="U2102" s="24" t="s">
        <v>31</v>
      </c>
      <c r="V2102" s="119" t="n">
        <v>43790</v>
      </c>
      <c r="W2102" s="18" t="s">
        <v>3180</v>
      </c>
      <c r="X2102" s="18"/>
    </row>
    <row r="2103" customFormat="false" ht="13.8" hidden="false" customHeight="false" outlineLevel="0" collapsed="false">
      <c r="A2103" s="18"/>
      <c r="B2103" s="65" t="n">
        <v>3872</v>
      </c>
      <c r="C2103" s="81" t="n">
        <v>43725</v>
      </c>
      <c r="D2103" s="115" t="s">
        <v>22</v>
      </c>
      <c r="E2103" s="65" t="s">
        <v>375</v>
      </c>
      <c r="F2103" s="91" t="s">
        <v>3181</v>
      </c>
      <c r="G2103" s="65" t="n">
        <v>9</v>
      </c>
      <c r="H2103" s="65" t="n">
        <v>12</v>
      </c>
      <c r="I2103" s="65" t="n">
        <v>1</v>
      </c>
      <c r="J2103" s="83" t="n">
        <v>20.47</v>
      </c>
      <c r="K2103" s="88" t="n">
        <v>80000</v>
      </c>
      <c r="L2103" s="85" t="n">
        <f aca="false">K2103/J2103</f>
        <v>3908.15828041036</v>
      </c>
      <c r="M2103" s="92"/>
      <c r="N2103" s="93"/>
      <c r="O2103" s="88" t="n">
        <v>80000</v>
      </c>
      <c r="P2103" s="88" t="n">
        <f aca="false">O2103/J2103</f>
        <v>3908.15828041036</v>
      </c>
      <c r="Q2103" s="94" t="s">
        <v>3182</v>
      </c>
      <c r="R2103" s="65" t="s">
        <v>27</v>
      </c>
      <c r="S2103" s="65" t="s">
        <v>29</v>
      </c>
      <c r="T2103" s="65" t="s">
        <v>30</v>
      </c>
      <c r="U2103" s="112" t="s">
        <v>31</v>
      </c>
      <c r="V2103" s="119" t="n">
        <v>43790</v>
      </c>
      <c r="W2103" s="18" t="s">
        <v>3183</v>
      </c>
      <c r="X2103" s="18"/>
      <c r="Y2103" s="116"/>
    </row>
    <row r="2104" customFormat="false" ht="13.8" hidden="false" customHeight="false" outlineLevel="0" collapsed="false">
      <c r="A2104" s="18"/>
      <c r="B2104" s="65" t="n">
        <v>3608</v>
      </c>
      <c r="C2104" s="81" t="n">
        <v>43725</v>
      </c>
      <c r="D2104" s="115" t="s">
        <v>22</v>
      </c>
      <c r="E2104" s="65" t="s">
        <v>42</v>
      </c>
      <c r="F2104" s="91" t="s">
        <v>1028</v>
      </c>
      <c r="G2104" s="65" t="n">
        <v>19</v>
      </c>
      <c r="H2104" s="65" t="n">
        <v>8</v>
      </c>
      <c r="I2104" s="65" t="n">
        <v>3</v>
      </c>
      <c r="J2104" s="83" t="n">
        <v>36.6</v>
      </c>
      <c r="K2104" s="88" t="n">
        <v>320000</v>
      </c>
      <c r="L2104" s="85" t="n">
        <f aca="false">K2104/J2104</f>
        <v>8743.1693989071</v>
      </c>
      <c r="M2104" s="92"/>
      <c r="N2104" s="93"/>
      <c r="O2104" s="88" t="n">
        <v>320000</v>
      </c>
      <c r="P2104" s="88" t="n">
        <f aca="false">O2104/J2104</f>
        <v>8743.1693989071</v>
      </c>
      <c r="Q2104" s="94" t="s">
        <v>1320</v>
      </c>
      <c r="R2104" s="65" t="s">
        <v>27</v>
      </c>
      <c r="S2104" s="65" t="s">
        <v>29</v>
      </c>
      <c r="T2104" s="65" t="s">
        <v>30</v>
      </c>
      <c r="U2104" s="24" t="s">
        <v>31</v>
      </c>
      <c r="V2104" s="89" t="n">
        <v>43790</v>
      </c>
      <c r="W2104" s="18" t="s">
        <v>3184</v>
      </c>
      <c r="X2104" s="18"/>
    </row>
    <row r="2105" customFormat="false" ht="13.8" hidden="false" customHeight="false" outlineLevel="0" collapsed="false">
      <c r="A2105" s="18"/>
      <c r="B2105" s="62" t="n">
        <v>5806</v>
      </c>
      <c r="C2105" s="81" t="n">
        <v>43725</v>
      </c>
      <c r="D2105" s="115" t="s">
        <v>22</v>
      </c>
      <c r="E2105" s="65" t="s">
        <v>65</v>
      </c>
      <c r="F2105" s="82" t="s">
        <v>3185</v>
      </c>
      <c r="G2105" s="65" t="n">
        <v>1</v>
      </c>
      <c r="H2105" s="112" t="n">
        <v>35</v>
      </c>
      <c r="I2105" s="112" t="n">
        <v>7</v>
      </c>
      <c r="J2105" s="83" t="n">
        <v>31</v>
      </c>
      <c r="K2105" s="84" t="n">
        <v>300000</v>
      </c>
      <c r="L2105" s="85" t="n">
        <f aca="false">K2105/J2105</f>
        <v>9677.41935483871</v>
      </c>
      <c r="M2105" s="114"/>
      <c r="N2105" s="93"/>
      <c r="O2105" s="88" t="n">
        <v>300000</v>
      </c>
      <c r="P2105" s="88" t="n">
        <f aca="false">O2105/J2105</f>
        <v>9677.41935483871</v>
      </c>
      <c r="Q2105" s="83" t="s">
        <v>1320</v>
      </c>
      <c r="R2105" s="65" t="s">
        <v>27</v>
      </c>
      <c r="S2105" s="118" t="s">
        <v>29</v>
      </c>
      <c r="T2105" s="83" t="s">
        <v>30</v>
      </c>
      <c r="U2105" s="24" t="s">
        <v>31</v>
      </c>
      <c r="V2105" s="119" t="n">
        <v>43790</v>
      </c>
      <c r="W2105" s="18" t="s">
        <v>3186</v>
      </c>
      <c r="X2105" s="18"/>
    </row>
    <row r="2106" customFormat="false" ht="13.8" hidden="false" customHeight="false" outlineLevel="0" collapsed="false">
      <c r="A2106" s="18"/>
      <c r="B2106" s="62" t="n">
        <v>8221</v>
      </c>
      <c r="C2106" s="81" t="n">
        <v>43725</v>
      </c>
      <c r="D2106" s="115" t="s">
        <v>22</v>
      </c>
      <c r="E2106" s="65" t="s">
        <v>144</v>
      </c>
      <c r="F2106" s="82" t="s">
        <v>46</v>
      </c>
      <c r="G2106" s="65" t="n">
        <v>49</v>
      </c>
      <c r="H2106" s="112" t="n">
        <v>16</v>
      </c>
      <c r="I2106" s="112" t="n">
        <v>3</v>
      </c>
      <c r="J2106" s="83" t="n">
        <v>60.03</v>
      </c>
      <c r="K2106" s="84" t="n">
        <v>568000</v>
      </c>
      <c r="L2106" s="85" t="n">
        <f aca="false">K2106/J2106</f>
        <v>9461.93569881726</v>
      </c>
      <c r="M2106" s="114"/>
      <c r="N2106" s="93"/>
      <c r="O2106" s="88" t="n">
        <v>568000</v>
      </c>
      <c r="P2106" s="88" t="n">
        <f aca="false">O2106/J2106</f>
        <v>9461.93569881726</v>
      </c>
      <c r="Q2106" s="83" t="s">
        <v>1486</v>
      </c>
      <c r="R2106" s="65" t="s">
        <v>36</v>
      </c>
      <c r="S2106" s="118" t="s">
        <v>29</v>
      </c>
      <c r="T2106" s="83" t="s">
        <v>30</v>
      </c>
      <c r="U2106" s="24" t="s">
        <v>31</v>
      </c>
      <c r="V2106" s="119" t="n">
        <v>43790</v>
      </c>
      <c r="W2106" s="18" t="s">
        <v>3187</v>
      </c>
      <c r="X2106" s="18"/>
    </row>
    <row r="2107" customFormat="false" ht="13.8" hidden="false" customHeight="false" outlineLevel="0" collapsed="false">
      <c r="A2107" s="18"/>
      <c r="B2107" s="62" t="n">
        <v>138</v>
      </c>
      <c r="C2107" s="81" t="n">
        <v>43725</v>
      </c>
      <c r="D2107" s="64" t="s">
        <v>22</v>
      </c>
      <c r="E2107" s="65" t="s">
        <v>93</v>
      </c>
      <c r="F2107" s="18" t="s">
        <v>955</v>
      </c>
      <c r="G2107" s="62" t="s">
        <v>3188</v>
      </c>
      <c r="H2107" s="62" t="n">
        <v>24</v>
      </c>
      <c r="I2107" s="62" t="n">
        <v>4</v>
      </c>
      <c r="J2107" s="62" t="n">
        <v>35.5</v>
      </c>
      <c r="K2107" s="66" t="n">
        <v>390000</v>
      </c>
      <c r="L2107" s="66" t="n">
        <f aca="false">K2107/J2107</f>
        <v>10985.9154929577</v>
      </c>
      <c r="M2107" s="18" t="s">
        <v>3189</v>
      </c>
      <c r="N2107" s="54"/>
      <c r="O2107" s="66" t="n">
        <f aca="false">K2107+N2107</f>
        <v>390000</v>
      </c>
      <c r="P2107" s="88" t="n">
        <f aca="false">O2107/J2107</f>
        <v>10985.9154929577</v>
      </c>
      <c r="Q2107" s="62" t="s">
        <v>3157</v>
      </c>
      <c r="R2107" s="65" t="s">
        <v>36</v>
      </c>
      <c r="S2107" s="62" t="s">
        <v>29</v>
      </c>
      <c r="T2107" s="62" t="s">
        <v>30</v>
      </c>
      <c r="U2107" s="123" t="s">
        <v>31</v>
      </c>
      <c r="V2107" s="81" t="n">
        <v>43801</v>
      </c>
      <c r="W2107" s="18" t="s">
        <v>3190</v>
      </c>
      <c r="X2107" s="18"/>
    </row>
    <row r="2108" customFormat="false" ht="13.8" hidden="false" customHeight="false" outlineLevel="0" collapsed="false">
      <c r="A2108" s="18"/>
      <c r="B2108" s="62" t="n">
        <v>3221</v>
      </c>
      <c r="C2108" s="81" t="n">
        <v>43725</v>
      </c>
      <c r="D2108" s="64" t="s">
        <v>22</v>
      </c>
      <c r="E2108" s="65" t="s">
        <v>113</v>
      </c>
      <c r="F2108" s="18" t="s">
        <v>2543</v>
      </c>
      <c r="G2108" s="62" t="s">
        <v>1165</v>
      </c>
      <c r="H2108" s="62" t="n">
        <v>21</v>
      </c>
      <c r="I2108" s="62" t="n">
        <v>4</v>
      </c>
      <c r="J2108" s="62" t="n">
        <v>24.6</v>
      </c>
      <c r="K2108" s="66" t="n">
        <v>300000</v>
      </c>
      <c r="L2108" s="66" t="n">
        <f aca="false">K2108/J2108</f>
        <v>12195.1219512195</v>
      </c>
      <c r="M2108" s="18" t="s">
        <v>3191</v>
      </c>
      <c r="N2108" s="54"/>
      <c r="O2108" s="66" t="n">
        <f aca="false">K2108+N2108</f>
        <v>300000</v>
      </c>
      <c r="P2108" s="88" t="n">
        <f aca="false">O2108/J2108</f>
        <v>12195.1219512195</v>
      </c>
      <c r="Q2108" s="62" t="s">
        <v>1181</v>
      </c>
      <c r="R2108" s="65" t="s">
        <v>27</v>
      </c>
      <c r="S2108" s="62" t="s">
        <v>29</v>
      </c>
      <c r="T2108" s="62" t="s">
        <v>30</v>
      </c>
      <c r="U2108" s="123" t="s">
        <v>31</v>
      </c>
      <c r="V2108" s="81" t="n">
        <v>43801</v>
      </c>
      <c r="W2108" s="18" t="s">
        <v>3192</v>
      </c>
      <c r="X2108" s="18"/>
    </row>
    <row r="2109" customFormat="false" ht="13.8" hidden="false" customHeight="false" outlineLevel="0" collapsed="false">
      <c r="A2109" s="18"/>
      <c r="B2109" s="62" t="n">
        <v>16082</v>
      </c>
      <c r="C2109" s="81" t="n">
        <v>43725</v>
      </c>
      <c r="D2109" s="64" t="s">
        <v>22</v>
      </c>
      <c r="E2109" s="65" t="s">
        <v>480</v>
      </c>
      <c r="F2109" s="18" t="s">
        <v>46</v>
      </c>
      <c r="G2109" s="62" t="s">
        <v>3193</v>
      </c>
      <c r="H2109" s="62" t="n">
        <v>2</v>
      </c>
      <c r="I2109" s="62" t="n">
        <v>1</v>
      </c>
      <c r="J2109" s="62" t="n">
        <v>20.07</v>
      </c>
      <c r="K2109" s="66" t="n">
        <v>290000</v>
      </c>
      <c r="L2109" s="66" t="n">
        <f aca="false">K2109/J2109</f>
        <v>14449.4270054808</v>
      </c>
      <c r="M2109" s="18"/>
      <c r="N2109" s="54"/>
      <c r="O2109" s="66" t="n">
        <f aca="false">K2109+N2109</f>
        <v>290000</v>
      </c>
      <c r="P2109" s="88" t="n">
        <f aca="false">O2109/J2109</f>
        <v>14449.4270054808</v>
      </c>
      <c r="Q2109" s="62" t="s">
        <v>1274</v>
      </c>
      <c r="R2109" s="65" t="s">
        <v>27</v>
      </c>
      <c r="S2109" s="62" t="s">
        <v>29</v>
      </c>
      <c r="T2109" s="62" t="s">
        <v>30</v>
      </c>
      <c r="U2109" s="123" t="s">
        <v>31</v>
      </c>
      <c r="V2109" s="81" t="n">
        <v>43801</v>
      </c>
      <c r="W2109" s="18" t="s">
        <v>3194</v>
      </c>
      <c r="X2109" s="18"/>
    </row>
    <row r="2110" customFormat="false" ht="13.8" hidden="false" customHeight="false" outlineLevel="0" collapsed="false">
      <c r="A2110" s="18"/>
      <c r="B2110" s="62" t="n">
        <v>16295</v>
      </c>
      <c r="C2110" s="81" t="n">
        <v>43725</v>
      </c>
      <c r="D2110" s="64" t="s">
        <v>22</v>
      </c>
      <c r="E2110" s="65" t="s">
        <v>623</v>
      </c>
      <c r="F2110" s="18" t="s">
        <v>3051</v>
      </c>
      <c r="G2110" s="62" t="n">
        <v>7</v>
      </c>
      <c r="H2110" s="62" t="n">
        <v>118</v>
      </c>
      <c r="I2110" s="62" t="n">
        <v>3</v>
      </c>
      <c r="J2110" s="62" t="n">
        <v>43.54</v>
      </c>
      <c r="K2110" s="66" t="n">
        <v>516000</v>
      </c>
      <c r="L2110" s="66" t="n">
        <f aca="false">K2110/J2110</f>
        <v>11851.1713367019</v>
      </c>
      <c r="M2110" s="18" t="s">
        <v>3195</v>
      </c>
      <c r="N2110" s="54" t="n">
        <v>50000</v>
      </c>
      <c r="O2110" s="66" t="n">
        <f aca="false">K2110+N2110</f>
        <v>566000</v>
      </c>
      <c r="P2110" s="88" t="n">
        <f aca="false">O2110/J2110</f>
        <v>12999.5406522738</v>
      </c>
      <c r="Q2110" s="62" t="s">
        <v>1224</v>
      </c>
      <c r="R2110" s="65" t="s">
        <v>27</v>
      </c>
      <c r="S2110" s="62" t="s">
        <v>29</v>
      </c>
      <c r="T2110" s="62" t="s">
        <v>30</v>
      </c>
      <c r="U2110" s="123" t="s">
        <v>31</v>
      </c>
      <c r="V2110" s="81" t="n">
        <v>43801</v>
      </c>
      <c r="W2110" s="18" t="s">
        <v>3196</v>
      </c>
      <c r="X2110" s="18"/>
    </row>
    <row r="2111" customFormat="false" ht="13.8" hidden="false" customHeight="false" outlineLevel="0" collapsed="false">
      <c r="A2111" s="18"/>
      <c r="B2111" s="65" t="n">
        <v>29982</v>
      </c>
      <c r="C2111" s="81" t="n">
        <v>43726</v>
      </c>
      <c r="D2111" s="115" t="s">
        <v>22</v>
      </c>
      <c r="E2111" s="65" t="s">
        <v>522</v>
      </c>
      <c r="F2111" s="82" t="s">
        <v>523</v>
      </c>
      <c r="G2111" s="65" t="s">
        <v>865</v>
      </c>
      <c r="H2111" s="65" t="n">
        <v>51</v>
      </c>
      <c r="I2111" s="65" t="n">
        <v>2</v>
      </c>
      <c r="J2111" s="83" t="n">
        <v>46.35</v>
      </c>
      <c r="K2111" s="84" t="n">
        <v>598000</v>
      </c>
      <c r="L2111" s="85" t="n">
        <f aca="false">K2111/J2111</f>
        <v>12901.8338727077</v>
      </c>
      <c r="M2111" s="90" t="s">
        <v>3197</v>
      </c>
      <c r="N2111" s="87"/>
      <c r="O2111" s="88" t="n">
        <v>598000</v>
      </c>
      <c r="P2111" s="88" t="n">
        <f aca="false">O2111/J2111</f>
        <v>12901.8338727077</v>
      </c>
      <c r="Q2111" s="83" t="s">
        <v>2669</v>
      </c>
      <c r="R2111" s="65" t="s">
        <v>36</v>
      </c>
      <c r="S2111" s="65" t="s">
        <v>29</v>
      </c>
      <c r="T2111" s="65" t="s">
        <v>30</v>
      </c>
      <c r="U2111" s="24" t="s">
        <v>31</v>
      </c>
      <c r="V2111" s="119" t="n">
        <v>43790</v>
      </c>
      <c r="W2111" s="18" t="s">
        <v>3198</v>
      </c>
      <c r="X2111" s="18"/>
    </row>
    <row r="2112" customFormat="false" ht="13.8" hidden="false" customHeight="false" outlineLevel="0" collapsed="false">
      <c r="A2112" s="18"/>
      <c r="B2112" s="65" t="n">
        <v>4253</v>
      </c>
      <c r="C2112" s="81" t="n">
        <v>43726</v>
      </c>
      <c r="D2112" s="115" t="s">
        <v>22</v>
      </c>
      <c r="E2112" s="65" t="s">
        <v>3085</v>
      </c>
      <c r="F2112" s="91" t="s">
        <v>3086</v>
      </c>
      <c r="G2112" s="65" t="n">
        <v>7</v>
      </c>
      <c r="H2112" s="65" t="n">
        <v>4</v>
      </c>
      <c r="I2112" s="65" t="n">
        <v>2</v>
      </c>
      <c r="J2112" s="83" t="n">
        <v>61.66</v>
      </c>
      <c r="K2112" s="84" t="n">
        <v>810000</v>
      </c>
      <c r="L2112" s="85" t="n">
        <f aca="false">K2112/J2112</f>
        <v>13136.555303276</v>
      </c>
      <c r="M2112" s="90" t="s">
        <v>3199</v>
      </c>
      <c r="N2112" s="87" t="n">
        <v>28000</v>
      </c>
      <c r="O2112" s="88" t="n">
        <v>838000</v>
      </c>
      <c r="P2112" s="88" t="n">
        <f aca="false">O2112/J2112</f>
        <v>13590.6584495621</v>
      </c>
      <c r="Q2112" s="65" t="s">
        <v>2311</v>
      </c>
      <c r="R2112" s="65" t="s">
        <v>26</v>
      </c>
      <c r="S2112" s="65" t="s">
        <v>29</v>
      </c>
      <c r="T2112" s="65" t="s">
        <v>30</v>
      </c>
      <c r="U2112" s="24" t="s">
        <v>31</v>
      </c>
      <c r="V2112" s="89" t="n">
        <v>43790</v>
      </c>
      <c r="W2112" s="23" t="s">
        <v>3200</v>
      </c>
      <c r="X2112" s="110"/>
    </row>
    <row r="2113" customFormat="false" ht="13.8" hidden="false" customHeight="false" outlineLevel="0" collapsed="false">
      <c r="A2113" s="18"/>
      <c r="B2113" s="62" t="n">
        <v>4245</v>
      </c>
      <c r="C2113" s="81" t="n">
        <v>43726</v>
      </c>
      <c r="D2113" s="115" t="s">
        <v>22</v>
      </c>
      <c r="E2113" s="65" t="s">
        <v>175</v>
      </c>
      <c r="F2113" s="82" t="s">
        <v>404</v>
      </c>
      <c r="G2113" s="65" t="s">
        <v>3201</v>
      </c>
      <c r="H2113" s="112" t="n">
        <v>18</v>
      </c>
      <c r="I2113" s="112" t="n">
        <v>3</v>
      </c>
      <c r="J2113" s="83" t="n">
        <v>16.92</v>
      </c>
      <c r="K2113" s="84" t="n">
        <v>251000</v>
      </c>
      <c r="L2113" s="85" t="n">
        <f aca="false">K2113/J2113</f>
        <v>14834.5153664303</v>
      </c>
      <c r="M2113" s="114"/>
      <c r="N2113" s="93"/>
      <c r="O2113" s="88" t="n">
        <v>251000</v>
      </c>
      <c r="P2113" s="88" t="n">
        <f aca="false">O2113/J2113</f>
        <v>14834.5153664303</v>
      </c>
      <c r="Q2113" s="83" t="s">
        <v>1320</v>
      </c>
      <c r="R2113" s="65" t="s">
        <v>27</v>
      </c>
      <c r="S2113" s="118" t="s">
        <v>29</v>
      </c>
      <c r="T2113" s="83" t="s">
        <v>30</v>
      </c>
      <c r="U2113" s="24" t="s">
        <v>31</v>
      </c>
      <c r="V2113" s="119" t="n">
        <v>43790</v>
      </c>
      <c r="W2113" s="18" t="s">
        <v>3202</v>
      </c>
      <c r="X2113" s="18"/>
    </row>
    <row r="2114" customFormat="false" ht="13.8" hidden="false" customHeight="false" outlineLevel="0" collapsed="false">
      <c r="A2114" s="18"/>
      <c r="B2114" s="62" t="n">
        <v>5105</v>
      </c>
      <c r="C2114" s="81" t="n">
        <v>43726</v>
      </c>
      <c r="D2114" s="115" t="s">
        <v>22</v>
      </c>
      <c r="E2114" s="65" t="s">
        <v>399</v>
      </c>
      <c r="F2114" s="82" t="s">
        <v>272</v>
      </c>
      <c r="G2114" s="65" t="n">
        <v>76</v>
      </c>
      <c r="H2114" s="112" t="n">
        <v>65</v>
      </c>
      <c r="I2114" s="112" t="n">
        <v>5</v>
      </c>
      <c r="J2114" s="83" t="n">
        <v>93.5</v>
      </c>
      <c r="K2114" s="84" t="n">
        <v>832000</v>
      </c>
      <c r="L2114" s="85" t="n">
        <f aca="false">K2114/J2114</f>
        <v>8898.39572192513</v>
      </c>
      <c r="M2114" s="114" t="s">
        <v>3203</v>
      </c>
      <c r="N2114" s="93"/>
      <c r="O2114" s="88" t="n">
        <v>832000</v>
      </c>
      <c r="P2114" s="88" t="n">
        <f aca="false">O2114/J2114</f>
        <v>8898.39572192513</v>
      </c>
      <c r="Q2114" s="83" t="s">
        <v>3204</v>
      </c>
      <c r="R2114" s="65" t="s">
        <v>26</v>
      </c>
      <c r="S2114" s="118" t="s">
        <v>29</v>
      </c>
      <c r="T2114" s="83" t="s">
        <v>30</v>
      </c>
      <c r="U2114" s="24" t="s">
        <v>31</v>
      </c>
      <c r="V2114" s="119" t="n">
        <v>43790</v>
      </c>
      <c r="W2114" s="18" t="s">
        <v>3205</v>
      </c>
      <c r="X2114" s="18"/>
    </row>
    <row r="2115" customFormat="false" ht="13.8" hidden="false" customHeight="false" outlineLevel="0" collapsed="false">
      <c r="A2115" s="18"/>
      <c r="B2115" s="62" t="n">
        <v>19434</v>
      </c>
      <c r="C2115" s="81" t="n">
        <v>43726</v>
      </c>
      <c r="D2115" s="64" t="s">
        <v>22</v>
      </c>
      <c r="E2115" s="65" t="s">
        <v>75</v>
      </c>
      <c r="F2115" s="18" t="s">
        <v>955</v>
      </c>
      <c r="G2115" s="62" t="n">
        <v>75</v>
      </c>
      <c r="H2115" s="62" t="n">
        <v>60</v>
      </c>
      <c r="I2115" s="62" t="n">
        <v>8</v>
      </c>
      <c r="J2115" s="62" t="n">
        <v>36.7</v>
      </c>
      <c r="K2115" s="66" t="n">
        <v>470000</v>
      </c>
      <c r="L2115" s="66" t="n">
        <f aca="false">K2115/J2115</f>
        <v>12806.5395095368</v>
      </c>
      <c r="M2115" s="18"/>
      <c r="N2115" s="54"/>
      <c r="O2115" s="66" t="n">
        <f aca="false">K2115+N2115</f>
        <v>470000</v>
      </c>
      <c r="P2115" s="88" t="n">
        <f aca="false">O2115/J2115</f>
        <v>12806.5395095368</v>
      </c>
      <c r="Q2115" s="62" t="s">
        <v>3157</v>
      </c>
      <c r="R2115" s="65" t="s">
        <v>36</v>
      </c>
      <c r="S2115" s="62" t="s">
        <v>29</v>
      </c>
      <c r="T2115" s="62" t="s">
        <v>30</v>
      </c>
      <c r="U2115" s="123" t="s">
        <v>31</v>
      </c>
      <c r="V2115" s="81" t="n">
        <v>43801</v>
      </c>
      <c r="W2115" s="18" t="s">
        <v>3206</v>
      </c>
      <c r="X2115" s="18"/>
    </row>
    <row r="2116" customFormat="false" ht="13.8" hidden="false" customHeight="false" outlineLevel="0" collapsed="false">
      <c r="A2116" s="18"/>
      <c r="B2116" s="62" t="n">
        <v>4009</v>
      </c>
      <c r="C2116" s="81" t="n">
        <v>43726</v>
      </c>
      <c r="D2116" s="64" t="s">
        <v>22</v>
      </c>
      <c r="E2116" s="65" t="s">
        <v>229</v>
      </c>
      <c r="F2116" s="18" t="s">
        <v>230</v>
      </c>
      <c r="G2116" s="62" t="n">
        <v>61</v>
      </c>
      <c r="H2116" s="62" t="n">
        <v>111</v>
      </c>
      <c r="I2116" s="62" t="n">
        <v>5</v>
      </c>
      <c r="J2116" s="62" t="n">
        <v>88.89</v>
      </c>
      <c r="K2116" s="66" t="n">
        <v>715000</v>
      </c>
      <c r="L2116" s="66" t="n">
        <f aca="false">K2116/J2116</f>
        <v>8043.64945438182</v>
      </c>
      <c r="M2116" s="18" t="s">
        <v>3207</v>
      </c>
      <c r="N2116" s="54"/>
      <c r="O2116" s="66" t="n">
        <f aca="false">K2116+N2116</f>
        <v>715000</v>
      </c>
      <c r="P2116" s="88" t="n">
        <f aca="false">O2116/J2116</f>
        <v>8043.64945438182</v>
      </c>
      <c r="Q2116" s="62" t="s">
        <v>3208</v>
      </c>
      <c r="R2116" s="65" t="s">
        <v>49</v>
      </c>
      <c r="S2116" s="62" t="s">
        <v>29</v>
      </c>
      <c r="T2116" s="62" t="s">
        <v>30</v>
      </c>
      <c r="U2116" s="123" t="s">
        <v>31</v>
      </c>
      <c r="V2116" s="81" t="n">
        <v>43801</v>
      </c>
      <c r="W2116" s="18" t="s">
        <v>3209</v>
      </c>
      <c r="X2116" s="18"/>
    </row>
    <row r="2117" customFormat="false" ht="13.8" hidden="false" customHeight="false" outlineLevel="0" collapsed="false">
      <c r="A2117" s="18"/>
      <c r="B2117" s="62" t="n">
        <v>9764</v>
      </c>
      <c r="C2117" s="81" t="n">
        <v>43726</v>
      </c>
      <c r="D2117" s="64" t="s">
        <v>22</v>
      </c>
      <c r="E2117" s="65" t="s">
        <v>1617</v>
      </c>
      <c r="F2117" s="18" t="s">
        <v>983</v>
      </c>
      <c r="G2117" s="62" t="n">
        <v>24</v>
      </c>
      <c r="H2117" s="62" t="n">
        <v>5</v>
      </c>
      <c r="I2117" s="62" t="n">
        <v>3</v>
      </c>
      <c r="J2117" s="62" t="n">
        <v>222.82</v>
      </c>
      <c r="K2117" s="66" t="n">
        <v>3697600</v>
      </c>
      <c r="L2117" s="66" t="n">
        <f aca="false">K2117/J2117</f>
        <v>16594.5606319002</v>
      </c>
      <c r="M2117" s="18" t="s">
        <v>3210</v>
      </c>
      <c r="N2117" s="54"/>
      <c r="O2117" s="66" t="n">
        <f aca="false">K2117+N2117</f>
        <v>3697600</v>
      </c>
      <c r="P2117" s="88" t="n">
        <f aca="false">O2117/J2117</f>
        <v>16594.5606319002</v>
      </c>
      <c r="Q2117" s="62" t="s">
        <v>3211</v>
      </c>
      <c r="R2117" s="65"/>
      <c r="S2117" s="62" t="s">
        <v>29</v>
      </c>
      <c r="T2117" s="62" t="s">
        <v>30</v>
      </c>
      <c r="U2117" s="123" t="s">
        <v>31</v>
      </c>
      <c r="V2117" s="81" t="n">
        <v>43801</v>
      </c>
      <c r="W2117" s="18" t="s">
        <v>3212</v>
      </c>
      <c r="X2117" s="18"/>
    </row>
    <row r="2118" customFormat="false" ht="13.8" hidden="false" customHeight="false" outlineLevel="0" collapsed="false">
      <c r="A2118" s="18"/>
      <c r="B2118" s="65" t="n">
        <v>3964</v>
      </c>
      <c r="C2118" s="81" t="n">
        <v>43727</v>
      </c>
      <c r="D2118" s="115" t="s">
        <v>22</v>
      </c>
      <c r="E2118" s="65" t="s">
        <v>3085</v>
      </c>
      <c r="F2118" s="91" t="s">
        <v>3086</v>
      </c>
      <c r="G2118" s="65" t="n">
        <v>7</v>
      </c>
      <c r="H2118" s="65" t="n">
        <v>21</v>
      </c>
      <c r="I2118" s="65" t="n">
        <v>6</v>
      </c>
      <c r="J2118" s="83" t="n">
        <v>43.21</v>
      </c>
      <c r="K2118" s="88" t="n">
        <v>567000</v>
      </c>
      <c r="L2118" s="85" t="n">
        <f aca="false">K2118/J2118</f>
        <v>13121.9625086785</v>
      </c>
      <c r="M2118" s="92" t="s">
        <v>3213</v>
      </c>
      <c r="N2118" s="93" t="n">
        <v>30000</v>
      </c>
      <c r="O2118" s="88" t="n">
        <v>597000</v>
      </c>
      <c r="P2118" s="88" t="n">
        <f aca="false">O2118/J2118</f>
        <v>13816.2462392965</v>
      </c>
      <c r="Q2118" s="94" t="s">
        <v>3214</v>
      </c>
      <c r="R2118" s="65" t="s">
        <v>36</v>
      </c>
      <c r="S2118" s="65" t="s">
        <v>29</v>
      </c>
      <c r="T2118" s="65" t="s">
        <v>30</v>
      </c>
      <c r="U2118" s="24" t="s">
        <v>31</v>
      </c>
      <c r="V2118" s="89" t="n">
        <v>43790</v>
      </c>
      <c r="W2118" s="18" t="s">
        <v>3215</v>
      </c>
      <c r="X2118" s="18"/>
    </row>
    <row r="2119" customFormat="false" ht="13.8" hidden="false" customHeight="false" outlineLevel="0" collapsed="false">
      <c r="A2119" s="18"/>
      <c r="B2119" s="65" t="n">
        <v>3149</v>
      </c>
      <c r="C2119" s="81" t="n">
        <v>43727</v>
      </c>
      <c r="D2119" s="115" t="s">
        <v>22</v>
      </c>
      <c r="E2119" s="65" t="s">
        <v>187</v>
      </c>
      <c r="F2119" s="82" t="s">
        <v>429</v>
      </c>
      <c r="G2119" s="65" t="s">
        <v>1180</v>
      </c>
      <c r="H2119" s="65" t="n">
        <v>29</v>
      </c>
      <c r="I2119" s="65" t="n">
        <v>2</v>
      </c>
      <c r="J2119" s="83" t="n">
        <v>28.27</v>
      </c>
      <c r="K2119" s="84" t="n">
        <v>360000</v>
      </c>
      <c r="L2119" s="85" t="n">
        <f aca="false">K2119/J2119</f>
        <v>12734.3473646976</v>
      </c>
      <c r="M2119" s="90"/>
      <c r="N2119" s="87"/>
      <c r="O2119" s="88" t="n">
        <v>360000</v>
      </c>
      <c r="P2119" s="88" t="n">
        <f aca="false">O2119/J2119</f>
        <v>12734.3473646976</v>
      </c>
      <c r="Q2119" s="83" t="s">
        <v>1320</v>
      </c>
      <c r="R2119" s="65" t="s">
        <v>27</v>
      </c>
      <c r="S2119" s="65" t="s">
        <v>29</v>
      </c>
      <c r="T2119" s="65" t="s">
        <v>30</v>
      </c>
      <c r="U2119" s="24" t="s">
        <v>31</v>
      </c>
      <c r="V2119" s="89" t="n">
        <v>43790</v>
      </c>
      <c r="W2119" s="18" t="s">
        <v>3216</v>
      </c>
      <c r="X2119" s="18"/>
    </row>
    <row r="2120" customFormat="false" ht="13.8" hidden="false" customHeight="false" outlineLevel="0" collapsed="false">
      <c r="A2120" s="18"/>
      <c r="B2120" s="62" t="n">
        <v>5382</v>
      </c>
      <c r="C2120" s="81" t="n">
        <v>43727</v>
      </c>
      <c r="D2120" s="115" t="s">
        <v>22</v>
      </c>
      <c r="E2120" s="65" t="s">
        <v>187</v>
      </c>
      <c r="F2120" s="82" t="s">
        <v>1041</v>
      </c>
      <c r="G2120" s="65" t="n">
        <v>81</v>
      </c>
      <c r="H2120" s="112" t="n">
        <v>35</v>
      </c>
      <c r="I2120" s="112" t="n">
        <v>3</v>
      </c>
      <c r="J2120" s="83" t="n">
        <v>35.38</v>
      </c>
      <c r="K2120" s="84" t="n">
        <v>366000</v>
      </c>
      <c r="L2120" s="85" t="n">
        <f aca="false">K2120/J2120</f>
        <v>10344.8275862069</v>
      </c>
      <c r="M2120" s="114"/>
      <c r="N2120" s="93"/>
      <c r="O2120" s="88" t="n">
        <v>366000</v>
      </c>
      <c r="P2120" s="88" t="n">
        <f aca="false">O2120/J2120</f>
        <v>10344.8275862069</v>
      </c>
      <c r="Q2120" s="83" t="s">
        <v>3217</v>
      </c>
      <c r="R2120" s="65" t="s">
        <v>27</v>
      </c>
      <c r="S2120" s="118" t="s">
        <v>29</v>
      </c>
      <c r="T2120" s="83" t="s">
        <v>30</v>
      </c>
      <c r="U2120" s="24" t="s">
        <v>31</v>
      </c>
      <c r="V2120" s="119" t="n">
        <v>43790</v>
      </c>
      <c r="W2120" s="18" t="s">
        <v>3218</v>
      </c>
      <c r="X2120" s="18"/>
    </row>
    <row r="2121" customFormat="false" ht="13.8" hidden="false" customHeight="false" outlineLevel="0" collapsed="false">
      <c r="A2121" s="18"/>
      <c r="B2121" s="62" t="n">
        <v>5831</v>
      </c>
      <c r="C2121" s="81" t="n">
        <v>43727</v>
      </c>
      <c r="D2121" s="64" t="s">
        <v>22</v>
      </c>
      <c r="E2121" s="112" t="s">
        <v>3219</v>
      </c>
      <c r="F2121" s="124" t="s">
        <v>3093</v>
      </c>
      <c r="G2121" s="62" t="n">
        <v>41</v>
      </c>
      <c r="H2121" s="62" t="n">
        <v>55</v>
      </c>
      <c r="I2121" s="62" t="n">
        <v>3</v>
      </c>
      <c r="J2121" s="62" t="n">
        <v>40.77</v>
      </c>
      <c r="K2121" s="66" t="n">
        <v>550000</v>
      </c>
      <c r="L2121" s="66" t="n">
        <f aca="false">K2121/J2121</f>
        <v>13490.3115035565</v>
      </c>
      <c r="M2121" s="18" t="s">
        <v>3220</v>
      </c>
      <c r="N2121" s="54" t="n">
        <v>33825</v>
      </c>
      <c r="O2121" s="66" t="n">
        <f aca="false">K2121+N2121</f>
        <v>583825</v>
      </c>
      <c r="P2121" s="88" t="n">
        <f aca="false">O2121/J2121</f>
        <v>14319.9656610253</v>
      </c>
      <c r="Q2121" s="62" t="s">
        <v>1431</v>
      </c>
      <c r="R2121" s="65" t="s">
        <v>36</v>
      </c>
      <c r="S2121" s="62" t="s">
        <v>29</v>
      </c>
      <c r="T2121" s="62" t="s">
        <v>30</v>
      </c>
      <c r="U2121" s="123" t="s">
        <v>31</v>
      </c>
      <c r="V2121" s="81" t="n">
        <v>43801</v>
      </c>
      <c r="W2121" s="18" t="s">
        <v>3221</v>
      </c>
      <c r="X2121" s="18"/>
    </row>
    <row r="2122" customFormat="false" ht="13.8" hidden="false" customHeight="false" outlineLevel="0" collapsed="false">
      <c r="A2122" s="18"/>
      <c r="B2122" s="62" t="n">
        <v>6446</v>
      </c>
      <c r="C2122" s="81" t="n">
        <v>43727</v>
      </c>
      <c r="D2122" s="64" t="s">
        <v>22</v>
      </c>
      <c r="E2122" s="65" t="s">
        <v>109</v>
      </c>
      <c r="F2122" s="18" t="s">
        <v>127</v>
      </c>
      <c r="G2122" s="62" t="n">
        <v>27</v>
      </c>
      <c r="H2122" s="62" t="n">
        <v>46</v>
      </c>
      <c r="I2122" s="62" t="n">
        <v>4</v>
      </c>
      <c r="J2122" s="62" t="n">
        <v>48.21</v>
      </c>
      <c r="K2122" s="66" t="n">
        <v>570000</v>
      </c>
      <c r="L2122" s="66" t="n">
        <f aca="false">K2122/J2122</f>
        <v>11823.2731798382</v>
      </c>
      <c r="M2122" s="18"/>
      <c r="N2122" s="54"/>
      <c r="O2122" s="66" t="n">
        <f aca="false">K2122+N2122</f>
        <v>570000</v>
      </c>
      <c r="P2122" s="88" t="n">
        <f aca="false">O2122/J2122</f>
        <v>11823.2731798382</v>
      </c>
      <c r="Q2122" s="62" t="s">
        <v>903</v>
      </c>
      <c r="R2122" s="65" t="s">
        <v>36</v>
      </c>
      <c r="S2122" s="62" t="s">
        <v>29</v>
      </c>
      <c r="T2122" s="62" t="s">
        <v>30</v>
      </c>
      <c r="U2122" s="123" t="s">
        <v>31</v>
      </c>
      <c r="V2122" s="81" t="n">
        <v>43801</v>
      </c>
      <c r="W2122" s="18" t="s">
        <v>3222</v>
      </c>
      <c r="X2122" s="18"/>
    </row>
    <row r="2123" customFormat="false" ht="13.8" hidden="false" customHeight="false" outlineLevel="0" collapsed="false">
      <c r="A2123" s="18"/>
      <c r="B2123" s="62" t="n">
        <v>5838</v>
      </c>
      <c r="C2123" s="81" t="n">
        <v>43727</v>
      </c>
      <c r="D2123" s="64" t="s">
        <v>22</v>
      </c>
      <c r="E2123" s="65" t="s">
        <v>369</v>
      </c>
      <c r="F2123" s="18" t="s">
        <v>127</v>
      </c>
      <c r="G2123" s="62" t="n">
        <v>8</v>
      </c>
      <c r="H2123" s="62" t="n">
        <v>16</v>
      </c>
      <c r="I2123" s="62" t="n">
        <v>7</v>
      </c>
      <c r="J2123" s="62" t="n">
        <v>87.6</v>
      </c>
      <c r="K2123" s="66" t="n">
        <v>1170000</v>
      </c>
      <c r="L2123" s="66" t="n">
        <f aca="false">K2123/J2123</f>
        <v>13356.1643835616</v>
      </c>
      <c r="M2123" s="18" t="s">
        <v>3223</v>
      </c>
      <c r="N2123" s="54" t="n">
        <v>40000</v>
      </c>
      <c r="O2123" s="66" t="n">
        <f aca="false">K2123+N2123</f>
        <v>1210000</v>
      </c>
      <c r="P2123" s="88" t="n">
        <f aca="false">O2123/J2123</f>
        <v>13812.7853881279</v>
      </c>
      <c r="Q2123" s="62" t="s">
        <v>3224</v>
      </c>
      <c r="R2123" s="65" t="s">
        <v>26</v>
      </c>
      <c r="S2123" s="62" t="s">
        <v>29</v>
      </c>
      <c r="T2123" s="62" t="s">
        <v>30</v>
      </c>
      <c r="U2123" s="123" t="s">
        <v>31</v>
      </c>
      <c r="V2123" s="81" t="n">
        <v>43801</v>
      </c>
      <c r="W2123" s="18" t="s">
        <v>3225</v>
      </c>
      <c r="X2123" s="18"/>
    </row>
    <row r="2124" customFormat="false" ht="13.8" hidden="false" customHeight="false" outlineLevel="0" collapsed="false">
      <c r="A2124" s="18"/>
      <c r="B2124" s="62" t="n">
        <v>7809</v>
      </c>
      <c r="C2124" s="81" t="n">
        <v>43727</v>
      </c>
      <c r="D2124" s="64" t="s">
        <v>22</v>
      </c>
      <c r="E2124" s="65" t="s">
        <v>372</v>
      </c>
      <c r="F2124" s="18" t="s">
        <v>272</v>
      </c>
      <c r="G2124" s="62" t="n">
        <v>31</v>
      </c>
      <c r="H2124" s="62" t="n">
        <v>9</v>
      </c>
      <c r="I2124" s="62" t="n">
        <v>4</v>
      </c>
      <c r="J2124" s="62" t="n">
        <v>163.08</v>
      </c>
      <c r="K2124" s="66" t="n">
        <v>1920000</v>
      </c>
      <c r="L2124" s="66" t="n">
        <f aca="false">K2124/J2124</f>
        <v>11773.3627667403</v>
      </c>
      <c r="M2124" s="18" t="s">
        <v>3226</v>
      </c>
      <c r="N2124" s="54" t="n">
        <v>80000</v>
      </c>
      <c r="O2124" s="66" t="n">
        <f aca="false">K2124+N2124</f>
        <v>2000000</v>
      </c>
      <c r="P2124" s="88" t="n">
        <f aca="false">O2124/J2124</f>
        <v>12263.9195486878</v>
      </c>
      <c r="Q2124" s="62" t="s">
        <v>3227</v>
      </c>
      <c r="R2124" s="65" t="s">
        <v>49</v>
      </c>
      <c r="S2124" s="62" t="s">
        <v>29</v>
      </c>
      <c r="T2124" s="62" t="s">
        <v>30</v>
      </c>
      <c r="U2124" s="123" t="s">
        <v>31</v>
      </c>
      <c r="V2124" s="81" t="n">
        <v>43801</v>
      </c>
      <c r="W2124" s="18" t="s">
        <v>3228</v>
      </c>
      <c r="X2124" s="18"/>
    </row>
    <row r="2125" customFormat="false" ht="13.8" hidden="false" customHeight="false" outlineLevel="0" collapsed="false">
      <c r="A2125" s="18"/>
      <c r="B2125" s="65" t="n">
        <v>6637</v>
      </c>
      <c r="C2125" s="81" t="n">
        <v>43728</v>
      </c>
      <c r="D2125" s="115" t="s">
        <v>22</v>
      </c>
      <c r="E2125" s="65" t="s">
        <v>42</v>
      </c>
      <c r="F2125" s="82" t="s">
        <v>740</v>
      </c>
      <c r="G2125" s="65" t="n">
        <v>3</v>
      </c>
      <c r="H2125" s="65" t="n">
        <v>36</v>
      </c>
      <c r="I2125" s="65" t="n">
        <v>4</v>
      </c>
      <c r="J2125" s="83" t="n">
        <v>50.2</v>
      </c>
      <c r="K2125" s="84" t="n">
        <v>480000</v>
      </c>
      <c r="L2125" s="85" t="n">
        <f aca="false">K2125/J2125</f>
        <v>9561.75298804781</v>
      </c>
      <c r="M2125" s="90" t="s">
        <v>189</v>
      </c>
      <c r="N2125" s="87"/>
      <c r="O2125" s="88" t="n">
        <v>480000</v>
      </c>
      <c r="P2125" s="88" t="n">
        <f aca="false">O2125/J2125</f>
        <v>9561.75298804781</v>
      </c>
      <c r="Q2125" s="83" t="s">
        <v>1486</v>
      </c>
      <c r="R2125" s="65" t="s">
        <v>36</v>
      </c>
      <c r="S2125" s="65" t="s">
        <v>29</v>
      </c>
      <c r="T2125" s="65" t="s">
        <v>30</v>
      </c>
      <c r="U2125" s="24" t="s">
        <v>31</v>
      </c>
      <c r="V2125" s="119" t="n">
        <v>43790</v>
      </c>
      <c r="W2125" s="18" t="s">
        <v>3229</v>
      </c>
      <c r="X2125" s="18"/>
    </row>
    <row r="2126" customFormat="false" ht="13.8" hidden="false" customHeight="false" outlineLevel="0" collapsed="false">
      <c r="A2126" s="18"/>
      <c r="B2126" s="62" t="n">
        <v>4220</v>
      </c>
      <c r="C2126" s="81" t="n">
        <v>43728</v>
      </c>
      <c r="D2126" s="64" t="s">
        <v>22</v>
      </c>
      <c r="E2126" s="65" t="s">
        <v>178</v>
      </c>
      <c r="F2126" s="18" t="s">
        <v>722</v>
      </c>
      <c r="G2126" s="62" t="n">
        <v>27</v>
      </c>
      <c r="H2126" s="62" t="n">
        <v>5</v>
      </c>
      <c r="I2126" s="62" t="n">
        <v>2</v>
      </c>
      <c r="J2126" s="62" t="n">
        <v>35.4</v>
      </c>
      <c r="K2126" s="66" t="n">
        <v>393000</v>
      </c>
      <c r="L2126" s="66" t="n">
        <f aca="false">K2126/J2126</f>
        <v>11101.6949152542</v>
      </c>
      <c r="M2126" s="18"/>
      <c r="N2126" s="54"/>
      <c r="O2126" s="66" t="n">
        <f aca="false">K2126+N2126</f>
        <v>393000</v>
      </c>
      <c r="P2126" s="88" t="n">
        <f aca="false">O2126/J2126</f>
        <v>11101.6949152542</v>
      </c>
      <c r="Q2126" s="62" t="s">
        <v>1181</v>
      </c>
      <c r="R2126" s="65" t="s">
        <v>27</v>
      </c>
      <c r="S2126" s="62" t="s">
        <v>29</v>
      </c>
      <c r="T2126" s="62" t="s">
        <v>30</v>
      </c>
      <c r="U2126" s="123" t="s">
        <v>31</v>
      </c>
      <c r="V2126" s="81" t="n">
        <v>43801</v>
      </c>
      <c r="W2126" s="18" t="s">
        <v>3230</v>
      </c>
      <c r="X2126" s="18"/>
    </row>
    <row r="2127" customFormat="false" ht="13.8" hidden="false" customHeight="false" outlineLevel="0" collapsed="false">
      <c r="A2127" s="18"/>
      <c r="B2127" s="62" t="n">
        <v>4963</v>
      </c>
      <c r="C2127" s="81" t="n">
        <v>43728</v>
      </c>
      <c r="D2127" s="64" t="s">
        <v>22</v>
      </c>
      <c r="E2127" s="65" t="s">
        <v>281</v>
      </c>
      <c r="F2127" s="18" t="s">
        <v>404</v>
      </c>
      <c r="G2127" s="62" t="n">
        <v>71</v>
      </c>
      <c r="H2127" s="62" t="n">
        <v>4</v>
      </c>
      <c r="I2127" s="62" t="n">
        <v>2</v>
      </c>
      <c r="J2127" s="62" t="n">
        <v>97.86</v>
      </c>
      <c r="K2127" s="66" t="n">
        <v>2250000</v>
      </c>
      <c r="L2127" s="66" t="n">
        <f aca="false">K2127/J2127</f>
        <v>22992.0294297977</v>
      </c>
      <c r="M2127" s="18"/>
      <c r="N2127" s="54"/>
      <c r="O2127" s="66" t="n">
        <f aca="false">K2127+N2127</f>
        <v>2250000</v>
      </c>
      <c r="P2127" s="88" t="n">
        <f aca="false">O2127/J2127</f>
        <v>22992.0294297977</v>
      </c>
      <c r="Q2127" s="62" t="s">
        <v>1136</v>
      </c>
      <c r="R2127" s="65" t="s">
        <v>26</v>
      </c>
      <c r="S2127" s="62" t="s">
        <v>29</v>
      </c>
      <c r="T2127" s="62" t="s">
        <v>30</v>
      </c>
      <c r="U2127" s="123" t="s">
        <v>31</v>
      </c>
      <c r="V2127" s="81" t="n">
        <v>43801</v>
      </c>
      <c r="W2127" s="18" t="s">
        <v>3231</v>
      </c>
      <c r="X2127" s="18"/>
    </row>
    <row r="2128" customFormat="false" ht="13.8" hidden="false" customHeight="false" outlineLevel="0" collapsed="false">
      <c r="A2128" s="18"/>
      <c r="B2128" s="65" t="s">
        <v>3232</v>
      </c>
      <c r="C2128" s="81" t="n">
        <v>43728</v>
      </c>
      <c r="D2128" s="115" t="s">
        <v>22</v>
      </c>
      <c r="E2128" s="65" t="s">
        <v>235</v>
      </c>
      <c r="F2128" s="82" t="s">
        <v>236</v>
      </c>
      <c r="G2128" s="65" t="s">
        <v>115</v>
      </c>
      <c r="H2128" s="65" t="s">
        <v>226</v>
      </c>
      <c r="I2128" s="65" t="s">
        <v>27</v>
      </c>
      <c r="J2128" s="83" t="n">
        <v>51.26</v>
      </c>
      <c r="K2128" s="84" t="n">
        <v>550000</v>
      </c>
      <c r="L2128" s="85" t="n">
        <f aca="false">K2128/J2128</f>
        <v>10729.6137339056</v>
      </c>
      <c r="M2128" s="90"/>
      <c r="N2128" s="87"/>
      <c r="O2128" s="88" t="n">
        <v>550000</v>
      </c>
      <c r="P2128" s="88" t="n">
        <v>10729.6137339056</v>
      </c>
      <c r="Q2128" s="83" t="s">
        <v>3233</v>
      </c>
      <c r="R2128" s="65" t="s">
        <v>36</v>
      </c>
      <c r="S2128" s="65" t="s">
        <v>29</v>
      </c>
      <c r="T2128" s="65" t="s">
        <v>30</v>
      </c>
      <c r="U2128" s="24" t="s">
        <v>31</v>
      </c>
      <c r="V2128" s="89" t="n">
        <v>43881</v>
      </c>
      <c r="W2128" s="18" t="s">
        <v>3234</v>
      </c>
      <c r="X2128" s="18"/>
    </row>
    <row r="2129" customFormat="false" ht="13.8" hidden="false" customHeight="false" outlineLevel="0" collapsed="false">
      <c r="A2129" s="18"/>
      <c r="B2129" s="62" t="n">
        <v>4194</v>
      </c>
      <c r="C2129" s="81" t="n">
        <v>43729</v>
      </c>
      <c r="D2129" s="64" t="s">
        <v>22</v>
      </c>
      <c r="E2129" s="65" t="s">
        <v>23</v>
      </c>
      <c r="F2129" s="18" t="s">
        <v>955</v>
      </c>
      <c r="G2129" s="62" t="n">
        <v>75</v>
      </c>
      <c r="H2129" s="62" t="n">
        <v>76</v>
      </c>
      <c r="I2129" s="62" t="n">
        <v>10</v>
      </c>
      <c r="J2129" s="62" t="n">
        <v>36.7</v>
      </c>
      <c r="K2129" s="66" t="n">
        <v>420000</v>
      </c>
      <c r="L2129" s="66" t="n">
        <f aca="false">K2129/J2129</f>
        <v>11444.1416893733</v>
      </c>
      <c r="M2129" s="18"/>
      <c r="N2129" s="54"/>
      <c r="O2129" s="66" t="n">
        <f aca="false">K2129+N2129</f>
        <v>420000</v>
      </c>
      <c r="P2129" s="88" t="n">
        <f aca="false">O2129/J2129</f>
        <v>11444.1416893733</v>
      </c>
      <c r="Q2129" s="62" t="s">
        <v>903</v>
      </c>
      <c r="R2129" s="65" t="s">
        <v>36</v>
      </c>
      <c r="S2129" s="62" t="s">
        <v>29</v>
      </c>
      <c r="T2129" s="62" t="s">
        <v>30</v>
      </c>
      <c r="U2129" s="123" t="s">
        <v>31</v>
      </c>
      <c r="V2129" s="81" t="n">
        <v>43801</v>
      </c>
      <c r="W2129" s="18" t="s">
        <v>3235</v>
      </c>
      <c r="X2129" s="18"/>
    </row>
    <row r="2130" customFormat="false" ht="13.8" hidden="false" customHeight="false" outlineLevel="0" collapsed="false">
      <c r="A2130" s="18"/>
      <c r="B2130" s="62" t="n">
        <v>2465</v>
      </c>
      <c r="C2130" s="81" t="n">
        <v>43729</v>
      </c>
      <c r="D2130" s="64" t="s">
        <v>22</v>
      </c>
      <c r="E2130" s="65" t="s">
        <v>251</v>
      </c>
      <c r="F2130" s="18" t="s">
        <v>76</v>
      </c>
      <c r="G2130" s="62" t="n">
        <v>366</v>
      </c>
      <c r="H2130" s="62" t="n">
        <v>40</v>
      </c>
      <c r="I2130" s="62" t="n">
        <v>7</v>
      </c>
      <c r="J2130" s="62" t="n">
        <v>57.4</v>
      </c>
      <c r="K2130" s="66" t="n">
        <v>490000</v>
      </c>
      <c r="L2130" s="66" t="n">
        <f aca="false">K2130/J2130</f>
        <v>8536.58536585366</v>
      </c>
      <c r="M2130" s="18"/>
      <c r="N2130" s="54"/>
      <c r="O2130" s="66" t="n">
        <f aca="false">K2130+N2130</f>
        <v>490000</v>
      </c>
      <c r="P2130" s="88" t="n">
        <f aca="false">O2130/J2130</f>
        <v>8536.58536585366</v>
      </c>
      <c r="Q2130" s="62" t="s">
        <v>861</v>
      </c>
      <c r="R2130" s="65" t="s">
        <v>26</v>
      </c>
      <c r="S2130" s="62" t="s">
        <v>29</v>
      </c>
      <c r="T2130" s="62" t="s">
        <v>30</v>
      </c>
      <c r="U2130" s="123" t="s">
        <v>31</v>
      </c>
      <c r="V2130" s="81" t="n">
        <v>43801</v>
      </c>
      <c r="W2130" s="18" t="s">
        <v>3236</v>
      </c>
      <c r="X2130" s="18"/>
    </row>
    <row r="2131" customFormat="false" ht="13.8" hidden="false" customHeight="false" outlineLevel="0" collapsed="false">
      <c r="A2131" s="18"/>
      <c r="B2131" s="62" t="n">
        <v>3697</v>
      </c>
      <c r="C2131" s="81" t="n">
        <v>43731</v>
      </c>
      <c r="D2131" s="115" t="s">
        <v>22</v>
      </c>
      <c r="E2131" s="65" t="s">
        <v>23</v>
      </c>
      <c r="F2131" s="82" t="s">
        <v>261</v>
      </c>
      <c r="G2131" s="65" t="s">
        <v>262</v>
      </c>
      <c r="H2131" s="112" t="n">
        <v>62</v>
      </c>
      <c r="I2131" s="112" t="n">
        <v>12</v>
      </c>
      <c r="J2131" s="83" t="n">
        <v>52.4</v>
      </c>
      <c r="K2131" s="84" t="n">
        <v>469000</v>
      </c>
      <c r="L2131" s="85" t="n">
        <f aca="false">K2131/J2131</f>
        <v>8950.38167938931</v>
      </c>
      <c r="M2131" s="114"/>
      <c r="N2131" s="93"/>
      <c r="O2131" s="88" t="n">
        <v>469000</v>
      </c>
      <c r="P2131" s="88" t="n">
        <f aca="false">O2131/J2131</f>
        <v>8950.38167938931</v>
      </c>
      <c r="Q2131" s="83" t="s">
        <v>1486</v>
      </c>
      <c r="R2131" s="65" t="s">
        <v>36</v>
      </c>
      <c r="S2131" s="118" t="s">
        <v>29</v>
      </c>
      <c r="T2131" s="83" t="s">
        <v>30</v>
      </c>
      <c r="U2131" s="24" t="s">
        <v>31</v>
      </c>
      <c r="V2131" s="119" t="n">
        <v>43790</v>
      </c>
      <c r="W2131" s="18" t="s">
        <v>3237</v>
      </c>
      <c r="X2131" s="18"/>
    </row>
    <row r="2132" customFormat="false" ht="13.8" hidden="false" customHeight="false" outlineLevel="0" collapsed="false">
      <c r="A2132" s="18"/>
      <c r="B2132" s="65" t="n">
        <v>16198</v>
      </c>
      <c r="C2132" s="81" t="n">
        <v>43731</v>
      </c>
      <c r="D2132" s="115" t="s">
        <v>22</v>
      </c>
      <c r="E2132" s="65" t="s">
        <v>72</v>
      </c>
      <c r="F2132" s="91" t="s">
        <v>244</v>
      </c>
      <c r="G2132" s="65" t="n">
        <v>27</v>
      </c>
      <c r="H2132" s="65" t="n">
        <v>6</v>
      </c>
      <c r="I2132" s="65" t="n">
        <v>1</v>
      </c>
      <c r="J2132" s="83" t="n">
        <v>42.9</v>
      </c>
      <c r="K2132" s="88" t="n">
        <v>570000</v>
      </c>
      <c r="L2132" s="85" t="n">
        <f aca="false">K2132/J2132</f>
        <v>13286.7132867133</v>
      </c>
      <c r="M2132" s="92" t="s">
        <v>1461</v>
      </c>
      <c r="N2132" s="93" t="n">
        <v>40000</v>
      </c>
      <c r="O2132" s="85" t="n">
        <v>610000</v>
      </c>
      <c r="P2132" s="88" t="n">
        <f aca="false">O2132/J2132</f>
        <v>14219.1142191142</v>
      </c>
      <c r="Q2132" s="94" t="s">
        <v>3238</v>
      </c>
      <c r="R2132" s="65" t="s">
        <v>27</v>
      </c>
      <c r="S2132" s="65" t="s">
        <v>29</v>
      </c>
      <c r="T2132" s="65" t="s">
        <v>30</v>
      </c>
      <c r="U2132" s="112" t="s">
        <v>31</v>
      </c>
      <c r="V2132" s="89" t="n">
        <v>43790</v>
      </c>
      <c r="W2132" s="18" t="s">
        <v>3239</v>
      </c>
      <c r="X2132" s="18"/>
      <c r="Y2132" s="116"/>
    </row>
    <row r="2133" customFormat="false" ht="13.8" hidden="false" customHeight="false" outlineLevel="0" collapsed="false">
      <c r="A2133" s="18"/>
      <c r="B2133" s="65" t="n">
        <v>4646</v>
      </c>
      <c r="C2133" s="81" t="n">
        <v>43731</v>
      </c>
      <c r="D2133" s="115" t="s">
        <v>22</v>
      </c>
      <c r="E2133" s="65" t="s">
        <v>281</v>
      </c>
      <c r="F2133" s="82" t="s">
        <v>404</v>
      </c>
      <c r="G2133" s="65" t="n">
        <v>97</v>
      </c>
      <c r="H2133" s="65" t="n">
        <v>17</v>
      </c>
      <c r="I2133" s="65" t="n">
        <v>3</v>
      </c>
      <c r="J2133" s="83" t="n">
        <v>33.29</v>
      </c>
      <c r="K2133" s="84" t="n">
        <v>410000</v>
      </c>
      <c r="L2133" s="85" t="n">
        <f aca="false">K2133/J2133</f>
        <v>12316.0108140583</v>
      </c>
      <c r="M2133" s="90" t="s">
        <v>2686</v>
      </c>
      <c r="N2133" s="87"/>
      <c r="O2133" s="88" t="n">
        <v>410000</v>
      </c>
      <c r="P2133" s="88" t="n">
        <f aca="false">O2133/J2133</f>
        <v>12316.0108140583</v>
      </c>
      <c r="Q2133" s="83" t="s">
        <v>1320</v>
      </c>
      <c r="R2133" s="65" t="s">
        <v>27</v>
      </c>
      <c r="S2133" s="65" t="s">
        <v>29</v>
      </c>
      <c r="T2133" s="65" t="s">
        <v>30</v>
      </c>
      <c r="U2133" s="24" t="s">
        <v>31</v>
      </c>
      <c r="V2133" s="119" t="n">
        <v>43790</v>
      </c>
      <c r="W2133" s="18" t="s">
        <v>3240</v>
      </c>
      <c r="X2133" s="18"/>
    </row>
    <row r="2134" customFormat="false" ht="13.8" hidden="false" customHeight="false" outlineLevel="0" collapsed="false">
      <c r="A2134" s="18"/>
      <c r="B2134" s="62" t="n">
        <v>16090</v>
      </c>
      <c r="C2134" s="81" t="n">
        <v>43731</v>
      </c>
      <c r="D2134" s="115" t="s">
        <v>22</v>
      </c>
      <c r="E2134" s="65" t="s">
        <v>72</v>
      </c>
      <c r="F2134" s="82" t="s">
        <v>244</v>
      </c>
      <c r="G2134" s="65" t="n">
        <v>27</v>
      </c>
      <c r="H2134" s="112" t="n">
        <v>24</v>
      </c>
      <c r="I2134" s="112" t="n">
        <v>4</v>
      </c>
      <c r="J2134" s="83" t="n">
        <v>79.4</v>
      </c>
      <c r="K2134" s="84" t="n">
        <v>910000</v>
      </c>
      <c r="L2134" s="85" t="n">
        <f aca="false">K2134/J2134</f>
        <v>11460.9571788413</v>
      </c>
      <c r="M2134" s="114" t="s">
        <v>3241</v>
      </c>
      <c r="N2134" s="93"/>
      <c r="O2134" s="88" t="n">
        <v>910000</v>
      </c>
      <c r="P2134" s="88" t="n">
        <f aca="false">O2134/J2134</f>
        <v>11460.9571788413</v>
      </c>
      <c r="Q2134" s="83" t="s">
        <v>3242</v>
      </c>
      <c r="R2134" s="65" t="s">
        <v>36</v>
      </c>
      <c r="S2134" s="118" t="s">
        <v>29</v>
      </c>
      <c r="T2134" s="83" t="s">
        <v>30</v>
      </c>
      <c r="U2134" s="24" t="s">
        <v>31</v>
      </c>
      <c r="V2134" s="119" t="n">
        <v>43790</v>
      </c>
      <c r="W2134" s="18" t="s">
        <v>3243</v>
      </c>
      <c r="X2134" s="18"/>
    </row>
    <row r="2135" customFormat="false" ht="13.8" hidden="false" customHeight="false" outlineLevel="0" collapsed="false">
      <c r="A2135" s="18"/>
      <c r="B2135" s="62" t="n">
        <v>9479</v>
      </c>
      <c r="C2135" s="81" t="n">
        <v>43731</v>
      </c>
      <c r="D2135" s="115" t="s">
        <v>22</v>
      </c>
      <c r="E2135" s="65" t="s">
        <v>203</v>
      </c>
      <c r="F2135" s="82" t="s">
        <v>138</v>
      </c>
      <c r="G2135" s="65" t="n">
        <v>8</v>
      </c>
      <c r="H2135" s="112" t="n">
        <v>401</v>
      </c>
      <c r="I2135" s="112" t="n">
        <v>5</v>
      </c>
      <c r="J2135" s="83" t="n">
        <v>42.04</v>
      </c>
      <c r="K2135" s="84" t="n">
        <v>520000</v>
      </c>
      <c r="L2135" s="85" t="n">
        <f aca="false">K2135/J2135</f>
        <v>12369.1722169363</v>
      </c>
      <c r="M2135" s="114"/>
      <c r="N2135" s="93"/>
      <c r="O2135" s="88" t="n">
        <v>520000</v>
      </c>
      <c r="P2135" s="88" t="n">
        <f aca="false">O2135/J2135</f>
        <v>12369.1722169363</v>
      </c>
      <c r="Q2135" s="83" t="s">
        <v>3244</v>
      </c>
      <c r="R2135" s="65" t="s">
        <v>36</v>
      </c>
      <c r="S2135" s="118" t="s">
        <v>29</v>
      </c>
      <c r="T2135" s="83" t="s">
        <v>30</v>
      </c>
      <c r="U2135" s="24" t="s">
        <v>31</v>
      </c>
      <c r="V2135" s="119" t="n">
        <v>43790</v>
      </c>
      <c r="W2135" s="18" t="s">
        <v>3245</v>
      </c>
      <c r="X2135" s="18"/>
    </row>
    <row r="2136" customFormat="false" ht="13.8" hidden="false" customHeight="false" outlineLevel="0" collapsed="false">
      <c r="A2136" s="18"/>
      <c r="B2136" s="62" t="n">
        <v>2843</v>
      </c>
      <c r="C2136" s="81" t="n">
        <v>43731</v>
      </c>
      <c r="D2136" s="64" t="s">
        <v>22</v>
      </c>
      <c r="E2136" s="65" t="s">
        <v>278</v>
      </c>
      <c r="F2136" s="18" t="s">
        <v>416</v>
      </c>
      <c r="G2136" s="62" t="n">
        <v>4</v>
      </c>
      <c r="H2136" s="62" t="n">
        <v>36</v>
      </c>
      <c r="I2136" s="62" t="n">
        <v>1</v>
      </c>
      <c r="J2136" s="62" t="n">
        <v>45.61</v>
      </c>
      <c r="K2136" s="66" t="n">
        <v>399000</v>
      </c>
      <c r="L2136" s="66" t="n">
        <f aca="false">K2136/J2136</f>
        <v>8748.08156106117</v>
      </c>
      <c r="M2136" s="18"/>
      <c r="N2136" s="54"/>
      <c r="O2136" s="66" t="n">
        <f aca="false">K2136+N2136</f>
        <v>399000</v>
      </c>
      <c r="P2136" s="88" t="n">
        <f aca="false">O2136/J2136</f>
        <v>8748.08156106117</v>
      </c>
      <c r="Q2136" s="62" t="s">
        <v>861</v>
      </c>
      <c r="R2136" s="65" t="s">
        <v>26</v>
      </c>
      <c r="S2136" s="62" t="s">
        <v>29</v>
      </c>
      <c r="T2136" s="62" t="s">
        <v>30</v>
      </c>
      <c r="U2136" s="123" t="s">
        <v>31</v>
      </c>
      <c r="V2136" s="81" t="n">
        <v>43801</v>
      </c>
      <c r="W2136" s="18" t="s">
        <v>3246</v>
      </c>
      <c r="X2136" s="18"/>
    </row>
    <row r="2137" customFormat="false" ht="13.8" hidden="false" customHeight="false" outlineLevel="0" collapsed="false">
      <c r="A2137" s="18"/>
      <c r="B2137" s="62" t="n">
        <v>1264</v>
      </c>
      <c r="C2137" s="81" t="n">
        <v>43731</v>
      </c>
      <c r="D2137" s="64" t="s">
        <v>22</v>
      </c>
      <c r="E2137" s="65" t="s">
        <v>113</v>
      </c>
      <c r="F2137" s="18" t="s">
        <v>2543</v>
      </c>
      <c r="G2137" s="62" t="n">
        <v>46</v>
      </c>
      <c r="H2137" s="62" t="n">
        <v>27</v>
      </c>
      <c r="I2137" s="62" t="n">
        <v>3</v>
      </c>
      <c r="J2137" s="62" t="n">
        <v>48.1</v>
      </c>
      <c r="K2137" s="66" t="n">
        <v>408000</v>
      </c>
      <c r="L2137" s="66" t="n">
        <f aca="false">K2137/J2137</f>
        <v>8482.32848232848</v>
      </c>
      <c r="M2137" s="18" t="s">
        <v>3247</v>
      </c>
      <c r="N2137" s="54"/>
      <c r="O2137" s="66" t="n">
        <f aca="false">K2137+N2137</f>
        <v>408000</v>
      </c>
      <c r="P2137" s="88" t="n">
        <f aca="false">O2137/J2137</f>
        <v>8482.32848232848</v>
      </c>
      <c r="Q2137" s="62" t="s">
        <v>861</v>
      </c>
      <c r="R2137" s="65" t="s">
        <v>26</v>
      </c>
      <c r="S2137" s="62" t="s">
        <v>29</v>
      </c>
      <c r="T2137" s="62" t="s">
        <v>30</v>
      </c>
      <c r="U2137" s="123" t="s">
        <v>31</v>
      </c>
      <c r="V2137" s="81" t="n">
        <v>43801</v>
      </c>
      <c r="W2137" s="18" t="s">
        <v>3248</v>
      </c>
      <c r="X2137" s="18"/>
    </row>
    <row r="2138" customFormat="false" ht="13.8" hidden="false" customHeight="false" outlineLevel="0" collapsed="false">
      <c r="A2138" s="18"/>
      <c r="B2138" s="62" t="n">
        <v>3387</v>
      </c>
      <c r="C2138" s="81" t="n">
        <v>43731</v>
      </c>
      <c r="D2138" s="64" t="s">
        <v>22</v>
      </c>
      <c r="E2138" s="65" t="s">
        <v>171</v>
      </c>
      <c r="F2138" s="18" t="s">
        <v>172</v>
      </c>
      <c r="G2138" s="65" t="s">
        <v>173</v>
      </c>
      <c r="H2138" s="62" t="n">
        <v>145</v>
      </c>
      <c r="I2138" s="62" t="n">
        <v>11</v>
      </c>
      <c r="J2138" s="62" t="n">
        <v>41.8</v>
      </c>
      <c r="K2138" s="66" t="n">
        <v>340000</v>
      </c>
      <c r="L2138" s="66" t="n">
        <f aca="false">K2138/J2138</f>
        <v>8133.97129186603</v>
      </c>
      <c r="M2138" s="18"/>
      <c r="N2138" s="54"/>
      <c r="O2138" s="66" t="n">
        <f aca="false">K2138+N2138</f>
        <v>340000</v>
      </c>
      <c r="P2138" s="88" t="n">
        <f aca="false">O2138/J2138</f>
        <v>8133.97129186603</v>
      </c>
      <c r="Q2138" s="62" t="s">
        <v>903</v>
      </c>
      <c r="R2138" s="65" t="s">
        <v>36</v>
      </c>
      <c r="S2138" s="62" t="s">
        <v>29</v>
      </c>
      <c r="T2138" s="62" t="s">
        <v>30</v>
      </c>
      <c r="U2138" s="123" t="s">
        <v>31</v>
      </c>
      <c r="V2138" s="81" t="n">
        <v>43801</v>
      </c>
      <c r="W2138" s="18" t="s">
        <v>3249</v>
      </c>
      <c r="X2138" s="18"/>
    </row>
    <row r="2139" customFormat="false" ht="13.8" hidden="false" customHeight="false" outlineLevel="0" collapsed="false">
      <c r="A2139" s="18"/>
      <c r="B2139" s="62" t="n">
        <v>6808</v>
      </c>
      <c r="C2139" s="81" t="n">
        <v>43731</v>
      </c>
      <c r="D2139" s="64" t="s">
        <v>22</v>
      </c>
      <c r="E2139" s="65" t="s">
        <v>399</v>
      </c>
      <c r="F2139" s="18" t="s">
        <v>549</v>
      </c>
      <c r="G2139" s="62" t="n">
        <v>3</v>
      </c>
      <c r="H2139" s="62" t="n">
        <v>76</v>
      </c>
      <c r="I2139" s="62" t="n">
        <v>10</v>
      </c>
      <c r="J2139" s="62" t="n">
        <v>91.6</v>
      </c>
      <c r="K2139" s="66" t="n">
        <v>840000</v>
      </c>
      <c r="L2139" s="66" t="n">
        <f aca="false">K2139/J2139</f>
        <v>9170.3056768559</v>
      </c>
      <c r="M2139" s="18" t="s">
        <v>3250</v>
      </c>
      <c r="N2139" s="54" t="n">
        <v>40000</v>
      </c>
      <c r="O2139" s="66" t="n">
        <f aca="false">K2139+N2139</f>
        <v>880000</v>
      </c>
      <c r="P2139" s="88" t="n">
        <f aca="false">O2139/J2139</f>
        <v>9606.98689956332</v>
      </c>
      <c r="Q2139" s="62" t="s">
        <v>3251</v>
      </c>
      <c r="R2139" s="65" t="s">
        <v>49</v>
      </c>
      <c r="S2139" s="62" t="s">
        <v>29</v>
      </c>
      <c r="T2139" s="62" t="s">
        <v>30</v>
      </c>
      <c r="U2139" s="123" t="s">
        <v>31</v>
      </c>
      <c r="V2139" s="81" t="n">
        <v>43801</v>
      </c>
      <c r="W2139" s="18" t="s">
        <v>3252</v>
      </c>
      <c r="X2139" s="18"/>
    </row>
    <row r="2140" customFormat="false" ht="13.8" hidden="false" customHeight="false" outlineLevel="0" collapsed="false">
      <c r="A2140" s="18"/>
      <c r="B2140" s="62" t="n">
        <v>9002</v>
      </c>
      <c r="C2140" s="81" t="n">
        <v>43731</v>
      </c>
      <c r="D2140" s="64" t="s">
        <v>22</v>
      </c>
      <c r="E2140" s="65" t="s">
        <v>543</v>
      </c>
      <c r="F2140" s="18" t="s">
        <v>1991</v>
      </c>
      <c r="G2140" s="62" t="n">
        <v>49</v>
      </c>
      <c r="H2140" s="62" t="n">
        <v>75</v>
      </c>
      <c r="I2140" s="62" t="n">
        <v>10</v>
      </c>
      <c r="J2140" s="62" t="n">
        <v>37.02</v>
      </c>
      <c r="K2140" s="66" t="n">
        <v>399000</v>
      </c>
      <c r="L2140" s="66" t="n">
        <f aca="false">K2140/J2140</f>
        <v>10777.9578606159</v>
      </c>
      <c r="M2140" s="18"/>
      <c r="N2140" s="54"/>
      <c r="O2140" s="66" t="n">
        <f aca="false">K2140+N2140</f>
        <v>399000</v>
      </c>
      <c r="P2140" s="88" t="n">
        <f aca="false">O2140/J2140</f>
        <v>10777.9578606159</v>
      </c>
      <c r="Q2140" s="62" t="s">
        <v>903</v>
      </c>
      <c r="R2140" s="65" t="s">
        <v>36</v>
      </c>
      <c r="S2140" s="62" t="s">
        <v>29</v>
      </c>
      <c r="T2140" s="62" t="s">
        <v>30</v>
      </c>
      <c r="U2140" s="123" t="s">
        <v>31</v>
      </c>
      <c r="V2140" s="81" t="n">
        <v>43801</v>
      </c>
      <c r="W2140" s="18" t="s">
        <v>2130</v>
      </c>
      <c r="X2140" s="18"/>
    </row>
    <row r="2141" customFormat="false" ht="13.8" hidden="false" customHeight="false" outlineLevel="0" collapsed="false">
      <c r="A2141" s="18"/>
      <c r="B2141" s="65" t="n">
        <v>4452</v>
      </c>
      <c r="C2141" s="81" t="n">
        <v>43732</v>
      </c>
      <c r="D2141" s="115" t="s">
        <v>22</v>
      </c>
      <c r="E2141" s="65" t="s">
        <v>129</v>
      </c>
      <c r="F2141" s="91" t="s">
        <v>1072</v>
      </c>
      <c r="G2141" s="65" t="s">
        <v>223</v>
      </c>
      <c r="H2141" s="65" t="n">
        <v>61</v>
      </c>
      <c r="I2141" s="65" t="n">
        <v>6</v>
      </c>
      <c r="J2141" s="83" t="n">
        <v>40.3</v>
      </c>
      <c r="K2141" s="84" t="n">
        <v>337000</v>
      </c>
      <c r="L2141" s="85" t="n">
        <f aca="false">K2141/J2141</f>
        <v>8362.28287841191</v>
      </c>
      <c r="M2141" s="92"/>
      <c r="N2141" s="93"/>
      <c r="O2141" s="88" t="n">
        <v>337000</v>
      </c>
      <c r="P2141" s="88" t="n">
        <f aca="false">O2141/J2141</f>
        <v>8362.28287841191</v>
      </c>
      <c r="Q2141" s="65" t="s">
        <v>1486</v>
      </c>
      <c r="R2141" s="65" t="s">
        <v>36</v>
      </c>
      <c r="S2141" s="65" t="s">
        <v>29</v>
      </c>
      <c r="T2141" s="65" t="s">
        <v>30</v>
      </c>
      <c r="U2141" s="24" t="s">
        <v>31</v>
      </c>
      <c r="V2141" s="89" t="n">
        <v>43790</v>
      </c>
      <c r="W2141" s="18" t="s">
        <v>3253</v>
      </c>
      <c r="X2141" s="18"/>
    </row>
    <row r="2142" customFormat="false" ht="13.8" hidden="false" customHeight="false" outlineLevel="0" collapsed="false">
      <c r="A2142" s="18"/>
      <c r="B2142" s="65" t="n">
        <v>3575</v>
      </c>
      <c r="C2142" s="81" t="n">
        <v>43732</v>
      </c>
      <c r="D2142" s="115" t="s">
        <v>22</v>
      </c>
      <c r="E2142" s="65" t="s">
        <v>80</v>
      </c>
      <c r="F2142" s="82" t="s">
        <v>81</v>
      </c>
      <c r="G2142" s="65" t="n">
        <v>3</v>
      </c>
      <c r="H2142" s="65" t="n">
        <v>48</v>
      </c>
      <c r="I2142" s="65" t="n">
        <v>5</v>
      </c>
      <c r="J2142" s="83" t="n">
        <v>31.07</v>
      </c>
      <c r="K2142" s="84" t="n">
        <v>228000</v>
      </c>
      <c r="L2142" s="85" t="n">
        <f aca="false">K2142/J2142</f>
        <v>7338.26842613454</v>
      </c>
      <c r="M2142" s="90" t="s">
        <v>3254</v>
      </c>
      <c r="N2142" s="87" t="n">
        <v>45000</v>
      </c>
      <c r="O2142" s="88" t="n">
        <v>273000</v>
      </c>
      <c r="P2142" s="88" t="n">
        <f aca="false">O2142/J2142</f>
        <v>8786.61087866109</v>
      </c>
      <c r="Q2142" s="83" t="s">
        <v>3255</v>
      </c>
      <c r="R2142" s="65" t="s">
        <v>27</v>
      </c>
      <c r="S2142" s="65" t="s">
        <v>29</v>
      </c>
      <c r="T2142" s="65" t="s">
        <v>30</v>
      </c>
      <c r="U2142" s="24" t="s">
        <v>31</v>
      </c>
      <c r="V2142" s="119" t="n">
        <v>43790</v>
      </c>
      <c r="W2142" s="18" t="s">
        <v>3256</v>
      </c>
      <c r="X2142" s="18"/>
    </row>
    <row r="2143" customFormat="false" ht="13.8" hidden="false" customHeight="false" outlineLevel="0" collapsed="false">
      <c r="A2143" s="18"/>
      <c r="B2143" s="62" t="n">
        <v>5817</v>
      </c>
      <c r="C2143" s="81" t="n">
        <v>43732</v>
      </c>
      <c r="D2143" s="64" t="s">
        <v>22</v>
      </c>
      <c r="E2143" s="65" t="s">
        <v>198</v>
      </c>
      <c r="F2143" s="18" t="s">
        <v>199</v>
      </c>
      <c r="G2143" s="62" t="s">
        <v>1001</v>
      </c>
      <c r="H2143" s="62" t="n">
        <v>8</v>
      </c>
      <c r="I2143" s="62" t="n">
        <v>2</v>
      </c>
      <c r="J2143" s="62" t="n">
        <v>50.89</v>
      </c>
      <c r="K2143" s="66" t="n">
        <v>634000</v>
      </c>
      <c r="L2143" s="66" t="n">
        <f aca="false">K2143/J2143</f>
        <v>12458.2432697976</v>
      </c>
      <c r="M2143" s="18" t="s">
        <v>3257</v>
      </c>
      <c r="N2143" s="54"/>
      <c r="O2143" s="66" t="n">
        <f aca="false">K2143+N2143</f>
        <v>634000</v>
      </c>
      <c r="P2143" s="88" t="n">
        <f aca="false">O2143/J2143</f>
        <v>12458.2432697976</v>
      </c>
      <c r="Q2143" s="62" t="s">
        <v>1224</v>
      </c>
      <c r="R2143" s="65" t="s">
        <v>27</v>
      </c>
      <c r="S2143" s="62" t="s">
        <v>29</v>
      </c>
      <c r="T2143" s="62" t="s">
        <v>30</v>
      </c>
      <c r="U2143" s="123" t="s">
        <v>31</v>
      </c>
      <c r="V2143" s="81" t="n">
        <v>43801</v>
      </c>
      <c r="W2143" s="18" t="s">
        <v>3258</v>
      </c>
      <c r="X2143" s="18"/>
    </row>
    <row r="2144" customFormat="false" ht="13.8" hidden="false" customHeight="false" outlineLevel="0" collapsed="false">
      <c r="A2144" s="18"/>
      <c r="B2144" s="62" t="n">
        <v>1902</v>
      </c>
      <c r="C2144" s="81" t="n">
        <v>43732</v>
      </c>
      <c r="D2144" s="64" t="s">
        <v>22</v>
      </c>
      <c r="E2144" s="65" t="s">
        <v>354</v>
      </c>
      <c r="F2144" s="18" t="s">
        <v>191</v>
      </c>
      <c r="G2144" s="62" t="s">
        <v>802</v>
      </c>
      <c r="H2144" s="62" t="n">
        <v>91</v>
      </c>
      <c r="I2144" s="62" t="n">
        <v>1</v>
      </c>
      <c r="J2144" s="62" t="n">
        <v>30.28</v>
      </c>
      <c r="K2144" s="66" t="n">
        <v>300000</v>
      </c>
      <c r="L2144" s="66" t="n">
        <f aca="false">K2144/J2144</f>
        <v>9907.52972258917</v>
      </c>
      <c r="M2144" s="18"/>
      <c r="N2144" s="54"/>
      <c r="O2144" s="66" t="n">
        <f aca="false">K2144+N2144</f>
        <v>300000</v>
      </c>
      <c r="P2144" s="88" t="n">
        <f aca="false">O2144/J2144</f>
        <v>9907.52972258917</v>
      </c>
      <c r="Q2144" s="62" t="s">
        <v>1274</v>
      </c>
      <c r="R2144" s="65" t="s">
        <v>27</v>
      </c>
      <c r="S2144" s="62" t="s">
        <v>29</v>
      </c>
      <c r="T2144" s="62" t="s">
        <v>30</v>
      </c>
      <c r="U2144" s="123" t="s">
        <v>31</v>
      </c>
      <c r="V2144" s="81" t="n">
        <v>43801</v>
      </c>
      <c r="W2144" s="18" t="s">
        <v>3259</v>
      </c>
      <c r="X2144" s="18"/>
    </row>
    <row r="2145" customFormat="false" ht="13.8" hidden="false" customHeight="false" outlineLevel="0" collapsed="false">
      <c r="A2145" s="18"/>
      <c r="B2145" s="62" t="n">
        <v>1138</v>
      </c>
      <c r="C2145" s="81" t="n">
        <v>43732</v>
      </c>
      <c r="D2145" s="64" t="s">
        <v>22</v>
      </c>
      <c r="E2145" s="65" t="s">
        <v>190</v>
      </c>
      <c r="F2145" s="18" t="s">
        <v>386</v>
      </c>
      <c r="G2145" s="62" t="n">
        <v>7</v>
      </c>
      <c r="H2145" s="62" t="n">
        <v>2</v>
      </c>
      <c r="I2145" s="62"/>
      <c r="J2145" s="62" t="n">
        <v>37.97</v>
      </c>
      <c r="K2145" s="66" t="n">
        <v>345000</v>
      </c>
      <c r="L2145" s="66" t="n">
        <f aca="false">K2145/J2145</f>
        <v>9086.12062154332</v>
      </c>
      <c r="M2145" s="18"/>
      <c r="N2145" s="54"/>
      <c r="O2145" s="66" t="n">
        <f aca="false">K2145+N2145</f>
        <v>345000</v>
      </c>
      <c r="P2145" s="88" t="n">
        <f aca="false">O2145/J2145</f>
        <v>9086.12062154332</v>
      </c>
      <c r="Q2145" s="62" t="s">
        <v>3260</v>
      </c>
      <c r="R2145" s="65" t="s">
        <v>27</v>
      </c>
      <c r="S2145" s="62" t="s">
        <v>29</v>
      </c>
      <c r="T2145" s="62" t="s">
        <v>30</v>
      </c>
      <c r="U2145" s="123" t="s">
        <v>31</v>
      </c>
      <c r="V2145" s="81" t="n">
        <v>43801</v>
      </c>
      <c r="W2145" s="18" t="s">
        <v>3261</v>
      </c>
      <c r="X2145" s="18"/>
    </row>
    <row r="2146" customFormat="false" ht="13.8" hidden="false" customHeight="false" outlineLevel="0" collapsed="false">
      <c r="A2146" s="18"/>
      <c r="B2146" s="65" t="n">
        <v>2166</v>
      </c>
      <c r="C2146" s="81" t="n">
        <v>43733</v>
      </c>
      <c r="D2146" s="115" t="s">
        <v>22</v>
      </c>
      <c r="E2146" s="65" t="s">
        <v>198</v>
      </c>
      <c r="F2146" s="82" t="s">
        <v>2191</v>
      </c>
      <c r="G2146" s="65" t="s">
        <v>912</v>
      </c>
      <c r="H2146" s="65" t="n">
        <v>30</v>
      </c>
      <c r="I2146" s="65" t="n">
        <v>3</v>
      </c>
      <c r="J2146" s="83" t="n">
        <v>77.42</v>
      </c>
      <c r="K2146" s="84" t="n">
        <v>895000</v>
      </c>
      <c r="L2146" s="85" t="n">
        <f aca="false">K2146/J2146</f>
        <v>11560.3203306639</v>
      </c>
      <c r="M2146" s="86" t="s">
        <v>3262</v>
      </c>
      <c r="N2146" s="87"/>
      <c r="O2146" s="88" t="n">
        <v>895000</v>
      </c>
      <c r="P2146" s="88" t="n">
        <f aca="false">O2146/J2146</f>
        <v>11560.3203306639</v>
      </c>
      <c r="Q2146" s="83" t="s">
        <v>3263</v>
      </c>
      <c r="R2146" s="65" t="s">
        <v>26</v>
      </c>
      <c r="S2146" s="65" t="s">
        <v>29</v>
      </c>
      <c r="T2146" s="65" t="s">
        <v>30</v>
      </c>
      <c r="U2146" s="24" t="s">
        <v>31</v>
      </c>
      <c r="V2146" s="89" t="n">
        <v>43790</v>
      </c>
      <c r="W2146" s="18" t="s">
        <v>3264</v>
      </c>
      <c r="X2146" s="18"/>
    </row>
    <row r="2147" customFormat="false" ht="13.8" hidden="false" customHeight="false" outlineLevel="0" collapsed="false">
      <c r="A2147" s="18"/>
      <c r="B2147" s="62" t="n">
        <v>3752</v>
      </c>
      <c r="C2147" s="81" t="n">
        <v>43733</v>
      </c>
      <c r="D2147" s="115" t="s">
        <v>22</v>
      </c>
      <c r="E2147" s="65" t="s">
        <v>543</v>
      </c>
      <c r="F2147" s="82" t="s">
        <v>3265</v>
      </c>
      <c r="G2147" s="65" t="n">
        <v>4</v>
      </c>
      <c r="H2147" s="112" t="n">
        <v>46</v>
      </c>
      <c r="I2147" s="112" t="n">
        <v>3</v>
      </c>
      <c r="J2147" s="83" t="n">
        <v>46.62</v>
      </c>
      <c r="K2147" s="84" t="n">
        <v>442000</v>
      </c>
      <c r="L2147" s="85" t="n">
        <f aca="false">K2147/J2147</f>
        <v>9480.90948090948</v>
      </c>
      <c r="M2147" s="114"/>
      <c r="N2147" s="93"/>
      <c r="O2147" s="88" t="n">
        <v>442000</v>
      </c>
      <c r="P2147" s="88" t="n">
        <f aca="false">O2147/J2147</f>
        <v>9480.90948090948</v>
      </c>
      <c r="Q2147" s="83" t="s">
        <v>1340</v>
      </c>
      <c r="R2147" s="65" t="s">
        <v>26</v>
      </c>
      <c r="S2147" s="118" t="s">
        <v>29</v>
      </c>
      <c r="T2147" s="83" t="s">
        <v>30</v>
      </c>
      <c r="U2147" s="24" t="s">
        <v>31</v>
      </c>
      <c r="V2147" s="119" t="n">
        <v>43790</v>
      </c>
      <c r="W2147" s="18" t="s">
        <v>3266</v>
      </c>
      <c r="X2147" s="18"/>
    </row>
    <row r="2148" customFormat="false" ht="13.8" hidden="false" customHeight="false" outlineLevel="0" collapsed="false">
      <c r="A2148" s="18"/>
      <c r="B2148" s="62" t="n">
        <v>4653</v>
      </c>
      <c r="C2148" s="81" t="n">
        <v>43733</v>
      </c>
      <c r="D2148" s="64" t="s">
        <v>22</v>
      </c>
      <c r="E2148" s="65" t="s">
        <v>399</v>
      </c>
      <c r="F2148" s="18" t="s">
        <v>483</v>
      </c>
      <c r="G2148" s="62" t="n">
        <v>8</v>
      </c>
      <c r="H2148" s="62" t="n">
        <v>7</v>
      </c>
      <c r="I2148" s="62" t="n">
        <v>4</v>
      </c>
      <c r="J2148" s="62" t="n">
        <v>103.17</v>
      </c>
      <c r="K2148" s="66" t="n">
        <v>1150000</v>
      </c>
      <c r="L2148" s="66" t="n">
        <f aca="false">K2148/J2148</f>
        <v>11146.6511582824</v>
      </c>
      <c r="M2148" s="18" t="s">
        <v>3267</v>
      </c>
      <c r="N2148" s="54" t="n">
        <v>50000</v>
      </c>
      <c r="O2148" s="66" t="n">
        <f aca="false">K2148+N2148</f>
        <v>1200000</v>
      </c>
      <c r="P2148" s="88" t="n">
        <f aca="false">O2148/J2148</f>
        <v>11631.2881651643</v>
      </c>
      <c r="Q2148" s="62" t="s">
        <v>3268</v>
      </c>
      <c r="R2148" s="65" t="s">
        <v>26</v>
      </c>
      <c r="S2148" s="62" t="s">
        <v>29</v>
      </c>
      <c r="T2148" s="62" t="s">
        <v>30</v>
      </c>
      <c r="U2148" s="123" t="s">
        <v>31</v>
      </c>
      <c r="V2148" s="81" t="n">
        <v>43801</v>
      </c>
      <c r="W2148" s="18" t="s">
        <v>3269</v>
      </c>
      <c r="X2148" s="18"/>
    </row>
    <row r="2149" customFormat="false" ht="13.8" hidden="false" customHeight="false" outlineLevel="0" collapsed="false">
      <c r="A2149" s="18"/>
      <c r="B2149" s="62" t="n">
        <v>20041</v>
      </c>
      <c r="C2149" s="81" t="n">
        <v>43733</v>
      </c>
      <c r="D2149" s="64" t="s">
        <v>22</v>
      </c>
      <c r="E2149" s="65" t="s">
        <v>178</v>
      </c>
      <c r="F2149" s="18" t="s">
        <v>387</v>
      </c>
      <c r="G2149" s="62" t="n">
        <v>67</v>
      </c>
      <c r="H2149" s="62" t="n">
        <v>62</v>
      </c>
      <c r="I2149" s="62" t="n">
        <v>1</v>
      </c>
      <c r="J2149" s="62" t="n">
        <v>52.13</v>
      </c>
      <c r="K2149" s="66" t="n">
        <v>500000</v>
      </c>
      <c r="L2149" s="66" t="n">
        <f aca="false">K2149/J2149</f>
        <v>9591.40610013428</v>
      </c>
      <c r="M2149" s="18"/>
      <c r="N2149" s="54"/>
      <c r="O2149" s="66" t="n">
        <f aca="false">K2149+N2149</f>
        <v>500000</v>
      </c>
      <c r="P2149" s="88" t="n">
        <f aca="false">O2149/J2149</f>
        <v>9591.40610013428</v>
      </c>
      <c r="Q2149" s="62" t="s">
        <v>3157</v>
      </c>
      <c r="R2149" s="65" t="s">
        <v>36</v>
      </c>
      <c r="S2149" s="62" t="s">
        <v>29</v>
      </c>
      <c r="T2149" s="62" t="s">
        <v>30</v>
      </c>
      <c r="U2149" s="123" t="s">
        <v>31</v>
      </c>
      <c r="V2149" s="81" t="n">
        <v>43801</v>
      </c>
      <c r="W2149" s="18" t="s">
        <v>3270</v>
      </c>
      <c r="X2149" s="18"/>
    </row>
    <row r="2150" customFormat="false" ht="13.8" hidden="false" customHeight="false" outlineLevel="0" collapsed="false">
      <c r="A2150" s="18"/>
      <c r="B2150" s="62" t="n">
        <v>4645</v>
      </c>
      <c r="C2150" s="81" t="n">
        <v>43733</v>
      </c>
      <c r="D2150" s="64" t="s">
        <v>22</v>
      </c>
      <c r="E2150" s="65" t="s">
        <v>399</v>
      </c>
      <c r="F2150" s="18" t="s">
        <v>549</v>
      </c>
      <c r="G2150" s="62" t="n">
        <v>3</v>
      </c>
      <c r="H2150" s="62" t="n">
        <v>85</v>
      </c>
      <c r="I2150" s="62" t="n">
        <v>5</v>
      </c>
      <c r="J2150" s="62" t="n">
        <v>58.2</v>
      </c>
      <c r="K2150" s="66" t="n">
        <v>600000</v>
      </c>
      <c r="L2150" s="66" t="n">
        <f aca="false">K2150/J2150</f>
        <v>10309.2783505155</v>
      </c>
      <c r="M2150" s="18" t="s">
        <v>3271</v>
      </c>
      <c r="N2150" s="54" t="n">
        <v>50000</v>
      </c>
      <c r="O2150" s="66" t="n">
        <f aca="false">K2150+N2150</f>
        <v>650000</v>
      </c>
      <c r="P2150" s="88" t="n">
        <f aca="false">O2150/J2150</f>
        <v>11168.3848797251</v>
      </c>
      <c r="Q2150" s="62" t="s">
        <v>3157</v>
      </c>
      <c r="R2150" s="65" t="s">
        <v>36</v>
      </c>
      <c r="S2150" s="62" t="s">
        <v>29</v>
      </c>
      <c r="T2150" s="62" t="s">
        <v>30</v>
      </c>
      <c r="U2150" s="123" t="s">
        <v>31</v>
      </c>
      <c r="V2150" s="81" t="n">
        <v>43801</v>
      </c>
      <c r="W2150" s="18" t="s">
        <v>3272</v>
      </c>
      <c r="X2150" s="18"/>
    </row>
    <row r="2151" customFormat="false" ht="13.8" hidden="false" customHeight="false" outlineLevel="0" collapsed="false">
      <c r="A2151" s="18"/>
      <c r="B2151" s="65" t="n">
        <v>16508</v>
      </c>
      <c r="C2151" s="81" t="n">
        <v>43734</v>
      </c>
      <c r="D2151" s="115" t="s">
        <v>22</v>
      </c>
      <c r="E2151" s="65" t="s">
        <v>190</v>
      </c>
      <c r="F2151" s="91" t="s">
        <v>591</v>
      </c>
      <c r="G2151" s="65" t="n">
        <v>15</v>
      </c>
      <c r="H2151" s="65" t="n">
        <v>26</v>
      </c>
      <c r="I2151" s="65" t="n">
        <v>6</v>
      </c>
      <c r="J2151" s="83" t="n">
        <v>28.77</v>
      </c>
      <c r="K2151" s="88" t="n">
        <v>264000</v>
      </c>
      <c r="L2151" s="85" t="n">
        <f aca="false">K2151/J2151</f>
        <v>9176.22523461939</v>
      </c>
      <c r="M2151" s="92"/>
      <c r="N2151" s="93"/>
      <c r="O2151" s="88" t="n">
        <v>264000</v>
      </c>
      <c r="P2151" s="88" t="n">
        <f aca="false">O2151/J2151</f>
        <v>9176.22523461939</v>
      </c>
      <c r="Q2151" s="94" t="s">
        <v>1320</v>
      </c>
      <c r="R2151" s="65" t="s">
        <v>27</v>
      </c>
      <c r="S2151" s="65" t="s">
        <v>29</v>
      </c>
      <c r="T2151" s="65" t="s">
        <v>30</v>
      </c>
      <c r="U2151" s="24" t="s">
        <v>31</v>
      </c>
      <c r="V2151" s="89" t="n">
        <v>43790</v>
      </c>
      <c r="W2151" s="91" t="s">
        <v>3273</v>
      </c>
      <c r="X2151" s="18"/>
    </row>
    <row r="2152" customFormat="false" ht="13.8" hidden="false" customHeight="false" outlineLevel="0" collapsed="false">
      <c r="A2152" s="18"/>
      <c r="B2152" s="62" t="n">
        <v>4025</v>
      </c>
      <c r="C2152" s="81" t="n">
        <v>43734</v>
      </c>
      <c r="D2152" s="115" t="s">
        <v>22</v>
      </c>
      <c r="E2152" s="65" t="s">
        <v>278</v>
      </c>
      <c r="F2152" s="82" t="s">
        <v>338</v>
      </c>
      <c r="G2152" s="65" t="n">
        <v>59</v>
      </c>
      <c r="H2152" s="112" t="n">
        <v>1</v>
      </c>
      <c r="I2152" s="112" t="n">
        <v>2</v>
      </c>
      <c r="J2152" s="83" t="n">
        <v>38.88</v>
      </c>
      <c r="K2152" s="84" t="n">
        <v>415000</v>
      </c>
      <c r="L2152" s="85" t="n">
        <f aca="false">K2152/J2152</f>
        <v>10673.8683127572</v>
      </c>
      <c r="M2152" s="114"/>
      <c r="N2152" s="93"/>
      <c r="O2152" s="88" t="n">
        <v>415000</v>
      </c>
      <c r="P2152" s="88" t="n">
        <f aca="false">O2152/J2152</f>
        <v>10673.8683127572</v>
      </c>
      <c r="Q2152" s="83" t="s">
        <v>1320</v>
      </c>
      <c r="R2152" s="65" t="s">
        <v>27</v>
      </c>
      <c r="S2152" s="118" t="s">
        <v>29</v>
      </c>
      <c r="T2152" s="83" t="s">
        <v>30</v>
      </c>
      <c r="U2152" s="24" t="s">
        <v>31</v>
      </c>
      <c r="V2152" s="119" t="n">
        <v>43790</v>
      </c>
      <c r="W2152" s="18" t="s">
        <v>3274</v>
      </c>
      <c r="X2152" s="18"/>
    </row>
    <row r="2153" customFormat="false" ht="13.8" hidden="false" customHeight="false" outlineLevel="0" collapsed="false">
      <c r="A2153" s="18"/>
      <c r="B2153" s="62" t="n">
        <v>4921</v>
      </c>
      <c r="C2153" s="81" t="n">
        <v>43734</v>
      </c>
      <c r="D2153" s="115" t="s">
        <v>22</v>
      </c>
      <c r="E2153" s="65" t="s">
        <v>190</v>
      </c>
      <c r="F2153" s="82" t="s">
        <v>591</v>
      </c>
      <c r="G2153" s="65" t="s">
        <v>3275</v>
      </c>
      <c r="H2153" s="112" t="n">
        <v>33</v>
      </c>
      <c r="I2153" s="112" t="n">
        <v>2</v>
      </c>
      <c r="J2153" s="83" t="n">
        <v>49.85</v>
      </c>
      <c r="K2153" s="84" t="n">
        <v>530000</v>
      </c>
      <c r="L2153" s="85" t="n">
        <f aca="false">K2153/J2153</f>
        <v>10631.8956870612</v>
      </c>
      <c r="M2153" s="114"/>
      <c r="N2153" s="93"/>
      <c r="O2153" s="88" t="n">
        <v>530000</v>
      </c>
      <c r="P2153" s="88" t="n">
        <f aca="false">O2153/J2153</f>
        <v>10631.8956870612</v>
      </c>
      <c r="Q2153" s="83" t="s">
        <v>1486</v>
      </c>
      <c r="R2153" s="65" t="s">
        <v>36</v>
      </c>
      <c r="S2153" s="118" t="s">
        <v>29</v>
      </c>
      <c r="T2153" s="83" t="s">
        <v>30</v>
      </c>
      <c r="U2153" s="24" t="s">
        <v>31</v>
      </c>
      <c r="V2153" s="119" t="n">
        <v>43790</v>
      </c>
      <c r="W2153" s="18" t="s">
        <v>3276</v>
      </c>
      <c r="X2153" s="18"/>
    </row>
    <row r="2154" customFormat="false" ht="13.8" hidden="false" customHeight="false" outlineLevel="0" collapsed="false">
      <c r="A2154" s="18"/>
      <c r="B2154" s="62" t="n">
        <v>5092</v>
      </c>
      <c r="C2154" s="81" t="n">
        <v>43734</v>
      </c>
      <c r="D2154" s="64" t="s">
        <v>22</v>
      </c>
      <c r="E2154" s="65" t="s">
        <v>212</v>
      </c>
      <c r="F2154" s="18" t="s">
        <v>955</v>
      </c>
      <c r="G2154" s="62" t="n">
        <v>20</v>
      </c>
      <c r="H2154" s="62" t="n">
        <v>39</v>
      </c>
      <c r="I2154" s="62" t="n">
        <v>4</v>
      </c>
      <c r="J2154" s="62" t="n">
        <v>37.67</v>
      </c>
      <c r="K2154" s="66" t="n">
        <v>369000</v>
      </c>
      <c r="L2154" s="66" t="n">
        <f aca="false">K2154/J2154</f>
        <v>9795.59331032652</v>
      </c>
      <c r="M2154" s="18"/>
      <c r="N2154" s="54"/>
      <c r="O2154" s="66" t="n">
        <f aca="false">K2154+N2154</f>
        <v>369000</v>
      </c>
      <c r="P2154" s="88" t="n">
        <f aca="false">O2154/J2154</f>
        <v>9795.59331032652</v>
      </c>
      <c r="Q2154" s="62" t="s">
        <v>1274</v>
      </c>
      <c r="R2154" s="65" t="s">
        <v>27</v>
      </c>
      <c r="S2154" s="62" t="s">
        <v>29</v>
      </c>
      <c r="T2154" s="62" t="s">
        <v>30</v>
      </c>
      <c r="U2154" s="123" t="s">
        <v>31</v>
      </c>
      <c r="V2154" s="81" t="n">
        <v>43801</v>
      </c>
      <c r="W2154" s="18" t="s">
        <v>3277</v>
      </c>
      <c r="X2154" s="18"/>
    </row>
    <row r="2155" customFormat="false" ht="13.8" hidden="false" customHeight="false" outlineLevel="0" collapsed="false">
      <c r="A2155" s="18"/>
      <c r="B2155" s="62" t="n">
        <v>8550</v>
      </c>
      <c r="C2155" s="81" t="n">
        <v>43734</v>
      </c>
      <c r="D2155" s="64" t="s">
        <v>22</v>
      </c>
      <c r="E2155" s="65" t="s">
        <v>319</v>
      </c>
      <c r="F2155" s="18" t="s">
        <v>320</v>
      </c>
      <c r="G2155" s="62" t="n">
        <v>3</v>
      </c>
      <c r="H2155" s="62" t="n">
        <v>2</v>
      </c>
      <c r="I2155" s="62" t="n">
        <v>2</v>
      </c>
      <c r="J2155" s="62" t="n">
        <v>65.97</v>
      </c>
      <c r="K2155" s="66" t="n">
        <v>680000</v>
      </c>
      <c r="L2155" s="66" t="n">
        <f aca="false">K2155/J2155</f>
        <v>10307.7156283159</v>
      </c>
      <c r="M2155" s="18" t="s">
        <v>3278</v>
      </c>
      <c r="N2155" s="54" t="n">
        <v>30000</v>
      </c>
      <c r="O2155" s="66" t="n">
        <f aca="false">K2155+N2155</f>
        <v>710000</v>
      </c>
      <c r="P2155" s="88" t="n">
        <f aca="false">O2155/J2155</f>
        <v>10762.4677883887</v>
      </c>
      <c r="Q2155" s="62" t="s">
        <v>1877</v>
      </c>
      <c r="R2155" s="65" t="s">
        <v>26</v>
      </c>
      <c r="S2155" s="62" t="s">
        <v>29</v>
      </c>
      <c r="T2155" s="62" t="s">
        <v>30</v>
      </c>
      <c r="U2155" s="123" t="s">
        <v>31</v>
      </c>
      <c r="V2155" s="81" t="n">
        <v>43801</v>
      </c>
      <c r="W2155" s="18" t="s">
        <v>3279</v>
      </c>
      <c r="X2155" s="18"/>
    </row>
    <row r="2156" customFormat="false" ht="13.8" hidden="false" customHeight="false" outlineLevel="0" collapsed="false">
      <c r="A2156" s="18"/>
      <c r="B2156" s="62" t="n">
        <v>7842</v>
      </c>
      <c r="C2156" s="81" t="n">
        <v>43734</v>
      </c>
      <c r="D2156" s="64" t="s">
        <v>22</v>
      </c>
      <c r="E2156" s="65" t="s">
        <v>322</v>
      </c>
      <c r="F2156" s="18" t="s">
        <v>323</v>
      </c>
      <c r="G2156" s="62" t="s">
        <v>1245</v>
      </c>
      <c r="H2156" s="62" t="n">
        <v>77</v>
      </c>
      <c r="I2156" s="62" t="n">
        <v>2</v>
      </c>
      <c r="J2156" s="62" t="n">
        <v>39.75</v>
      </c>
      <c r="K2156" s="66" t="n">
        <v>450000</v>
      </c>
      <c r="L2156" s="66" t="n">
        <f aca="false">K2156/J2156</f>
        <v>11320.7547169811</v>
      </c>
      <c r="M2156" s="18"/>
      <c r="N2156" s="54"/>
      <c r="O2156" s="66" t="n">
        <f aca="false">K2156+N2156</f>
        <v>450000</v>
      </c>
      <c r="P2156" s="88" t="n">
        <f aca="false">O2156/J2156</f>
        <v>11320.7547169811</v>
      </c>
      <c r="Q2156" s="62" t="s">
        <v>1224</v>
      </c>
      <c r="R2156" s="65" t="s">
        <v>27</v>
      </c>
      <c r="S2156" s="62" t="s">
        <v>29</v>
      </c>
      <c r="T2156" s="62" t="s">
        <v>30</v>
      </c>
      <c r="U2156" s="123" t="s">
        <v>31</v>
      </c>
      <c r="V2156" s="81" t="n">
        <v>43801</v>
      </c>
      <c r="W2156" s="18" t="s">
        <v>3280</v>
      </c>
      <c r="X2156" s="18"/>
    </row>
    <row r="2157" customFormat="false" ht="13.8" hidden="false" customHeight="false" outlineLevel="0" collapsed="false">
      <c r="A2157" s="18"/>
      <c r="B2157" s="62" t="n">
        <v>4837</v>
      </c>
      <c r="C2157" s="81" t="n">
        <v>43734</v>
      </c>
      <c r="D2157" s="64" t="s">
        <v>22</v>
      </c>
      <c r="E2157" s="65" t="s">
        <v>37</v>
      </c>
      <c r="F2157" s="18" t="s">
        <v>386</v>
      </c>
      <c r="G2157" s="62" t="n">
        <v>2</v>
      </c>
      <c r="H2157" s="62" t="n">
        <v>28</v>
      </c>
      <c r="I2157" s="62" t="n">
        <v>6</v>
      </c>
      <c r="J2157" s="62" t="n">
        <v>34.2</v>
      </c>
      <c r="K2157" s="66" t="n">
        <v>443000</v>
      </c>
      <c r="L2157" s="66" t="n">
        <f aca="false">K2157/J2157</f>
        <v>12953.216374269</v>
      </c>
      <c r="M2157" s="18"/>
      <c r="N2157" s="54"/>
      <c r="O2157" s="66" t="n">
        <f aca="false">K2157+N2157</f>
        <v>443000</v>
      </c>
      <c r="P2157" s="88" t="n">
        <f aca="false">O2157/J2157</f>
        <v>12953.216374269</v>
      </c>
      <c r="Q2157" s="62" t="s">
        <v>3281</v>
      </c>
      <c r="R2157" s="65" t="s">
        <v>27</v>
      </c>
      <c r="S2157" s="62" t="s">
        <v>29</v>
      </c>
      <c r="T2157" s="62" t="s">
        <v>30</v>
      </c>
      <c r="U2157" s="123" t="s">
        <v>31</v>
      </c>
      <c r="V2157" s="81" t="n">
        <v>43801</v>
      </c>
      <c r="W2157" s="18" t="s">
        <v>2655</v>
      </c>
      <c r="X2157" s="18"/>
    </row>
    <row r="2158" customFormat="false" ht="13.8" hidden="false" customHeight="false" outlineLevel="0" collapsed="false">
      <c r="A2158" s="18"/>
      <c r="B2158" s="62" t="n">
        <v>9974</v>
      </c>
      <c r="C2158" s="81" t="n">
        <v>43734</v>
      </c>
      <c r="D2158" s="64" t="s">
        <v>22</v>
      </c>
      <c r="E2158" s="65" t="s">
        <v>175</v>
      </c>
      <c r="F2158" s="18" t="s">
        <v>603</v>
      </c>
      <c r="G2158" s="62" t="n">
        <v>22</v>
      </c>
      <c r="H2158" s="62" t="n">
        <v>12</v>
      </c>
      <c r="I2158" s="62" t="n">
        <v>4</v>
      </c>
      <c r="J2158" s="62" t="n">
        <v>46.71</v>
      </c>
      <c r="K2158" s="66" t="n">
        <v>540000</v>
      </c>
      <c r="L2158" s="66" t="n">
        <f aca="false">K2158/J2158</f>
        <v>11560.6936416185</v>
      </c>
      <c r="M2158" s="18"/>
      <c r="N2158" s="54"/>
      <c r="O2158" s="66" t="n">
        <f aca="false">K2158+N2158</f>
        <v>540000</v>
      </c>
      <c r="P2158" s="88" t="n">
        <f aca="false">O2158/J2158</f>
        <v>11560.6936416185</v>
      </c>
      <c r="Q2158" s="62" t="s">
        <v>941</v>
      </c>
      <c r="R2158" s="65" t="s">
        <v>36</v>
      </c>
      <c r="S2158" s="62" t="s">
        <v>29</v>
      </c>
      <c r="T2158" s="62" t="s">
        <v>30</v>
      </c>
      <c r="U2158" s="123" t="s">
        <v>31</v>
      </c>
      <c r="V2158" s="81" t="n">
        <v>43801</v>
      </c>
      <c r="W2158" s="18" t="s">
        <v>3282</v>
      </c>
      <c r="X2158" s="18"/>
    </row>
    <row r="2159" customFormat="false" ht="13.8" hidden="false" customHeight="false" outlineLevel="0" collapsed="false">
      <c r="A2159" s="18"/>
      <c r="B2159" s="62" t="n">
        <v>2911</v>
      </c>
      <c r="C2159" s="81" t="n">
        <v>43734</v>
      </c>
      <c r="D2159" s="64" t="s">
        <v>22</v>
      </c>
      <c r="E2159" s="65" t="s">
        <v>302</v>
      </c>
      <c r="F2159" s="18" t="s">
        <v>1161</v>
      </c>
      <c r="G2159" s="65" t="s">
        <v>1162</v>
      </c>
      <c r="H2159" s="62" t="n">
        <v>1</v>
      </c>
      <c r="I2159" s="62" t="n">
        <v>1</v>
      </c>
      <c r="J2159" s="62" t="n">
        <v>73.68</v>
      </c>
      <c r="K2159" s="66" t="n">
        <v>530000</v>
      </c>
      <c r="L2159" s="66" t="n">
        <f aca="false">K2159/J2159</f>
        <v>7193.26818675353</v>
      </c>
      <c r="M2159" s="18"/>
      <c r="N2159" s="54"/>
      <c r="O2159" s="66" t="n">
        <f aca="false">K2159+N2159</f>
        <v>530000</v>
      </c>
      <c r="P2159" s="88" t="n">
        <f aca="false">O2159/J2159</f>
        <v>7193.26818675353</v>
      </c>
      <c r="Q2159" s="62" t="s">
        <v>1772</v>
      </c>
      <c r="R2159" s="65" t="s">
        <v>49</v>
      </c>
      <c r="S2159" s="62" t="s">
        <v>29</v>
      </c>
      <c r="T2159" s="62" t="s">
        <v>30</v>
      </c>
      <c r="U2159" s="123" t="s">
        <v>31</v>
      </c>
      <c r="V2159" s="81" t="n">
        <v>43801</v>
      </c>
      <c r="W2159" s="18" t="s">
        <v>3283</v>
      </c>
      <c r="X2159" s="18"/>
    </row>
    <row r="2160" customFormat="false" ht="13.8" hidden="false" customHeight="false" outlineLevel="0" collapsed="false">
      <c r="A2160" s="18"/>
      <c r="B2160" s="62" t="n">
        <v>5799</v>
      </c>
      <c r="C2160" s="81" t="n">
        <v>43734</v>
      </c>
      <c r="D2160" s="64" t="s">
        <v>22</v>
      </c>
      <c r="E2160" s="65" t="s">
        <v>72</v>
      </c>
      <c r="F2160" s="18" t="s">
        <v>387</v>
      </c>
      <c r="G2160" s="62" t="n">
        <v>57</v>
      </c>
      <c r="H2160" s="62" t="n">
        <v>18</v>
      </c>
      <c r="I2160" s="62" t="n">
        <v>6</v>
      </c>
      <c r="J2160" s="62" t="n">
        <v>74</v>
      </c>
      <c r="K2160" s="66" t="n">
        <v>680000</v>
      </c>
      <c r="L2160" s="66" t="n">
        <f aca="false">K2160/J2160</f>
        <v>9189.18918918919</v>
      </c>
      <c r="M2160" s="18"/>
      <c r="N2160" s="54"/>
      <c r="O2160" s="66" t="n">
        <f aca="false">K2160+N2160</f>
        <v>680000</v>
      </c>
      <c r="P2160" s="88" t="n">
        <f aca="false">O2160/J2160</f>
        <v>9189.18918918919</v>
      </c>
      <c r="Q2160" s="62" t="s">
        <v>903</v>
      </c>
      <c r="R2160" s="65" t="s">
        <v>36</v>
      </c>
      <c r="S2160" s="62" t="s">
        <v>3284</v>
      </c>
      <c r="T2160" s="62" t="s">
        <v>30</v>
      </c>
      <c r="U2160" s="123" t="s">
        <v>31</v>
      </c>
      <c r="V2160" s="81" t="n">
        <v>43801</v>
      </c>
      <c r="W2160" s="18" t="s">
        <v>3285</v>
      </c>
      <c r="X2160" s="18"/>
    </row>
    <row r="2161" customFormat="false" ht="13.8" hidden="false" customHeight="false" outlineLevel="0" collapsed="false">
      <c r="A2161" s="18"/>
      <c r="B2161" s="62" t="n">
        <v>5304</v>
      </c>
      <c r="C2161" s="81" t="n">
        <v>43734</v>
      </c>
      <c r="D2161" s="64" t="s">
        <v>22</v>
      </c>
      <c r="E2161" s="65" t="s">
        <v>308</v>
      </c>
      <c r="F2161" s="18" t="s">
        <v>538</v>
      </c>
      <c r="G2161" s="62" t="n">
        <v>3</v>
      </c>
      <c r="H2161" s="62" t="n">
        <v>23</v>
      </c>
      <c r="I2161" s="62" t="n">
        <v>4</v>
      </c>
      <c r="J2161" s="62" t="n">
        <v>75.14</v>
      </c>
      <c r="K2161" s="66" t="n">
        <v>665000</v>
      </c>
      <c r="L2161" s="66" t="n">
        <f aca="false">K2161/J2161</f>
        <v>8850.14639339899</v>
      </c>
      <c r="M2161" s="18"/>
      <c r="N2161" s="54"/>
      <c r="O2161" s="66" t="n">
        <f aca="false">K2161+N2161</f>
        <v>665000</v>
      </c>
      <c r="P2161" s="88" t="n">
        <f aca="false">O2161/J2161</f>
        <v>8850.14639339899</v>
      </c>
      <c r="Q2161" s="62" t="s">
        <v>1136</v>
      </c>
      <c r="R2161" s="65" t="s">
        <v>26</v>
      </c>
      <c r="S2161" s="62" t="s">
        <v>29</v>
      </c>
      <c r="T2161" s="62" t="s">
        <v>30</v>
      </c>
      <c r="U2161" s="123" t="s">
        <v>31</v>
      </c>
      <c r="V2161" s="81" t="n">
        <v>43801</v>
      </c>
      <c r="W2161" s="18" t="s">
        <v>3286</v>
      </c>
      <c r="X2161" s="18"/>
    </row>
    <row r="2162" customFormat="false" ht="13.8" hidden="false" customHeight="false" outlineLevel="0" collapsed="false">
      <c r="A2162" s="18"/>
      <c r="B2162" s="62" t="n">
        <v>2575</v>
      </c>
      <c r="C2162" s="81" t="n">
        <v>43735</v>
      </c>
      <c r="D2162" s="115" t="s">
        <v>22</v>
      </c>
      <c r="E2162" s="65" t="s">
        <v>190</v>
      </c>
      <c r="F2162" s="82" t="s">
        <v>591</v>
      </c>
      <c r="G2162" s="65" t="n">
        <v>43655</v>
      </c>
      <c r="H2162" s="112" t="n">
        <v>40</v>
      </c>
      <c r="I2162" s="112" t="n">
        <v>1</v>
      </c>
      <c r="J2162" s="83" t="n">
        <v>27.2</v>
      </c>
      <c r="K2162" s="84" t="n">
        <v>295000</v>
      </c>
      <c r="L2162" s="85" t="n">
        <f aca="false">K2162/J2162</f>
        <v>10845.5882352941</v>
      </c>
      <c r="M2162" s="114"/>
      <c r="N2162" s="93"/>
      <c r="O2162" s="88" t="n">
        <v>295000</v>
      </c>
      <c r="P2162" s="88" t="n">
        <f aca="false">O2162/J2162</f>
        <v>10845.5882352941</v>
      </c>
      <c r="Q2162" s="83" t="s">
        <v>1320</v>
      </c>
      <c r="R2162" s="65" t="s">
        <v>27</v>
      </c>
      <c r="S2162" s="118" t="s">
        <v>29</v>
      </c>
      <c r="T2162" s="83" t="s">
        <v>30</v>
      </c>
      <c r="U2162" s="24" t="s">
        <v>31</v>
      </c>
      <c r="V2162" s="119" t="n">
        <v>43790</v>
      </c>
      <c r="W2162" s="18" t="s">
        <v>3287</v>
      </c>
      <c r="X2162" s="18"/>
    </row>
    <row r="2163" customFormat="false" ht="13.8" hidden="false" customHeight="false" outlineLevel="0" collapsed="false">
      <c r="A2163" s="18"/>
      <c r="B2163" s="62" t="n">
        <v>16783</v>
      </c>
      <c r="C2163" s="81" t="n">
        <v>43735</v>
      </c>
      <c r="D2163" s="64" t="s">
        <v>22</v>
      </c>
      <c r="E2163" s="65" t="s">
        <v>235</v>
      </c>
      <c r="F2163" s="18" t="s">
        <v>854</v>
      </c>
      <c r="G2163" s="62" t="n">
        <v>10</v>
      </c>
      <c r="H2163" s="62" t="n">
        <v>26</v>
      </c>
      <c r="I2163" s="62" t="n">
        <v>3</v>
      </c>
      <c r="J2163" s="62" t="n">
        <v>23.77</v>
      </c>
      <c r="K2163" s="66" t="n">
        <v>180000</v>
      </c>
      <c r="L2163" s="66" t="n">
        <f aca="false">K2163/J2163</f>
        <v>7572.57046697518</v>
      </c>
      <c r="M2163" s="18"/>
      <c r="N2163" s="54"/>
      <c r="O2163" s="66" t="n">
        <f aca="false">K2163+N2163</f>
        <v>180000</v>
      </c>
      <c r="P2163" s="88" t="n">
        <f aca="false">O2163/J2163</f>
        <v>7572.57046697518</v>
      </c>
      <c r="Q2163" s="62" t="s">
        <v>3288</v>
      </c>
      <c r="R2163" s="65" t="s">
        <v>27</v>
      </c>
      <c r="S2163" s="62" t="s">
        <v>29</v>
      </c>
      <c r="T2163" s="62" t="s">
        <v>30</v>
      </c>
      <c r="U2163" s="123" t="s">
        <v>31</v>
      </c>
      <c r="V2163" s="81" t="n">
        <v>43801</v>
      </c>
      <c r="W2163" s="18" t="s">
        <v>3289</v>
      </c>
      <c r="X2163" s="18"/>
    </row>
    <row r="2164" customFormat="false" ht="13.8" hidden="false" customHeight="false" outlineLevel="0" collapsed="false">
      <c r="A2164" s="18"/>
      <c r="B2164" s="62" t="n">
        <v>3524</v>
      </c>
      <c r="C2164" s="81" t="n">
        <v>43735</v>
      </c>
      <c r="D2164" s="64" t="s">
        <v>22</v>
      </c>
      <c r="E2164" s="65" t="s">
        <v>1875</v>
      </c>
      <c r="F2164" s="18" t="s">
        <v>1876</v>
      </c>
      <c r="G2164" s="62" t="n">
        <v>6</v>
      </c>
      <c r="H2164" s="62" t="n">
        <v>127</v>
      </c>
      <c r="I2164" s="62" t="n">
        <v>8</v>
      </c>
      <c r="J2164" s="62" t="n">
        <v>24.15</v>
      </c>
      <c r="K2164" s="66" t="n">
        <v>348000</v>
      </c>
      <c r="L2164" s="66" t="n">
        <f aca="false">K2164/J2164</f>
        <v>14409.9378881988</v>
      </c>
      <c r="M2164" s="18" t="s">
        <v>3128</v>
      </c>
      <c r="N2164" s="54"/>
      <c r="O2164" s="66" t="n">
        <f aca="false">K2164+N2164</f>
        <v>348000</v>
      </c>
      <c r="P2164" s="88" t="n">
        <f aca="false">O2164/J2164</f>
        <v>14409.9378881988</v>
      </c>
      <c r="Q2164" s="62" t="s">
        <v>1224</v>
      </c>
      <c r="R2164" s="65" t="s">
        <v>27</v>
      </c>
      <c r="S2164" s="62" t="s">
        <v>29</v>
      </c>
      <c r="T2164" s="62" t="s">
        <v>30</v>
      </c>
      <c r="U2164" s="123" t="s">
        <v>31</v>
      </c>
      <c r="V2164" s="81" t="n">
        <v>43801</v>
      </c>
      <c r="W2164" s="18" t="s">
        <v>3290</v>
      </c>
      <c r="X2164" s="18"/>
    </row>
    <row r="2165" customFormat="false" ht="13.8" hidden="false" customHeight="false" outlineLevel="0" collapsed="false">
      <c r="A2165" s="18"/>
      <c r="B2165" s="62" t="n">
        <v>3670</v>
      </c>
      <c r="C2165" s="81" t="n">
        <v>43735</v>
      </c>
      <c r="D2165" s="64" t="s">
        <v>22</v>
      </c>
      <c r="E2165" s="65" t="s">
        <v>113</v>
      </c>
      <c r="F2165" s="18" t="s">
        <v>3291</v>
      </c>
      <c r="G2165" s="62" t="n">
        <v>7</v>
      </c>
      <c r="H2165" s="62" t="n">
        <v>76</v>
      </c>
      <c r="I2165" s="62" t="n">
        <v>6</v>
      </c>
      <c r="J2165" s="62" t="n">
        <v>28.58</v>
      </c>
      <c r="K2165" s="66" t="n">
        <v>275000</v>
      </c>
      <c r="L2165" s="66" t="n">
        <f aca="false">K2165/J2165</f>
        <v>9622.1133659902</v>
      </c>
      <c r="M2165" s="18" t="s">
        <v>3292</v>
      </c>
      <c r="N2165" s="54"/>
      <c r="O2165" s="66" t="n">
        <f aca="false">K2165+N2165</f>
        <v>275000</v>
      </c>
      <c r="P2165" s="88" t="n">
        <f aca="false">O2165/J2165</f>
        <v>9622.1133659902</v>
      </c>
      <c r="Q2165" s="62" t="s">
        <v>1181</v>
      </c>
      <c r="R2165" s="65" t="s">
        <v>27</v>
      </c>
      <c r="S2165" s="62" t="s">
        <v>29</v>
      </c>
      <c r="T2165" s="62" t="s">
        <v>30</v>
      </c>
      <c r="U2165" s="123" t="s">
        <v>31</v>
      </c>
      <c r="V2165" s="81" t="n">
        <v>43801</v>
      </c>
      <c r="W2165" s="18" t="s">
        <v>3293</v>
      </c>
      <c r="X2165" s="18"/>
    </row>
    <row r="2166" customFormat="false" ht="13.8" hidden="false" customHeight="false" outlineLevel="0" collapsed="false">
      <c r="A2166" s="18"/>
      <c r="B2166" s="62" t="n">
        <v>3742</v>
      </c>
      <c r="C2166" s="81" t="n">
        <v>43735</v>
      </c>
      <c r="D2166" s="64" t="s">
        <v>22</v>
      </c>
      <c r="E2166" s="65" t="s">
        <v>322</v>
      </c>
      <c r="F2166" s="18" t="s">
        <v>351</v>
      </c>
      <c r="G2166" s="62" t="s">
        <v>283</v>
      </c>
      <c r="H2166" s="62" t="n">
        <v>76</v>
      </c>
      <c r="I2166" s="62" t="n">
        <v>3</v>
      </c>
      <c r="J2166" s="62" t="n">
        <v>63.56</v>
      </c>
      <c r="K2166" s="66" t="n">
        <v>568000</v>
      </c>
      <c r="L2166" s="66" t="n">
        <f aca="false">K2166/J2166</f>
        <v>8936.43801132788</v>
      </c>
      <c r="M2166" s="18" t="s">
        <v>3294</v>
      </c>
      <c r="N2166" s="54"/>
      <c r="O2166" s="66" t="n">
        <f aca="false">K2166+N2166</f>
        <v>568000</v>
      </c>
      <c r="P2166" s="88" t="n">
        <f aca="false">O2166/J2166</f>
        <v>8936.43801132788</v>
      </c>
      <c r="Q2166" s="62" t="s">
        <v>3295</v>
      </c>
      <c r="R2166" s="65" t="s">
        <v>27</v>
      </c>
      <c r="S2166" s="62" t="s">
        <v>29</v>
      </c>
      <c r="T2166" s="62" t="s">
        <v>30</v>
      </c>
      <c r="U2166" s="123" t="s">
        <v>31</v>
      </c>
      <c r="V2166" s="81" t="n">
        <v>43801</v>
      </c>
      <c r="W2166" s="18" t="s">
        <v>3296</v>
      </c>
      <c r="X2166" s="18"/>
    </row>
    <row r="2167" customFormat="false" ht="13.8" hidden="false" customHeight="false" outlineLevel="0" collapsed="false">
      <c r="A2167" s="18"/>
      <c r="B2167" s="62" t="n">
        <v>6212</v>
      </c>
      <c r="C2167" s="81" t="n">
        <v>43735</v>
      </c>
      <c r="D2167" s="64" t="s">
        <v>22</v>
      </c>
      <c r="E2167" s="65" t="s">
        <v>517</v>
      </c>
      <c r="F2167" s="18" t="s">
        <v>240</v>
      </c>
      <c r="G2167" s="62" t="n">
        <v>60</v>
      </c>
      <c r="H2167" s="62" t="n">
        <v>26</v>
      </c>
      <c r="I2167" s="62" t="n">
        <v>2</v>
      </c>
      <c r="J2167" s="62" t="n">
        <v>80.6</v>
      </c>
      <c r="K2167" s="66" t="n">
        <v>600000</v>
      </c>
      <c r="L2167" s="66" t="n">
        <f aca="false">K2167/J2167</f>
        <v>7444.16873449132</v>
      </c>
      <c r="M2167" s="18" t="s">
        <v>987</v>
      </c>
      <c r="N2167" s="54" t="n">
        <v>30000</v>
      </c>
      <c r="O2167" s="66" t="n">
        <f aca="false">K2167+N2167</f>
        <v>630000</v>
      </c>
      <c r="P2167" s="88" t="n">
        <f aca="false">O2167/J2167</f>
        <v>7816.37717121588</v>
      </c>
      <c r="Q2167" s="62" t="s">
        <v>1136</v>
      </c>
      <c r="R2167" s="65" t="s">
        <v>26</v>
      </c>
      <c r="S2167" s="62" t="s">
        <v>29</v>
      </c>
      <c r="T2167" s="62" t="s">
        <v>30</v>
      </c>
      <c r="U2167" s="123" t="s">
        <v>31</v>
      </c>
      <c r="V2167" s="81" t="n">
        <v>43801</v>
      </c>
      <c r="W2167" s="18" t="s">
        <v>3297</v>
      </c>
      <c r="X2167" s="18"/>
    </row>
    <row r="2168" customFormat="false" ht="13.8" hidden="false" customHeight="false" outlineLevel="0" collapsed="false">
      <c r="A2168" s="18"/>
      <c r="B2168" s="62" t="n">
        <v>1488</v>
      </c>
      <c r="C2168" s="81" t="n">
        <v>43735</v>
      </c>
      <c r="D2168" s="64" t="s">
        <v>22</v>
      </c>
      <c r="E2168" s="65" t="s">
        <v>265</v>
      </c>
      <c r="F2168" s="18" t="s">
        <v>456</v>
      </c>
      <c r="G2168" s="62" t="n">
        <v>45</v>
      </c>
      <c r="H2168" s="62" t="n">
        <v>49</v>
      </c>
      <c r="I2168" s="62" t="n">
        <v>2</v>
      </c>
      <c r="J2168" s="62" t="n">
        <v>38.16</v>
      </c>
      <c r="K2168" s="66" t="n">
        <v>385000</v>
      </c>
      <c r="L2168" s="66" t="n">
        <f aca="false">K2168/J2168</f>
        <v>10089.0985324948</v>
      </c>
      <c r="M2168" s="18"/>
      <c r="N2168" s="54"/>
      <c r="O2168" s="66" t="n">
        <f aca="false">K2168+N2168</f>
        <v>385000</v>
      </c>
      <c r="P2168" s="88" t="n">
        <f aca="false">O2168/J2168</f>
        <v>10089.0985324948</v>
      </c>
      <c r="Q2168" s="62" t="s">
        <v>3260</v>
      </c>
      <c r="R2168" s="65" t="s">
        <v>27</v>
      </c>
      <c r="S2168" s="62" t="s">
        <v>29</v>
      </c>
      <c r="T2168" s="62" t="s">
        <v>30</v>
      </c>
      <c r="U2168" s="123" t="s">
        <v>31</v>
      </c>
      <c r="V2168" s="81" t="n">
        <v>43801</v>
      </c>
      <c r="W2168" s="18" t="s">
        <v>3298</v>
      </c>
      <c r="X2168" s="18"/>
    </row>
    <row r="2169" customFormat="false" ht="13.8" hidden="false" customHeight="false" outlineLevel="0" collapsed="false">
      <c r="A2169" s="18"/>
      <c r="B2169" s="62" t="n">
        <v>4298</v>
      </c>
      <c r="C2169" s="81" t="n">
        <v>43735</v>
      </c>
      <c r="D2169" s="64" t="s">
        <v>22</v>
      </c>
      <c r="E2169" s="65" t="s">
        <v>109</v>
      </c>
      <c r="F2169" s="18" t="s">
        <v>127</v>
      </c>
      <c r="G2169" s="62" t="n">
        <v>33</v>
      </c>
      <c r="H2169" s="62" t="n">
        <v>30</v>
      </c>
      <c r="I2169" s="62" t="n">
        <v>4</v>
      </c>
      <c r="J2169" s="62" t="n">
        <v>47.3</v>
      </c>
      <c r="K2169" s="66" t="n">
        <v>572000</v>
      </c>
      <c r="L2169" s="66" t="n">
        <f aca="false">K2169/J2169</f>
        <v>12093.023255814</v>
      </c>
      <c r="M2169" s="18"/>
      <c r="N2169" s="54"/>
      <c r="O2169" s="66" t="n">
        <f aca="false">K2169+N2169</f>
        <v>572000</v>
      </c>
      <c r="P2169" s="88" t="n">
        <f aca="false">O2169/J2169</f>
        <v>12093.023255814</v>
      </c>
      <c r="Q2169" s="62" t="s">
        <v>903</v>
      </c>
      <c r="R2169" s="65" t="s">
        <v>36</v>
      </c>
      <c r="S2169" s="62" t="s">
        <v>29</v>
      </c>
      <c r="T2169" s="62" t="s">
        <v>30</v>
      </c>
      <c r="U2169" s="123" t="s">
        <v>31</v>
      </c>
      <c r="V2169" s="81" t="n">
        <v>43801</v>
      </c>
      <c r="W2169" s="18" t="s">
        <v>3299</v>
      </c>
      <c r="X2169" s="18"/>
    </row>
    <row r="2170" customFormat="false" ht="13.8" hidden="false" customHeight="false" outlineLevel="0" collapsed="false">
      <c r="A2170" s="18"/>
      <c r="B2170" s="62" t="n">
        <v>9693</v>
      </c>
      <c r="C2170" s="81" t="n">
        <v>43735</v>
      </c>
      <c r="D2170" s="64" t="s">
        <v>22</v>
      </c>
      <c r="E2170" s="65" t="s">
        <v>372</v>
      </c>
      <c r="F2170" s="18" t="s">
        <v>272</v>
      </c>
      <c r="G2170" s="62" t="s">
        <v>3300</v>
      </c>
      <c r="H2170" s="62" t="n">
        <v>2</v>
      </c>
      <c r="I2170" s="62" t="n">
        <v>2</v>
      </c>
      <c r="J2170" s="62" t="n">
        <v>43.86</v>
      </c>
      <c r="K2170" s="66" t="n">
        <v>510000</v>
      </c>
      <c r="L2170" s="66" t="n">
        <f aca="false">K2170/J2170</f>
        <v>11627.9069767442</v>
      </c>
      <c r="M2170" s="18" t="s">
        <v>987</v>
      </c>
      <c r="N2170" s="54"/>
      <c r="O2170" s="66" t="n">
        <f aca="false">K2170+N2170</f>
        <v>510000</v>
      </c>
      <c r="P2170" s="88" t="n">
        <f aca="false">O2170/J2170</f>
        <v>11627.9069767442</v>
      </c>
      <c r="Q2170" s="62" t="s">
        <v>1224</v>
      </c>
      <c r="R2170" s="65" t="s">
        <v>27</v>
      </c>
      <c r="S2170" s="62" t="s">
        <v>29</v>
      </c>
      <c r="T2170" s="62" t="s">
        <v>30</v>
      </c>
      <c r="U2170" s="123" t="s">
        <v>31</v>
      </c>
      <c r="V2170" s="81" t="n">
        <v>43801</v>
      </c>
      <c r="W2170" s="18" t="s">
        <v>3301</v>
      </c>
      <c r="X2170" s="18"/>
    </row>
    <row r="2171" customFormat="false" ht="13.8" hidden="false" customHeight="false" outlineLevel="0" collapsed="false">
      <c r="A2171" s="18"/>
      <c r="B2171" s="62" t="n">
        <v>27611</v>
      </c>
      <c r="C2171" s="81" t="n">
        <v>43738</v>
      </c>
      <c r="D2171" s="64" t="s">
        <v>22</v>
      </c>
      <c r="E2171" s="65" t="s">
        <v>198</v>
      </c>
      <c r="F2171" s="18" t="s">
        <v>199</v>
      </c>
      <c r="G2171" s="62" t="s">
        <v>602</v>
      </c>
      <c r="H2171" s="62" t="n">
        <v>117</v>
      </c>
      <c r="I2171" s="62" t="n">
        <v>4</v>
      </c>
      <c r="J2171" s="62" t="n">
        <v>55.91</v>
      </c>
      <c r="K2171" s="66" t="n">
        <v>650000</v>
      </c>
      <c r="L2171" s="66" t="n">
        <f aca="false">K2171/J2171</f>
        <v>11625.8272223216</v>
      </c>
      <c r="M2171" s="18" t="s">
        <v>3302</v>
      </c>
      <c r="N2171" s="54"/>
      <c r="O2171" s="66" t="n">
        <f aca="false">K2171+N2171</f>
        <v>650000</v>
      </c>
      <c r="P2171" s="88" t="n">
        <f aca="false">O2171/J2171</f>
        <v>11625.8272223216</v>
      </c>
      <c r="Q2171" s="62" t="s">
        <v>1224</v>
      </c>
      <c r="R2171" s="65" t="s">
        <v>27</v>
      </c>
      <c r="S2171" s="62" t="s">
        <v>29</v>
      </c>
      <c r="T2171" s="62" t="s">
        <v>30</v>
      </c>
      <c r="U2171" s="123" t="s">
        <v>31</v>
      </c>
      <c r="V2171" s="81" t="n">
        <v>43801</v>
      </c>
      <c r="W2171" s="18" t="s">
        <v>3303</v>
      </c>
      <c r="X2171" s="18"/>
    </row>
    <row r="2172" customFormat="false" ht="13.8" hidden="false" customHeight="false" outlineLevel="0" collapsed="false">
      <c r="A2172" s="18"/>
      <c r="B2172" s="62" t="n">
        <v>13037</v>
      </c>
      <c r="C2172" s="81" t="n">
        <v>43738</v>
      </c>
      <c r="D2172" s="64" t="s">
        <v>22</v>
      </c>
      <c r="E2172" s="65" t="s">
        <v>80</v>
      </c>
      <c r="F2172" s="18" t="s">
        <v>162</v>
      </c>
      <c r="G2172" s="62" t="n">
        <v>1</v>
      </c>
      <c r="H2172" s="62" t="n">
        <v>34</v>
      </c>
      <c r="I2172" s="62" t="n">
        <v>3</v>
      </c>
      <c r="J2172" s="62" t="n">
        <v>86.22</v>
      </c>
      <c r="K2172" s="66" t="n">
        <v>1570000</v>
      </c>
      <c r="L2172" s="66" t="n">
        <f aca="false">K2172/J2172</f>
        <v>18209.2321967061</v>
      </c>
      <c r="M2172" s="18" t="s">
        <v>3304</v>
      </c>
      <c r="N2172" s="54" t="n">
        <v>105000</v>
      </c>
      <c r="O2172" s="66" t="n">
        <f aca="false">K2172+N2172</f>
        <v>1675000</v>
      </c>
      <c r="P2172" s="88" t="n">
        <f aca="false">O2172/J2172</f>
        <v>19427.0470888425</v>
      </c>
      <c r="Q2172" s="62" t="s">
        <v>3305</v>
      </c>
      <c r="R2172" s="65" t="s">
        <v>26</v>
      </c>
      <c r="S2172" s="62" t="s">
        <v>29</v>
      </c>
      <c r="T2172" s="62" t="s">
        <v>30</v>
      </c>
      <c r="U2172" s="123" t="s">
        <v>31</v>
      </c>
      <c r="V2172" s="81" t="n">
        <v>43801</v>
      </c>
      <c r="W2172" s="18" t="s">
        <v>3306</v>
      </c>
      <c r="X2172" s="18"/>
    </row>
    <row r="2173" customFormat="false" ht="13.8" hidden="false" customHeight="false" outlineLevel="0" collapsed="false">
      <c r="A2173" s="18"/>
      <c r="B2173" s="62" t="n">
        <v>1171</v>
      </c>
      <c r="C2173" s="81" t="n">
        <v>43738</v>
      </c>
      <c r="D2173" s="64" t="s">
        <v>22</v>
      </c>
      <c r="E2173" s="65" t="s">
        <v>665</v>
      </c>
      <c r="F2173" s="18" t="s">
        <v>666</v>
      </c>
      <c r="G2173" s="62" t="n">
        <v>9</v>
      </c>
      <c r="H2173" s="62" t="n">
        <v>156</v>
      </c>
      <c r="I2173" s="62" t="n">
        <v>9</v>
      </c>
      <c r="J2173" s="62" t="n">
        <v>50.4</v>
      </c>
      <c r="K2173" s="66" t="n">
        <v>840000</v>
      </c>
      <c r="L2173" s="66" t="n">
        <f aca="false">K2173/J2173</f>
        <v>16666.6666666667</v>
      </c>
      <c r="M2173" s="18" t="s">
        <v>3307</v>
      </c>
      <c r="N2173" s="54" t="n">
        <v>40000</v>
      </c>
      <c r="O2173" s="66" t="n">
        <f aca="false">K2173+N2173</f>
        <v>880000</v>
      </c>
      <c r="P2173" s="88" t="n">
        <f aca="false">O2173/J2173</f>
        <v>17460.3174603175</v>
      </c>
      <c r="Q2173" s="62" t="s">
        <v>1431</v>
      </c>
      <c r="R2173" s="65" t="s">
        <v>36</v>
      </c>
      <c r="S2173" s="62" t="s">
        <v>29</v>
      </c>
      <c r="T2173" s="62" t="s">
        <v>30</v>
      </c>
      <c r="U2173" s="123" t="s">
        <v>31</v>
      </c>
      <c r="V2173" s="81" t="n">
        <v>43801</v>
      </c>
      <c r="W2173" s="18" t="s">
        <v>3308</v>
      </c>
      <c r="X2173" s="18"/>
    </row>
    <row r="2174" customFormat="false" ht="13.8" hidden="false" customHeight="false" outlineLevel="0" collapsed="false">
      <c r="A2174" s="18"/>
      <c r="B2174" s="62" t="n">
        <v>4875</v>
      </c>
      <c r="C2174" s="81" t="n">
        <v>43738</v>
      </c>
      <c r="D2174" s="64" t="s">
        <v>22</v>
      </c>
      <c r="E2174" s="65" t="s">
        <v>203</v>
      </c>
      <c r="F2174" s="18" t="s">
        <v>138</v>
      </c>
      <c r="G2174" s="62" t="n">
        <v>12</v>
      </c>
      <c r="H2174" s="62" t="n">
        <v>1106</v>
      </c>
      <c r="I2174" s="62" t="n">
        <v>12</v>
      </c>
      <c r="J2174" s="62" t="n">
        <v>67.81</v>
      </c>
      <c r="K2174" s="66" t="n">
        <v>720000</v>
      </c>
      <c r="L2174" s="66" t="n">
        <f aca="false">K2174/J2174</f>
        <v>10617.9029641646</v>
      </c>
      <c r="M2174" s="18" t="s">
        <v>2194</v>
      </c>
      <c r="N2174" s="54" t="n">
        <v>50000</v>
      </c>
      <c r="O2174" s="66" t="n">
        <f aca="false">K2174+N2174</f>
        <v>770000</v>
      </c>
      <c r="P2174" s="88" t="n">
        <f aca="false">O2174/J2174</f>
        <v>11355.257336676</v>
      </c>
      <c r="Q2174" s="62" t="s">
        <v>1877</v>
      </c>
      <c r="R2174" s="65" t="s">
        <v>26</v>
      </c>
      <c r="S2174" s="62" t="s">
        <v>29</v>
      </c>
      <c r="T2174" s="62" t="s">
        <v>30</v>
      </c>
      <c r="U2174" s="123" t="s">
        <v>31</v>
      </c>
      <c r="V2174" s="81" t="n">
        <v>43801</v>
      </c>
      <c r="W2174" s="18" t="s">
        <v>3309</v>
      </c>
      <c r="X2174" s="18"/>
    </row>
    <row r="2175" customFormat="false" ht="13.8" hidden="false" customHeight="false" outlineLevel="0" collapsed="false">
      <c r="A2175" s="18"/>
      <c r="B2175" s="62" t="n">
        <v>5784</v>
      </c>
      <c r="C2175" s="81" t="n">
        <v>43738</v>
      </c>
      <c r="D2175" s="64" t="s">
        <v>22</v>
      </c>
      <c r="E2175" s="65" t="s">
        <v>144</v>
      </c>
      <c r="F2175" s="18" t="s">
        <v>145</v>
      </c>
      <c r="G2175" s="62" t="n">
        <v>9</v>
      </c>
      <c r="H2175" s="62" t="n">
        <v>7</v>
      </c>
      <c r="I2175" s="62" t="n">
        <v>4</v>
      </c>
      <c r="J2175" s="62" t="n">
        <v>64.3</v>
      </c>
      <c r="K2175" s="66" t="n">
        <v>896000</v>
      </c>
      <c r="L2175" s="66" t="n">
        <f aca="false">K2175/J2175</f>
        <v>13934.6811819596</v>
      </c>
      <c r="M2175" s="18" t="s">
        <v>3310</v>
      </c>
      <c r="N2175" s="54"/>
      <c r="O2175" s="66" t="n">
        <f aca="false">K2175+N2175</f>
        <v>896000</v>
      </c>
      <c r="P2175" s="88" t="n">
        <f aca="false">O2175/J2175</f>
        <v>13934.6811819596</v>
      </c>
      <c r="Q2175" s="62" t="s">
        <v>903</v>
      </c>
      <c r="R2175" s="65" t="s">
        <v>36</v>
      </c>
      <c r="S2175" s="62" t="s">
        <v>29</v>
      </c>
      <c r="T2175" s="62" t="s">
        <v>30</v>
      </c>
      <c r="U2175" s="123" t="s">
        <v>31</v>
      </c>
      <c r="V2175" s="81" t="n">
        <v>43801</v>
      </c>
      <c r="W2175" s="18" t="s">
        <v>3311</v>
      </c>
      <c r="X2175" s="18"/>
    </row>
    <row r="2176" customFormat="false" ht="13.8" hidden="false" customHeight="false" outlineLevel="0" collapsed="false">
      <c r="A2176" s="18"/>
      <c r="B2176" s="62" t="n">
        <v>4891</v>
      </c>
      <c r="C2176" s="81" t="n">
        <v>43738</v>
      </c>
      <c r="D2176" s="64" t="s">
        <v>22</v>
      </c>
      <c r="E2176" s="65" t="s">
        <v>265</v>
      </c>
      <c r="F2176" s="18" t="s">
        <v>108</v>
      </c>
      <c r="G2176" s="62" t="s">
        <v>559</v>
      </c>
      <c r="H2176" s="62" t="n">
        <v>68</v>
      </c>
      <c r="I2176" s="62" t="n">
        <v>3</v>
      </c>
      <c r="J2176" s="62" t="n">
        <v>70.52</v>
      </c>
      <c r="K2176" s="66" t="n">
        <v>656000</v>
      </c>
      <c r="L2176" s="66" t="n">
        <f aca="false">K2176/J2176</f>
        <v>9302.32558139535</v>
      </c>
      <c r="M2176" s="18"/>
      <c r="N2176" s="54"/>
      <c r="O2176" s="66" t="n">
        <f aca="false">K2176+N2176</f>
        <v>656000</v>
      </c>
      <c r="P2176" s="88" t="n">
        <f aca="false">O2176/J2176</f>
        <v>9302.32558139535</v>
      </c>
      <c r="Q2176" s="62" t="s">
        <v>3312</v>
      </c>
      <c r="R2176" s="65" t="s">
        <v>26</v>
      </c>
      <c r="S2176" s="62" t="s">
        <v>29</v>
      </c>
      <c r="T2176" s="62" t="s">
        <v>30</v>
      </c>
      <c r="U2176" s="123" t="s">
        <v>31</v>
      </c>
      <c r="V2176" s="81" t="n">
        <v>43801</v>
      </c>
      <c r="W2176" s="18" t="s">
        <v>3313</v>
      </c>
      <c r="X2176" s="18"/>
    </row>
    <row r="2177" customFormat="false" ht="13.8" hidden="false" customHeight="false" outlineLevel="0" collapsed="false">
      <c r="A2177" s="18"/>
      <c r="B2177" s="62" t="n">
        <v>20505</v>
      </c>
      <c r="C2177" s="81" t="n">
        <v>43738</v>
      </c>
      <c r="D2177" s="64" t="s">
        <v>22</v>
      </c>
      <c r="E2177" s="65" t="s">
        <v>268</v>
      </c>
      <c r="F2177" s="18" t="s">
        <v>471</v>
      </c>
      <c r="G2177" s="62" t="n">
        <v>7</v>
      </c>
      <c r="H2177" s="62" t="n">
        <v>42</v>
      </c>
      <c r="I2177" s="62" t="n">
        <v>4</v>
      </c>
      <c r="J2177" s="62" t="n">
        <v>45.8</v>
      </c>
      <c r="K2177" s="66" t="n">
        <v>365000</v>
      </c>
      <c r="L2177" s="66" t="n">
        <f aca="false">K2177/J2177</f>
        <v>7969.43231441048</v>
      </c>
      <c r="M2177" s="18"/>
      <c r="N2177" s="54"/>
      <c r="O2177" s="66" t="n">
        <f aca="false">K2177+N2177</f>
        <v>365000</v>
      </c>
      <c r="P2177" s="88" t="n">
        <f aca="false">O2177/J2177</f>
        <v>7969.43231441048</v>
      </c>
      <c r="Q2177" s="62" t="s">
        <v>861</v>
      </c>
      <c r="R2177" s="65" t="s">
        <v>26</v>
      </c>
      <c r="S2177" s="62" t="s">
        <v>29</v>
      </c>
      <c r="T2177" s="62" t="s">
        <v>30</v>
      </c>
      <c r="U2177" s="123" t="s">
        <v>31</v>
      </c>
      <c r="V2177" s="81" t="n">
        <v>43801</v>
      </c>
      <c r="W2177" s="18" t="s">
        <v>3314</v>
      </c>
      <c r="X2177" s="18"/>
    </row>
    <row r="2178" customFormat="false" ht="13.8" hidden="false" customHeight="false" outlineLevel="0" collapsed="false">
      <c r="A2178" s="18"/>
      <c r="B2178" s="62" t="n">
        <v>4436</v>
      </c>
      <c r="C2178" s="81" t="n">
        <v>43738</v>
      </c>
      <c r="D2178" s="64" t="s">
        <v>22</v>
      </c>
      <c r="E2178" s="65" t="s">
        <v>369</v>
      </c>
      <c r="F2178" s="18" t="s">
        <v>370</v>
      </c>
      <c r="G2178" s="62" t="n">
        <v>14</v>
      </c>
      <c r="H2178" s="62" t="n">
        <v>9</v>
      </c>
      <c r="I2178" s="62" t="n">
        <v>3</v>
      </c>
      <c r="J2178" s="62" t="n">
        <v>49.47</v>
      </c>
      <c r="K2178" s="66" t="n">
        <v>500000</v>
      </c>
      <c r="L2178" s="66" t="n">
        <f aca="false">K2178/J2178</f>
        <v>10107.1356377603</v>
      </c>
      <c r="M2178" s="18"/>
      <c r="N2178" s="54"/>
      <c r="O2178" s="66" t="n">
        <f aca="false">K2178+N2178</f>
        <v>500000</v>
      </c>
      <c r="P2178" s="88" t="n">
        <f aca="false">O2178/J2178</f>
        <v>10107.1356377603</v>
      </c>
      <c r="Q2178" s="62" t="s">
        <v>903</v>
      </c>
      <c r="R2178" s="65" t="s">
        <v>36</v>
      </c>
      <c r="S2178" s="62" t="s">
        <v>29</v>
      </c>
      <c r="T2178" s="62" t="s">
        <v>30</v>
      </c>
      <c r="U2178" s="123" t="s">
        <v>31</v>
      </c>
      <c r="V2178" s="81" t="n">
        <v>43801</v>
      </c>
      <c r="W2178" s="18" t="s">
        <v>3315</v>
      </c>
      <c r="X2178" s="18"/>
    </row>
    <row r="2179" customFormat="false" ht="13.8" hidden="false" customHeight="false" outlineLevel="0" collapsed="false">
      <c r="A2179" s="18"/>
      <c r="B2179" s="62" t="n">
        <v>1797</v>
      </c>
      <c r="C2179" s="81" t="n">
        <v>43738</v>
      </c>
      <c r="D2179" s="64" t="s">
        <v>22</v>
      </c>
      <c r="E2179" s="65" t="s">
        <v>61</v>
      </c>
      <c r="F2179" s="18" t="s">
        <v>46</v>
      </c>
      <c r="G2179" s="62" t="n">
        <v>233</v>
      </c>
      <c r="H2179" s="62" t="n">
        <v>8</v>
      </c>
      <c r="I2179" s="62" t="n">
        <v>3</v>
      </c>
      <c r="J2179" s="62" t="n">
        <v>49.58</v>
      </c>
      <c r="K2179" s="66" t="n">
        <v>575000</v>
      </c>
      <c r="L2179" s="66" t="n">
        <f aca="false">K2179/J2179</f>
        <v>11597.4183138362</v>
      </c>
      <c r="M2179" s="18" t="s">
        <v>987</v>
      </c>
      <c r="N2179" s="54"/>
      <c r="O2179" s="66" t="n">
        <f aca="false">K2179+N2179</f>
        <v>575000</v>
      </c>
      <c r="P2179" s="88" t="n">
        <f aca="false">O2179/J2179</f>
        <v>11597.4183138362</v>
      </c>
      <c r="Q2179" s="62" t="s">
        <v>3316</v>
      </c>
      <c r="R2179" s="65" t="s">
        <v>36</v>
      </c>
      <c r="S2179" s="62" t="s">
        <v>29</v>
      </c>
      <c r="T2179" s="62" t="s">
        <v>30</v>
      </c>
      <c r="U2179" s="123" t="s">
        <v>31</v>
      </c>
      <c r="V2179" s="81" t="n">
        <v>43801</v>
      </c>
      <c r="W2179" s="18" t="s">
        <v>3317</v>
      </c>
      <c r="X2179" s="18"/>
    </row>
    <row r="2180" customFormat="false" ht="13.8" hidden="false" customHeight="false" outlineLevel="0" collapsed="false">
      <c r="A2180" s="18"/>
      <c r="B2180" s="62" t="n">
        <v>6292</v>
      </c>
      <c r="C2180" s="81" t="n">
        <v>43738</v>
      </c>
      <c r="D2180" s="64" t="s">
        <v>22</v>
      </c>
      <c r="E2180" s="65" t="s">
        <v>103</v>
      </c>
      <c r="F2180" s="18" t="s">
        <v>240</v>
      </c>
      <c r="G2180" s="62" t="n">
        <v>1</v>
      </c>
      <c r="H2180" s="62" t="n">
        <v>18</v>
      </c>
      <c r="I2180" s="62" t="n">
        <v>4</v>
      </c>
      <c r="J2180" s="62" t="n">
        <v>167</v>
      </c>
      <c r="K2180" s="66" t="n">
        <v>1080000</v>
      </c>
      <c r="L2180" s="66" t="n">
        <f aca="false">K2180/J2180</f>
        <v>6467.06586826347</v>
      </c>
      <c r="M2180" s="18" t="s">
        <v>3318</v>
      </c>
      <c r="N2180" s="54"/>
      <c r="O2180" s="66" t="n">
        <f aca="false">K2180+N2180</f>
        <v>1080000</v>
      </c>
      <c r="P2180" s="88" t="n">
        <f aca="false">O2180/J2180</f>
        <v>6467.06586826347</v>
      </c>
      <c r="Q2180" s="62" t="s">
        <v>3319</v>
      </c>
      <c r="R2180" s="65" t="s">
        <v>49</v>
      </c>
      <c r="S2180" s="62" t="s">
        <v>29</v>
      </c>
      <c r="T2180" s="62" t="s">
        <v>30</v>
      </c>
      <c r="U2180" s="123" t="s">
        <v>31</v>
      </c>
      <c r="V2180" s="81" t="n">
        <v>43801</v>
      </c>
      <c r="W2180" s="18" t="s">
        <v>3320</v>
      </c>
      <c r="X2180" s="18"/>
    </row>
    <row r="2181" customFormat="false" ht="13.8" hidden="false" customHeight="false" outlineLevel="0" collapsed="false">
      <c r="A2181" s="18"/>
      <c r="B2181" s="62" t="n">
        <v>4436</v>
      </c>
      <c r="C2181" s="81" t="n">
        <v>43738</v>
      </c>
      <c r="D2181" s="64" t="s">
        <v>22</v>
      </c>
      <c r="E2181" s="65" t="s">
        <v>302</v>
      </c>
      <c r="F2181" s="18" t="s">
        <v>589</v>
      </c>
      <c r="G2181" s="65" t="s">
        <v>845</v>
      </c>
      <c r="H2181" s="62" t="n">
        <v>22</v>
      </c>
      <c r="I2181" s="62" t="n">
        <v>4</v>
      </c>
      <c r="J2181" s="62" t="n">
        <v>80.2</v>
      </c>
      <c r="K2181" s="66" t="n">
        <v>880000</v>
      </c>
      <c r="L2181" s="66" t="n">
        <f aca="false">K2181/J2181</f>
        <v>10972.5685785536</v>
      </c>
      <c r="M2181" s="18"/>
      <c r="N2181" s="54"/>
      <c r="O2181" s="66" t="n">
        <f aca="false">K2181+N2181</f>
        <v>880000</v>
      </c>
      <c r="P2181" s="88" t="n">
        <f aca="false">O2181/J2181</f>
        <v>10972.5685785536</v>
      </c>
      <c r="Q2181" s="62" t="s">
        <v>861</v>
      </c>
      <c r="R2181" s="65" t="s">
        <v>26</v>
      </c>
      <c r="S2181" s="62" t="s">
        <v>29</v>
      </c>
      <c r="T2181" s="62" t="s">
        <v>30</v>
      </c>
      <c r="U2181" s="123" t="s">
        <v>31</v>
      </c>
      <c r="V2181" s="81" t="n">
        <v>43801</v>
      </c>
      <c r="W2181" s="18" t="s">
        <v>3321</v>
      </c>
      <c r="X2181" s="18"/>
    </row>
    <row r="2182" customFormat="false" ht="13.8" hidden="false" customHeight="false" outlineLevel="0" collapsed="false">
      <c r="A2182" s="18"/>
      <c r="B2182" s="62" t="n">
        <v>16904</v>
      </c>
      <c r="C2182" s="81" t="n">
        <v>43738</v>
      </c>
      <c r="D2182" s="64" t="s">
        <v>22</v>
      </c>
      <c r="E2182" s="65" t="s">
        <v>118</v>
      </c>
      <c r="F2182" s="18" t="s">
        <v>462</v>
      </c>
      <c r="G2182" s="62" t="n">
        <v>2</v>
      </c>
      <c r="H2182" s="62" t="n">
        <v>123</v>
      </c>
      <c r="I2182" s="62" t="n">
        <v>11</v>
      </c>
      <c r="J2182" s="62" t="n">
        <v>45.6</v>
      </c>
      <c r="K2182" s="66" t="n">
        <v>459000</v>
      </c>
      <c r="L2182" s="66" t="n">
        <f aca="false">K2182/J2182</f>
        <v>10065.7894736842</v>
      </c>
      <c r="M2182" s="18" t="s">
        <v>3322</v>
      </c>
      <c r="N2182" s="54"/>
      <c r="O2182" s="66" t="n">
        <f aca="false">K2182+N2182</f>
        <v>459000</v>
      </c>
      <c r="P2182" s="88" t="n">
        <f aca="false">O2182/J2182</f>
        <v>10065.7894736842</v>
      </c>
      <c r="Q2182" s="62" t="s">
        <v>903</v>
      </c>
      <c r="R2182" s="65" t="s">
        <v>36</v>
      </c>
      <c r="S2182" s="62" t="s">
        <v>29</v>
      </c>
      <c r="T2182" s="62" t="s">
        <v>30</v>
      </c>
      <c r="U2182" s="123" t="s">
        <v>31</v>
      </c>
      <c r="V2182" s="81" t="n">
        <v>43801</v>
      </c>
      <c r="W2182" s="18" t="s">
        <v>1470</v>
      </c>
      <c r="X2182" s="18"/>
    </row>
    <row r="2183" customFormat="false" ht="13.8" hidden="false" customHeight="false" outlineLevel="0" collapsed="false">
      <c r="A2183" s="18"/>
      <c r="B2183" s="62" t="n">
        <v>2354</v>
      </c>
      <c r="C2183" s="81" t="n">
        <v>43738</v>
      </c>
      <c r="D2183" s="64" t="s">
        <v>22</v>
      </c>
      <c r="E2183" s="65" t="s">
        <v>3323</v>
      </c>
      <c r="F2183" s="18" t="s">
        <v>3324</v>
      </c>
      <c r="G2183" s="62" t="n">
        <v>92</v>
      </c>
      <c r="H2183" s="62" t="n">
        <v>8</v>
      </c>
      <c r="I2183" s="62" t="n">
        <v>4</v>
      </c>
      <c r="J2183" s="62" t="n">
        <v>136.06</v>
      </c>
      <c r="K2183" s="66" t="n">
        <v>1349000</v>
      </c>
      <c r="L2183" s="66" t="n">
        <f aca="false">K2183/J2183</f>
        <v>9914.74349551668</v>
      </c>
      <c r="M2183" s="18" t="s">
        <v>3325</v>
      </c>
      <c r="N2183" s="54"/>
      <c r="O2183" s="66" t="n">
        <f aca="false">K2183+N2183</f>
        <v>1349000</v>
      </c>
      <c r="P2183" s="88" t="n">
        <f aca="false">O2183/J2183</f>
        <v>9914.74349551668</v>
      </c>
      <c r="Q2183" s="62" t="s">
        <v>3326</v>
      </c>
      <c r="R2183" s="65"/>
      <c r="S2183" s="62" t="s">
        <v>29</v>
      </c>
      <c r="T2183" s="62" t="s">
        <v>30</v>
      </c>
      <c r="U2183" s="123" t="s">
        <v>31</v>
      </c>
      <c r="V2183" s="81" t="n">
        <v>43801</v>
      </c>
      <c r="W2183" s="18" t="s">
        <v>3327</v>
      </c>
      <c r="X2183" s="18" t="s">
        <v>3328</v>
      </c>
    </row>
    <row r="2184" customFormat="false" ht="13.8" hidden="false" customHeight="false" outlineLevel="0" collapsed="false">
      <c r="A2184" s="18"/>
      <c r="B2184" s="62" t="n">
        <v>10279</v>
      </c>
      <c r="C2184" s="81" t="n">
        <v>43739</v>
      </c>
      <c r="D2184" s="64" t="s">
        <v>22</v>
      </c>
      <c r="E2184" s="65" t="s">
        <v>299</v>
      </c>
      <c r="F2184" s="18" t="s">
        <v>271</v>
      </c>
      <c r="G2184" s="62" t="n">
        <v>19</v>
      </c>
      <c r="H2184" s="62" t="n">
        <v>15</v>
      </c>
      <c r="I2184" s="62" t="n">
        <v>4</v>
      </c>
      <c r="J2184" s="62" t="n">
        <v>30.91</v>
      </c>
      <c r="K2184" s="66" t="n">
        <v>450000</v>
      </c>
      <c r="L2184" s="66" t="n">
        <f aca="false">K2184/J2184</f>
        <v>14558.3953413135</v>
      </c>
      <c r="M2184" s="18"/>
      <c r="N2184" s="54"/>
      <c r="O2184" s="66" t="n">
        <f aca="false">K2184+N2184</f>
        <v>450000</v>
      </c>
      <c r="P2184" s="88" t="n">
        <f aca="false">O2184/J2184</f>
        <v>14558.3953413135</v>
      </c>
      <c r="Q2184" s="62" t="s">
        <v>3157</v>
      </c>
      <c r="R2184" s="65" t="s">
        <v>36</v>
      </c>
      <c r="S2184" s="62" t="s">
        <v>29</v>
      </c>
      <c r="T2184" s="62" t="s">
        <v>30</v>
      </c>
      <c r="U2184" s="123" t="s">
        <v>31</v>
      </c>
      <c r="V2184" s="81" t="n">
        <v>43801</v>
      </c>
      <c r="W2184" s="18" t="s">
        <v>3329</v>
      </c>
      <c r="X2184" s="18"/>
    </row>
    <row r="2185" customFormat="false" ht="13.8" hidden="false" customHeight="false" outlineLevel="0" collapsed="false">
      <c r="A2185" s="18"/>
      <c r="B2185" s="65" t="s">
        <v>3330</v>
      </c>
      <c r="C2185" s="81" t="n">
        <v>43739</v>
      </c>
      <c r="D2185" s="64" t="s">
        <v>22</v>
      </c>
      <c r="E2185" s="65" t="s">
        <v>962</v>
      </c>
      <c r="F2185" s="18" t="s">
        <v>963</v>
      </c>
      <c r="G2185" s="62" t="n">
        <v>2</v>
      </c>
      <c r="H2185" s="62" t="n">
        <v>24</v>
      </c>
      <c r="I2185" s="62" t="n">
        <v>3</v>
      </c>
      <c r="J2185" s="62" t="n">
        <v>37.97</v>
      </c>
      <c r="K2185" s="66" t="n">
        <v>461000</v>
      </c>
      <c r="L2185" s="66" t="n">
        <f aca="false">K2185/J2185</f>
        <v>12141.1640769028</v>
      </c>
      <c r="M2185" s="18" t="s">
        <v>3331</v>
      </c>
      <c r="N2185" s="54"/>
      <c r="O2185" s="66" t="n">
        <f aca="false">K2185+N2185</f>
        <v>461000</v>
      </c>
      <c r="P2185" s="88" t="n">
        <f aca="false">O2185/J2185</f>
        <v>12141.1640769028</v>
      </c>
      <c r="Q2185" s="62" t="s">
        <v>1224</v>
      </c>
      <c r="R2185" s="65" t="s">
        <v>27</v>
      </c>
      <c r="S2185" s="62" t="s">
        <v>29</v>
      </c>
      <c r="T2185" s="62" t="s">
        <v>30</v>
      </c>
      <c r="U2185" s="123" t="s">
        <v>31</v>
      </c>
      <c r="V2185" s="81" t="n">
        <v>43801</v>
      </c>
      <c r="W2185" s="18" t="s">
        <v>3332</v>
      </c>
      <c r="X2185" s="18"/>
    </row>
    <row r="2186" customFormat="false" ht="13.8" hidden="false" customHeight="false" outlineLevel="0" collapsed="false">
      <c r="A2186" s="18"/>
      <c r="B2186" s="62" t="n">
        <v>62774</v>
      </c>
      <c r="C2186" s="81" t="n">
        <v>43739</v>
      </c>
      <c r="D2186" s="64" t="s">
        <v>22</v>
      </c>
      <c r="E2186" s="65" t="s">
        <v>276</v>
      </c>
      <c r="F2186" s="18" t="s">
        <v>38</v>
      </c>
      <c r="G2186" s="62" t="n">
        <v>34</v>
      </c>
      <c r="H2186" s="62" t="n">
        <v>55</v>
      </c>
      <c r="I2186" s="62" t="n">
        <v>5</v>
      </c>
      <c r="J2186" s="62" t="n">
        <v>58.1</v>
      </c>
      <c r="K2186" s="66" t="n">
        <v>465000</v>
      </c>
      <c r="L2186" s="66" t="n">
        <f aca="false">K2186/J2186</f>
        <v>8003.44234079174</v>
      </c>
      <c r="M2186" s="18"/>
      <c r="N2186" s="54"/>
      <c r="O2186" s="66" t="n">
        <f aca="false">K2186+N2186</f>
        <v>465000</v>
      </c>
      <c r="P2186" s="88" t="n">
        <f aca="false">O2186/J2186</f>
        <v>8003.44234079174</v>
      </c>
      <c r="Q2186" s="62" t="s">
        <v>1877</v>
      </c>
      <c r="R2186" s="65" t="s">
        <v>26</v>
      </c>
      <c r="S2186" s="62" t="s">
        <v>1141</v>
      </c>
      <c r="T2186" s="62" t="s">
        <v>30</v>
      </c>
      <c r="U2186" s="123" t="s">
        <v>31</v>
      </c>
      <c r="V2186" s="81" t="n">
        <v>43801</v>
      </c>
      <c r="W2186" s="18" t="s">
        <v>3333</v>
      </c>
      <c r="X2186" s="18"/>
    </row>
    <row r="2187" customFormat="false" ht="13.8" hidden="false" customHeight="false" outlineLevel="0" collapsed="false">
      <c r="A2187" s="18"/>
      <c r="B2187" s="62" t="n">
        <v>5436</v>
      </c>
      <c r="C2187" s="81" t="n">
        <v>43739</v>
      </c>
      <c r="D2187" s="64" t="s">
        <v>22</v>
      </c>
      <c r="E2187" s="65" t="s">
        <v>399</v>
      </c>
      <c r="F2187" s="18" t="s">
        <v>400</v>
      </c>
      <c r="G2187" s="62" t="n">
        <v>1</v>
      </c>
      <c r="H2187" s="62" t="n">
        <v>10</v>
      </c>
      <c r="I2187" s="62" t="n">
        <v>5</v>
      </c>
      <c r="J2187" s="62" t="n">
        <v>88.24</v>
      </c>
      <c r="K2187" s="66" t="n">
        <v>1260000</v>
      </c>
      <c r="L2187" s="66" t="n">
        <f aca="false">K2187/J2187</f>
        <v>14279.2384406165</v>
      </c>
      <c r="M2187" s="18" t="s">
        <v>3334</v>
      </c>
      <c r="N2187" s="54" t="n">
        <v>41000</v>
      </c>
      <c r="O2187" s="66" t="n">
        <f aca="false">K2187+N2187</f>
        <v>1301000</v>
      </c>
      <c r="P2187" s="88" t="n">
        <f aca="false">O2187/J2187</f>
        <v>14743.8803263826</v>
      </c>
      <c r="Q2187" s="62" t="s">
        <v>3335</v>
      </c>
      <c r="R2187" s="65" t="s">
        <v>26</v>
      </c>
      <c r="S2187" s="62" t="s">
        <v>29</v>
      </c>
      <c r="T2187" s="62" t="s">
        <v>30</v>
      </c>
      <c r="U2187" s="123" t="s">
        <v>31</v>
      </c>
      <c r="V2187" s="81" t="n">
        <v>43801</v>
      </c>
      <c r="W2187" s="18" t="s">
        <v>3336</v>
      </c>
      <c r="X2187" s="18"/>
    </row>
    <row r="2188" customFormat="false" ht="13.8" hidden="false" customHeight="false" outlineLevel="0" collapsed="false">
      <c r="A2188" s="18"/>
      <c r="B2188" s="62" t="n">
        <v>17054</v>
      </c>
      <c r="C2188" s="81" t="n">
        <v>43739</v>
      </c>
      <c r="D2188" s="64" t="s">
        <v>22</v>
      </c>
      <c r="E2188" s="65" t="s">
        <v>42</v>
      </c>
      <c r="F2188" s="18" t="s">
        <v>3337</v>
      </c>
      <c r="G2188" s="62" t="n">
        <v>7</v>
      </c>
      <c r="H2188" s="62" t="n">
        <v>1</v>
      </c>
      <c r="I2188" s="62" t="n">
        <v>1</v>
      </c>
      <c r="J2188" s="62" t="n">
        <v>48.4</v>
      </c>
      <c r="K2188" s="66" t="n">
        <v>463000</v>
      </c>
      <c r="L2188" s="66" t="n">
        <f aca="false">K2188/J2188</f>
        <v>9566.11570247934</v>
      </c>
      <c r="M2188" s="18" t="s">
        <v>3338</v>
      </c>
      <c r="N2188" s="54"/>
      <c r="O2188" s="66" t="n">
        <f aca="false">K2188+N2188</f>
        <v>463000</v>
      </c>
      <c r="P2188" s="88" t="n">
        <f aca="false">O2188/J2188</f>
        <v>9566.11570247934</v>
      </c>
      <c r="Q2188" s="62" t="s">
        <v>903</v>
      </c>
      <c r="R2188" s="65" t="s">
        <v>36</v>
      </c>
      <c r="S2188" s="62" t="s">
        <v>29</v>
      </c>
      <c r="T2188" s="62" t="s">
        <v>30</v>
      </c>
      <c r="U2188" s="123" t="s">
        <v>31</v>
      </c>
      <c r="V2188" s="81" t="n">
        <v>43801</v>
      </c>
      <c r="W2188" s="18" t="s">
        <v>3339</v>
      </c>
      <c r="X2188" s="18"/>
    </row>
    <row r="2189" customFormat="false" ht="13.8" hidden="false" customHeight="false" outlineLevel="0" collapsed="false">
      <c r="A2189" s="18"/>
      <c r="B2189" s="62" t="n">
        <v>4055</v>
      </c>
      <c r="C2189" s="81" t="n">
        <v>43739</v>
      </c>
      <c r="D2189" s="64" t="s">
        <v>22</v>
      </c>
      <c r="E2189" s="65" t="s">
        <v>278</v>
      </c>
      <c r="F2189" s="18" t="s">
        <v>3340</v>
      </c>
      <c r="G2189" s="62" t="n">
        <v>59</v>
      </c>
      <c r="H2189" s="62" t="n">
        <v>8</v>
      </c>
      <c r="I2189" s="62" t="n">
        <v>2</v>
      </c>
      <c r="J2189" s="62" t="n">
        <v>43.21</v>
      </c>
      <c r="K2189" s="66" t="n">
        <v>508000</v>
      </c>
      <c r="L2189" s="66" t="n">
        <f aca="false">K2189/J2189</f>
        <v>11756.5378384633</v>
      </c>
      <c r="M2189" s="18" t="s">
        <v>3341</v>
      </c>
      <c r="N2189" s="54"/>
      <c r="O2189" s="66" t="n">
        <f aca="false">K2189+N2189</f>
        <v>508000</v>
      </c>
      <c r="P2189" s="88" t="n">
        <f aca="false">O2189/J2189</f>
        <v>11756.5378384633</v>
      </c>
      <c r="Q2189" s="62" t="s">
        <v>1181</v>
      </c>
      <c r="R2189" s="65" t="s">
        <v>27</v>
      </c>
      <c r="S2189" s="62" t="s">
        <v>29</v>
      </c>
      <c r="T2189" s="62" t="s">
        <v>30</v>
      </c>
      <c r="U2189" s="123" t="s">
        <v>31</v>
      </c>
      <c r="V2189" s="81" t="n">
        <v>43801</v>
      </c>
      <c r="W2189" s="18" t="s">
        <v>3342</v>
      </c>
      <c r="X2189" s="18"/>
    </row>
    <row r="2190" customFormat="false" ht="13.8" hidden="false" customHeight="false" outlineLevel="0" collapsed="false">
      <c r="A2190" s="18"/>
      <c r="B2190" s="62" t="n">
        <v>6341</v>
      </c>
      <c r="C2190" s="81" t="n">
        <v>43739</v>
      </c>
      <c r="D2190" s="64" t="s">
        <v>22</v>
      </c>
      <c r="E2190" s="65" t="s">
        <v>265</v>
      </c>
      <c r="F2190" s="18" t="s">
        <v>456</v>
      </c>
      <c r="G2190" s="62" t="n">
        <v>39</v>
      </c>
      <c r="H2190" s="62" t="n">
        <v>3</v>
      </c>
      <c r="I2190" s="62" t="n">
        <v>1</v>
      </c>
      <c r="J2190" s="62" t="n">
        <v>33.8</v>
      </c>
      <c r="K2190" s="66" t="n">
        <v>390000</v>
      </c>
      <c r="L2190" s="66" t="n">
        <f aca="false">K2190/J2190</f>
        <v>11538.4615384615</v>
      </c>
      <c r="M2190" s="18" t="s">
        <v>3343</v>
      </c>
      <c r="N2190" s="54"/>
      <c r="O2190" s="66" t="n">
        <f aca="false">K2190+N2190</f>
        <v>390000</v>
      </c>
      <c r="P2190" s="88" t="n">
        <f aca="false">O2190/J2190</f>
        <v>11538.4615384615</v>
      </c>
      <c r="Q2190" s="62" t="s">
        <v>1181</v>
      </c>
      <c r="R2190" s="65" t="s">
        <v>27</v>
      </c>
      <c r="S2190" s="62" t="s">
        <v>29</v>
      </c>
      <c r="T2190" s="62" t="s">
        <v>30</v>
      </c>
      <c r="U2190" s="123" t="s">
        <v>31</v>
      </c>
      <c r="V2190" s="81" t="n">
        <v>43801</v>
      </c>
      <c r="W2190" s="18" t="s">
        <v>3344</v>
      </c>
      <c r="X2190" s="18"/>
    </row>
    <row r="2191" customFormat="false" ht="13.8" hidden="false" customHeight="false" outlineLevel="0" collapsed="false">
      <c r="A2191" s="18"/>
      <c r="B2191" s="62" t="n">
        <v>4637</v>
      </c>
      <c r="C2191" s="81" t="n">
        <v>43739</v>
      </c>
      <c r="D2191" s="64" t="s">
        <v>22</v>
      </c>
      <c r="E2191" s="65" t="s">
        <v>125</v>
      </c>
      <c r="F2191" s="18" t="s">
        <v>73</v>
      </c>
      <c r="G2191" s="62" t="n">
        <v>20</v>
      </c>
      <c r="H2191" s="62" t="n">
        <v>23</v>
      </c>
      <c r="I2191" s="62" t="n">
        <v>4</v>
      </c>
      <c r="J2191" s="62" t="n">
        <v>52</v>
      </c>
      <c r="K2191" s="66" t="n">
        <v>610000</v>
      </c>
      <c r="L2191" s="66" t="n">
        <f aca="false">K2191/J2191</f>
        <v>11730.7692307692</v>
      </c>
      <c r="M2191" s="18"/>
      <c r="N2191" s="54"/>
      <c r="O2191" s="66" t="n">
        <f aca="false">K2191+N2191</f>
        <v>610000</v>
      </c>
      <c r="P2191" s="88" t="n">
        <f aca="false">O2191/J2191</f>
        <v>11730.7692307692</v>
      </c>
      <c r="Q2191" s="62" t="s">
        <v>3345</v>
      </c>
      <c r="R2191" s="65" t="s">
        <v>26</v>
      </c>
      <c r="S2191" s="62" t="s">
        <v>29</v>
      </c>
      <c r="T2191" s="62" t="s">
        <v>30</v>
      </c>
      <c r="U2191" s="123" t="s">
        <v>31</v>
      </c>
      <c r="V2191" s="81" t="n">
        <v>43801</v>
      </c>
      <c r="W2191" s="18" t="s">
        <v>3346</v>
      </c>
      <c r="X2191" s="18"/>
    </row>
    <row r="2192" customFormat="false" ht="13.8" hidden="false" customHeight="false" outlineLevel="0" collapsed="false">
      <c r="A2192" s="18"/>
      <c r="B2192" s="62" t="n">
        <v>13117</v>
      </c>
      <c r="C2192" s="81" t="n">
        <v>43739</v>
      </c>
      <c r="D2192" s="64" t="s">
        <v>22</v>
      </c>
      <c r="E2192" s="65" t="s">
        <v>287</v>
      </c>
      <c r="F2192" s="18" t="s">
        <v>3347</v>
      </c>
      <c r="G2192" s="62" t="n">
        <v>4</v>
      </c>
      <c r="H2192" s="62" t="n">
        <v>1</v>
      </c>
      <c r="I2192" s="62" t="n">
        <v>1</v>
      </c>
      <c r="J2192" s="62" t="n">
        <v>103</v>
      </c>
      <c r="K2192" s="66" t="n">
        <v>1650000</v>
      </c>
      <c r="L2192" s="66" t="n">
        <f aca="false">K2192/J2192</f>
        <v>16019.4174757282</v>
      </c>
      <c r="M2192" s="18"/>
      <c r="N2192" s="54"/>
      <c r="O2192" s="66" t="n">
        <f aca="false">K2192+N2192</f>
        <v>1650000</v>
      </c>
      <c r="P2192" s="88" t="n">
        <f aca="false">O2192/J2192</f>
        <v>16019.4174757282</v>
      </c>
      <c r="Q2192" s="62" t="s">
        <v>3348</v>
      </c>
      <c r="R2192" s="65" t="s">
        <v>57</v>
      </c>
      <c r="S2192" s="62" t="s">
        <v>29</v>
      </c>
      <c r="T2192" s="62" t="s">
        <v>30</v>
      </c>
      <c r="U2192" s="123" t="s">
        <v>31</v>
      </c>
      <c r="V2192" s="81" t="n">
        <v>43801</v>
      </c>
      <c r="W2192" s="18" t="s">
        <v>3349</v>
      </c>
      <c r="X2192" s="18"/>
    </row>
    <row r="2193" customFormat="false" ht="13.8" hidden="false" customHeight="false" outlineLevel="0" collapsed="false">
      <c r="A2193" s="18"/>
      <c r="B2193" s="62" t="n">
        <v>3598</v>
      </c>
      <c r="C2193" s="81" t="n">
        <v>43739</v>
      </c>
      <c r="D2193" s="64" t="s">
        <v>22</v>
      </c>
      <c r="E2193" s="65" t="s">
        <v>80</v>
      </c>
      <c r="F2193" s="18" t="s">
        <v>754</v>
      </c>
      <c r="G2193" s="62" t="n">
        <v>5</v>
      </c>
      <c r="H2193" s="62" t="n">
        <v>103</v>
      </c>
      <c r="I2193" s="62"/>
      <c r="J2193" s="62" t="n">
        <v>86.37</v>
      </c>
      <c r="K2193" s="66" t="n">
        <v>1189000</v>
      </c>
      <c r="L2193" s="66" t="n">
        <f aca="false">K2193/J2193</f>
        <v>13766.354058122</v>
      </c>
      <c r="M2193" s="18" t="s">
        <v>3350</v>
      </c>
      <c r="N2193" s="54"/>
      <c r="O2193" s="66" t="n">
        <f aca="false">K2193+N2193</f>
        <v>1189000</v>
      </c>
      <c r="P2193" s="88" t="n">
        <f aca="false">O2193/J2193</f>
        <v>13766.354058122</v>
      </c>
      <c r="Q2193" s="62" t="s">
        <v>3351</v>
      </c>
      <c r="R2193" s="65" t="s">
        <v>26</v>
      </c>
      <c r="S2193" s="62" t="s">
        <v>29</v>
      </c>
      <c r="T2193" s="62" t="s">
        <v>30</v>
      </c>
      <c r="U2193" s="123" t="s">
        <v>31</v>
      </c>
      <c r="V2193" s="81" t="n">
        <v>43801</v>
      </c>
      <c r="W2193" s="18" t="s">
        <v>3352</v>
      </c>
      <c r="X2193" s="18"/>
    </row>
    <row r="2194" customFormat="false" ht="13.8" hidden="false" customHeight="false" outlineLevel="0" collapsed="false">
      <c r="A2194" s="18"/>
      <c r="B2194" s="62" t="n">
        <v>10786</v>
      </c>
      <c r="C2194" s="81" t="n">
        <v>43740</v>
      </c>
      <c r="D2194" s="64" t="s">
        <v>22</v>
      </c>
      <c r="E2194" s="65" t="s">
        <v>962</v>
      </c>
      <c r="F2194" s="18" t="s">
        <v>963</v>
      </c>
      <c r="G2194" s="62" t="n">
        <v>1</v>
      </c>
      <c r="H2194" s="62" t="n">
        <v>72</v>
      </c>
      <c r="I2194" s="62" t="n">
        <v>6</v>
      </c>
      <c r="J2194" s="62" t="n">
        <v>44.77</v>
      </c>
      <c r="K2194" s="66" t="n">
        <v>620000</v>
      </c>
      <c r="L2194" s="66" t="n">
        <f aca="false">K2194/J2194</f>
        <v>13848.5593031048</v>
      </c>
      <c r="M2194" s="18" t="s">
        <v>3353</v>
      </c>
      <c r="N2194" s="54"/>
      <c r="O2194" s="66" t="n">
        <f aca="false">K2194+N2194</f>
        <v>620000</v>
      </c>
      <c r="P2194" s="88" t="n">
        <f aca="false">O2194/J2194</f>
        <v>13848.5593031048</v>
      </c>
      <c r="Q2194" s="62" t="s">
        <v>3354</v>
      </c>
      <c r="R2194" s="65"/>
      <c r="S2194" s="62" t="s">
        <v>29</v>
      </c>
      <c r="T2194" s="62" t="s">
        <v>30</v>
      </c>
      <c r="U2194" s="123" t="s">
        <v>31</v>
      </c>
      <c r="V2194" s="81" t="n">
        <v>43801</v>
      </c>
      <c r="W2194" s="18" t="s">
        <v>3355</v>
      </c>
      <c r="X2194" s="18"/>
    </row>
    <row r="2195" customFormat="false" ht="13.8" hidden="false" customHeight="false" outlineLevel="0" collapsed="false">
      <c r="A2195" s="18"/>
      <c r="B2195" s="62" t="n">
        <v>4739</v>
      </c>
      <c r="C2195" s="81" t="n">
        <v>43740</v>
      </c>
      <c r="D2195" s="64" t="s">
        <v>22</v>
      </c>
      <c r="E2195" s="65" t="s">
        <v>140</v>
      </c>
      <c r="F2195" s="18" t="s">
        <v>273</v>
      </c>
      <c r="G2195" s="62" t="s">
        <v>274</v>
      </c>
      <c r="H2195" s="62" t="n">
        <v>53</v>
      </c>
      <c r="I2195" s="62" t="n">
        <v>9</v>
      </c>
      <c r="J2195" s="62" t="n">
        <v>42.42</v>
      </c>
      <c r="K2195" s="66" t="n">
        <v>505000</v>
      </c>
      <c r="L2195" s="66" t="n">
        <f aca="false">K2195/J2195</f>
        <v>11904.7619047619</v>
      </c>
      <c r="M2195" s="18"/>
      <c r="N2195" s="54"/>
      <c r="O2195" s="66" t="n">
        <f aca="false">K2195+N2195</f>
        <v>505000</v>
      </c>
      <c r="P2195" s="88" t="n">
        <f aca="false">O2195/J2195</f>
        <v>11904.7619047619</v>
      </c>
      <c r="Q2195" s="62" t="s">
        <v>861</v>
      </c>
      <c r="R2195" s="65" t="s">
        <v>26</v>
      </c>
      <c r="S2195" s="62" t="s">
        <v>29</v>
      </c>
      <c r="T2195" s="62" t="s">
        <v>30</v>
      </c>
      <c r="U2195" s="123" t="s">
        <v>31</v>
      </c>
      <c r="V2195" s="81" t="n">
        <v>43801</v>
      </c>
      <c r="W2195" s="18" t="s">
        <v>3356</v>
      </c>
      <c r="X2195" s="18"/>
    </row>
    <row r="2196" customFormat="false" ht="13.8" hidden="false" customHeight="false" outlineLevel="0" collapsed="false">
      <c r="A2196" s="18"/>
      <c r="B2196" s="62" t="n">
        <v>17105</v>
      </c>
      <c r="C2196" s="81" t="n">
        <v>43740</v>
      </c>
      <c r="D2196" s="64" t="s">
        <v>22</v>
      </c>
      <c r="E2196" s="65" t="s">
        <v>187</v>
      </c>
      <c r="F2196" s="18" t="s">
        <v>1041</v>
      </c>
      <c r="G2196" s="62" t="n">
        <v>73</v>
      </c>
      <c r="H2196" s="62" t="n">
        <v>33</v>
      </c>
      <c r="I2196" s="62" t="n">
        <v>3</v>
      </c>
      <c r="J2196" s="62" t="n">
        <v>40.49</v>
      </c>
      <c r="K2196" s="66" t="n">
        <v>480000</v>
      </c>
      <c r="L2196" s="66" t="n">
        <f aca="false">K2196/J2196</f>
        <v>11854.7789577674</v>
      </c>
      <c r="M2196" s="18" t="s">
        <v>3357</v>
      </c>
      <c r="N2196" s="54"/>
      <c r="O2196" s="66" t="n">
        <f aca="false">K2196+N2196</f>
        <v>480000</v>
      </c>
      <c r="P2196" s="88" t="n">
        <f aca="false">O2196/J2196</f>
        <v>11854.7789577674</v>
      </c>
      <c r="Q2196" s="62" t="s">
        <v>903</v>
      </c>
      <c r="R2196" s="65" t="s">
        <v>36</v>
      </c>
      <c r="S2196" s="62" t="s">
        <v>29</v>
      </c>
      <c r="T2196" s="62" t="s">
        <v>30</v>
      </c>
      <c r="U2196" s="123" t="s">
        <v>31</v>
      </c>
      <c r="V2196" s="81" t="n">
        <v>43801</v>
      </c>
      <c r="W2196" s="18" t="s">
        <v>3358</v>
      </c>
      <c r="X2196" s="18"/>
    </row>
    <row r="2197" customFormat="false" ht="13.8" hidden="false" customHeight="false" outlineLevel="0" collapsed="false">
      <c r="A2197" s="18"/>
      <c r="B2197" s="62" t="n">
        <v>7049</v>
      </c>
      <c r="C2197" s="81" t="n">
        <v>43740</v>
      </c>
      <c r="D2197" s="64" t="s">
        <v>22</v>
      </c>
      <c r="E2197" s="65" t="s">
        <v>45</v>
      </c>
      <c r="F2197" s="18" t="s">
        <v>46</v>
      </c>
      <c r="G2197" s="62" t="s">
        <v>139</v>
      </c>
      <c r="H2197" s="62" t="n">
        <v>22</v>
      </c>
      <c r="I2197" s="62" t="n">
        <v>6</v>
      </c>
      <c r="J2197" s="62" t="n">
        <v>90.83</v>
      </c>
      <c r="K2197" s="66" t="n">
        <v>1050000</v>
      </c>
      <c r="L2197" s="66" t="n">
        <f aca="false">K2197/J2197</f>
        <v>11560.0572498073</v>
      </c>
      <c r="M2197" s="18"/>
      <c r="N2197" s="54"/>
      <c r="O2197" s="66" t="n">
        <f aca="false">K2197+N2197</f>
        <v>1050000</v>
      </c>
      <c r="P2197" s="88" t="n">
        <f aca="false">O2197/J2197</f>
        <v>11560.0572498073</v>
      </c>
      <c r="Q2197" s="62" t="s">
        <v>3359</v>
      </c>
      <c r="R2197" s="65" t="s">
        <v>26</v>
      </c>
      <c r="S2197" s="62" t="s">
        <v>29</v>
      </c>
      <c r="T2197" s="62" t="s">
        <v>30</v>
      </c>
      <c r="U2197" s="123" t="s">
        <v>31</v>
      </c>
      <c r="V2197" s="81" t="n">
        <v>43801</v>
      </c>
      <c r="W2197" s="18" t="s">
        <v>3360</v>
      </c>
      <c r="X2197" s="18"/>
    </row>
    <row r="2198" customFormat="false" ht="13.8" hidden="false" customHeight="false" outlineLevel="0" collapsed="false">
      <c r="A2198" s="18"/>
      <c r="B2198" s="62" t="n">
        <v>9785</v>
      </c>
      <c r="C2198" s="81" t="n">
        <v>43741</v>
      </c>
      <c r="D2198" s="64" t="s">
        <v>22</v>
      </c>
      <c r="E2198" s="65" t="s">
        <v>129</v>
      </c>
      <c r="F2198" s="18" t="s">
        <v>3361</v>
      </c>
      <c r="G2198" s="62" t="n">
        <v>14</v>
      </c>
      <c r="H2198" s="62" t="n">
        <v>616</v>
      </c>
      <c r="I2198" s="62" t="n">
        <v>6</v>
      </c>
      <c r="J2198" s="62" t="n">
        <v>42.9</v>
      </c>
      <c r="K2198" s="66" t="n">
        <v>250000</v>
      </c>
      <c r="L2198" s="66" t="n">
        <f aca="false">K2198/J2198</f>
        <v>5827.50582750583</v>
      </c>
      <c r="M2198" s="18" t="s">
        <v>987</v>
      </c>
      <c r="N2198" s="54"/>
      <c r="O2198" s="66" t="n">
        <f aca="false">K2198+N2198</f>
        <v>250000</v>
      </c>
      <c r="P2198" s="88" t="n">
        <f aca="false">O2198/J2198</f>
        <v>5827.50582750583</v>
      </c>
      <c r="Q2198" s="62" t="s">
        <v>1431</v>
      </c>
      <c r="R2198" s="65" t="s">
        <v>36</v>
      </c>
      <c r="S2198" s="62" t="s">
        <v>29</v>
      </c>
      <c r="T2198" s="62" t="s">
        <v>30</v>
      </c>
      <c r="U2198" s="123" t="s">
        <v>31</v>
      </c>
      <c r="V2198" s="81" t="n">
        <v>43801</v>
      </c>
      <c r="W2198" s="18" t="s">
        <v>3362</v>
      </c>
      <c r="X2198" s="18"/>
    </row>
    <row r="2199" customFormat="false" ht="13.8" hidden="false" customHeight="false" outlineLevel="0" collapsed="false">
      <c r="A2199" s="18"/>
      <c r="B2199" s="62" t="n">
        <v>3751</v>
      </c>
      <c r="C2199" s="81" t="n">
        <v>43741</v>
      </c>
      <c r="D2199" s="64" t="s">
        <v>22</v>
      </c>
      <c r="E2199" s="65" t="s">
        <v>3147</v>
      </c>
      <c r="F2199" s="18" t="s">
        <v>3363</v>
      </c>
      <c r="G2199" s="62" t="n">
        <v>17</v>
      </c>
      <c r="H2199" s="62" t="n">
        <v>3</v>
      </c>
      <c r="I2199" s="62" t="n">
        <v>2</v>
      </c>
      <c r="J2199" s="62" t="n">
        <v>59</v>
      </c>
      <c r="K2199" s="66" t="n">
        <v>235000</v>
      </c>
      <c r="L2199" s="66" t="n">
        <f aca="false">K2199/J2199</f>
        <v>3983.05084745763</v>
      </c>
      <c r="M2199" s="18"/>
      <c r="N2199" s="54"/>
      <c r="O2199" s="66" t="n">
        <f aca="false">K2199+N2199</f>
        <v>235000</v>
      </c>
      <c r="P2199" s="88" t="n">
        <f aca="false">O2199/J2199</f>
        <v>3983.05084745763</v>
      </c>
      <c r="Q2199" s="62" t="s">
        <v>3364</v>
      </c>
      <c r="R2199" s="65" t="s">
        <v>49</v>
      </c>
      <c r="S2199" s="62" t="s">
        <v>29</v>
      </c>
      <c r="T2199" s="62" t="s">
        <v>30</v>
      </c>
      <c r="U2199" s="123" t="s">
        <v>31</v>
      </c>
      <c r="V2199" s="81" t="n">
        <v>43801</v>
      </c>
      <c r="W2199" s="18" t="s">
        <v>3365</v>
      </c>
      <c r="X2199" s="18"/>
    </row>
    <row r="2200" customFormat="false" ht="13.8" hidden="false" customHeight="false" outlineLevel="0" collapsed="false">
      <c r="A2200" s="18"/>
      <c r="B2200" s="62" t="n">
        <v>3013</v>
      </c>
      <c r="C2200" s="81" t="n">
        <v>43741</v>
      </c>
      <c r="D2200" s="64" t="s">
        <v>22</v>
      </c>
      <c r="E2200" s="65" t="s">
        <v>343</v>
      </c>
      <c r="F2200" s="18" t="s">
        <v>392</v>
      </c>
      <c r="G2200" s="62" t="n">
        <v>68</v>
      </c>
      <c r="H2200" s="62" t="n">
        <v>44</v>
      </c>
      <c r="I2200" s="62" t="n">
        <v>4</v>
      </c>
      <c r="J2200" s="62" t="n">
        <v>55.76</v>
      </c>
      <c r="K2200" s="66" t="n">
        <v>574000</v>
      </c>
      <c r="L2200" s="66" t="n">
        <f aca="false">K2200/J2200</f>
        <v>10294.1176470588</v>
      </c>
      <c r="M2200" s="18" t="s">
        <v>987</v>
      </c>
      <c r="N2200" s="54" t="n">
        <v>20000</v>
      </c>
      <c r="O2200" s="66" t="n">
        <f aca="false">K2200+N2200</f>
        <v>594000</v>
      </c>
      <c r="P2200" s="88" t="n">
        <f aca="false">O2200/J2200</f>
        <v>10652.7977044476</v>
      </c>
      <c r="Q2200" s="62" t="s">
        <v>1330</v>
      </c>
      <c r="R2200" s="65" t="s">
        <v>36</v>
      </c>
      <c r="S2200" s="62" t="s">
        <v>29</v>
      </c>
      <c r="T2200" s="62" t="s">
        <v>30</v>
      </c>
      <c r="U2200" s="123" t="s">
        <v>31</v>
      </c>
      <c r="V2200" s="81" t="n">
        <v>43801</v>
      </c>
      <c r="W2200" s="18" t="s">
        <v>3366</v>
      </c>
      <c r="X2200" s="18"/>
    </row>
    <row r="2201" customFormat="false" ht="13.8" hidden="false" customHeight="false" outlineLevel="0" collapsed="false">
      <c r="A2201" s="18"/>
      <c r="B2201" s="62" t="n">
        <v>17220</v>
      </c>
      <c r="C2201" s="81" t="n">
        <v>43741</v>
      </c>
      <c r="D2201" s="64" t="s">
        <v>22</v>
      </c>
      <c r="E2201" s="65" t="s">
        <v>206</v>
      </c>
      <c r="F2201" s="18" t="s">
        <v>191</v>
      </c>
      <c r="G2201" s="65" t="s">
        <v>192</v>
      </c>
      <c r="H2201" s="62" t="n">
        <v>49</v>
      </c>
      <c r="I2201" s="62" t="n">
        <v>9</v>
      </c>
      <c r="J2201" s="62" t="n">
        <v>69.36</v>
      </c>
      <c r="K2201" s="66" t="n">
        <v>475000</v>
      </c>
      <c r="L2201" s="66" t="n">
        <f aca="false">K2201/J2201</f>
        <v>6848.32756632065</v>
      </c>
      <c r="M2201" s="18" t="s">
        <v>3367</v>
      </c>
      <c r="N2201" s="54"/>
      <c r="O2201" s="66" t="n">
        <f aca="false">K2201+N2201</f>
        <v>475000</v>
      </c>
      <c r="P2201" s="88" t="n">
        <f aca="false">O2201/J2201</f>
        <v>6848.32756632065</v>
      </c>
      <c r="Q2201" s="62" t="s">
        <v>861</v>
      </c>
      <c r="R2201" s="65" t="s">
        <v>26</v>
      </c>
      <c r="S2201" s="62" t="s">
        <v>29</v>
      </c>
      <c r="T2201" s="62" t="s">
        <v>30</v>
      </c>
      <c r="U2201" s="123" t="s">
        <v>31</v>
      </c>
      <c r="V2201" s="81" t="n">
        <v>43801</v>
      </c>
      <c r="W2201" s="18" t="s">
        <v>3368</v>
      </c>
      <c r="X2201" s="18"/>
    </row>
    <row r="2202" customFormat="false" ht="13.8" hidden="false" customHeight="false" outlineLevel="0" collapsed="false">
      <c r="A2202" s="18"/>
      <c r="B2202" s="62" t="n">
        <v>4219</v>
      </c>
      <c r="C2202" s="81" t="n">
        <v>43741</v>
      </c>
      <c r="D2202" s="64" t="s">
        <v>22</v>
      </c>
      <c r="E2202" s="65" t="s">
        <v>287</v>
      </c>
      <c r="F2202" s="18" t="s">
        <v>288</v>
      </c>
      <c r="G2202" s="62" t="n">
        <v>30</v>
      </c>
      <c r="H2202" s="62" t="n">
        <v>19</v>
      </c>
      <c r="I2202" s="62" t="n">
        <v>4</v>
      </c>
      <c r="J2202" s="62" t="n">
        <v>31.38</v>
      </c>
      <c r="K2202" s="66" t="n">
        <v>365000</v>
      </c>
      <c r="L2202" s="66" t="n">
        <f aca="false">K2202/J2202</f>
        <v>11631.6124920331</v>
      </c>
      <c r="M2202" s="18"/>
      <c r="N2202" s="54"/>
      <c r="O2202" s="66" t="n">
        <f aca="false">K2202+N2202</f>
        <v>365000</v>
      </c>
      <c r="P2202" s="88" t="n">
        <f aca="false">O2202/J2202</f>
        <v>11631.6124920331</v>
      </c>
      <c r="Q2202" s="62" t="s">
        <v>1181</v>
      </c>
      <c r="R2202" s="65" t="s">
        <v>27</v>
      </c>
      <c r="S2202" s="62" t="s">
        <v>29</v>
      </c>
      <c r="T2202" s="62" t="s">
        <v>30</v>
      </c>
      <c r="U2202" s="123" t="s">
        <v>31</v>
      </c>
      <c r="V2202" s="81" t="n">
        <v>43801</v>
      </c>
      <c r="W2202" s="18" t="s">
        <v>3369</v>
      </c>
      <c r="X2202" s="18"/>
    </row>
    <row r="2203" customFormat="false" ht="13.8" hidden="false" customHeight="false" outlineLevel="0" collapsed="false">
      <c r="A2203" s="18"/>
      <c r="B2203" s="62" t="n">
        <v>2757</v>
      </c>
      <c r="C2203" s="81" t="n">
        <v>43741</v>
      </c>
      <c r="D2203" s="64" t="s">
        <v>22</v>
      </c>
      <c r="E2203" s="65" t="s">
        <v>289</v>
      </c>
      <c r="F2203" s="18" t="s">
        <v>290</v>
      </c>
      <c r="G2203" s="65" t="s">
        <v>326</v>
      </c>
      <c r="H2203" s="62" t="n">
        <v>3</v>
      </c>
      <c r="I2203" s="62" t="n">
        <v>1</v>
      </c>
      <c r="J2203" s="62" t="n">
        <v>43.28</v>
      </c>
      <c r="K2203" s="66" t="n">
        <v>435000</v>
      </c>
      <c r="L2203" s="66" t="n">
        <f aca="false">K2203/J2203</f>
        <v>10050.831792976</v>
      </c>
      <c r="M2203" s="18"/>
      <c r="N2203" s="54"/>
      <c r="O2203" s="66" t="n">
        <f aca="false">K2203+N2203</f>
        <v>435000</v>
      </c>
      <c r="P2203" s="88" t="n">
        <f aca="false">O2203/J2203</f>
        <v>10050.831792976</v>
      </c>
      <c r="Q2203" s="62" t="s">
        <v>3345</v>
      </c>
      <c r="R2203" s="65" t="s">
        <v>26</v>
      </c>
      <c r="S2203" s="62" t="s">
        <v>29</v>
      </c>
      <c r="T2203" s="62" t="s">
        <v>30</v>
      </c>
      <c r="U2203" s="123" t="s">
        <v>31</v>
      </c>
      <c r="V2203" s="81" t="n">
        <v>43801</v>
      </c>
      <c r="W2203" s="18" t="s">
        <v>3370</v>
      </c>
      <c r="X2203" s="18"/>
    </row>
    <row r="2204" customFormat="false" ht="13.8" hidden="false" customHeight="false" outlineLevel="0" collapsed="false">
      <c r="A2204" s="18"/>
      <c r="B2204" s="62" t="n">
        <v>4809</v>
      </c>
      <c r="C2204" s="81" t="n">
        <v>43741</v>
      </c>
      <c r="D2204" s="64" t="s">
        <v>22</v>
      </c>
      <c r="E2204" s="65" t="s">
        <v>399</v>
      </c>
      <c r="F2204" s="18" t="s">
        <v>617</v>
      </c>
      <c r="G2204" s="62" t="n">
        <v>2</v>
      </c>
      <c r="H2204" s="62" t="n">
        <v>36</v>
      </c>
      <c r="I2204" s="62" t="n">
        <v>4</v>
      </c>
      <c r="J2204" s="62" t="n">
        <v>120.74</v>
      </c>
      <c r="K2204" s="66" t="n">
        <v>1140000</v>
      </c>
      <c r="L2204" s="66" t="n">
        <f aca="false">K2204/J2204</f>
        <v>9441.77571641544</v>
      </c>
      <c r="M2204" s="18" t="s">
        <v>3371</v>
      </c>
      <c r="N2204" s="54" t="n">
        <v>50000</v>
      </c>
      <c r="O2204" s="66" t="n">
        <f aca="false">K2204+N2204</f>
        <v>1190000</v>
      </c>
      <c r="P2204" s="88" t="n">
        <f aca="false">O2204/J2204</f>
        <v>9855.88868643366</v>
      </c>
      <c r="Q2204" s="62" t="s">
        <v>3319</v>
      </c>
      <c r="R2204" s="65" t="s">
        <v>49</v>
      </c>
      <c r="S2204" s="62" t="s">
        <v>29</v>
      </c>
      <c r="T2204" s="62" t="s">
        <v>30</v>
      </c>
      <c r="U2204" s="123" t="s">
        <v>31</v>
      </c>
      <c r="V2204" s="81" t="n">
        <v>43801</v>
      </c>
      <c r="W2204" s="18" t="s">
        <v>3372</v>
      </c>
      <c r="X2204" s="18"/>
    </row>
    <row r="2205" customFormat="false" ht="13.8" hidden="false" customHeight="false" outlineLevel="0" collapsed="false">
      <c r="A2205" s="18"/>
      <c r="B2205" s="62" t="n">
        <v>2853</v>
      </c>
      <c r="C2205" s="81" t="n">
        <v>43742</v>
      </c>
      <c r="D2205" s="64" t="s">
        <v>22</v>
      </c>
      <c r="E2205" s="65" t="s">
        <v>319</v>
      </c>
      <c r="F2205" s="18" t="s">
        <v>320</v>
      </c>
      <c r="G2205" s="62" t="n">
        <v>3</v>
      </c>
      <c r="H2205" s="62" t="n">
        <v>9</v>
      </c>
      <c r="I2205" s="62" t="n">
        <v>3</v>
      </c>
      <c r="J2205" s="62" t="n">
        <v>57.45</v>
      </c>
      <c r="K2205" s="66" t="n">
        <v>587000</v>
      </c>
      <c r="L2205" s="66" t="n">
        <f aca="false">K2205/J2205</f>
        <v>10217.5805047868</v>
      </c>
      <c r="M2205" s="18" t="s">
        <v>987</v>
      </c>
      <c r="N2205" s="54" t="n">
        <v>20000</v>
      </c>
      <c r="O2205" s="66" t="n">
        <f aca="false">K2205+N2205</f>
        <v>607000</v>
      </c>
      <c r="P2205" s="88" t="n">
        <f aca="false">O2205/J2205</f>
        <v>10565.7093124456</v>
      </c>
      <c r="Q2205" s="62" t="s">
        <v>903</v>
      </c>
      <c r="R2205" s="65" t="s">
        <v>36</v>
      </c>
      <c r="S2205" s="62" t="s">
        <v>29</v>
      </c>
      <c r="T2205" s="62" t="s">
        <v>30</v>
      </c>
      <c r="U2205" s="123" t="s">
        <v>31</v>
      </c>
      <c r="V2205" s="81" t="n">
        <v>43801</v>
      </c>
      <c r="W2205" s="18" t="s">
        <v>3373</v>
      </c>
      <c r="X2205" s="18"/>
    </row>
    <row r="2206" customFormat="false" ht="13.8" hidden="false" customHeight="false" outlineLevel="0" collapsed="false">
      <c r="A2206" s="18"/>
      <c r="B2206" s="62" t="n">
        <v>3086</v>
      </c>
      <c r="C2206" s="81" t="n">
        <v>43742</v>
      </c>
      <c r="D2206" s="64" t="s">
        <v>22</v>
      </c>
      <c r="E2206" s="65" t="s">
        <v>65</v>
      </c>
      <c r="F2206" s="18" t="s">
        <v>619</v>
      </c>
      <c r="G2206" s="62" t="n">
        <v>4</v>
      </c>
      <c r="H2206" s="62" t="n">
        <v>29</v>
      </c>
      <c r="I2206" s="62" t="n">
        <v>8</v>
      </c>
      <c r="J2206" s="62" t="n">
        <v>63.5</v>
      </c>
      <c r="K2206" s="66" t="n">
        <v>410000</v>
      </c>
      <c r="L2206" s="66" t="n">
        <f aca="false">K2206/J2206</f>
        <v>6456.69291338583</v>
      </c>
      <c r="M2206" s="18"/>
      <c r="N2206" s="54"/>
      <c r="O2206" s="66" t="n">
        <f aca="false">K2206+N2206</f>
        <v>410000</v>
      </c>
      <c r="P2206" s="88" t="n">
        <f aca="false">O2206/J2206</f>
        <v>6456.69291338583</v>
      </c>
      <c r="Q2206" s="62" t="s">
        <v>1772</v>
      </c>
      <c r="R2206" s="65" t="s">
        <v>49</v>
      </c>
      <c r="S2206" s="62" t="s">
        <v>29</v>
      </c>
      <c r="T2206" s="62" t="s">
        <v>30</v>
      </c>
      <c r="U2206" s="123" t="s">
        <v>31</v>
      </c>
      <c r="V2206" s="81" t="n">
        <v>43801</v>
      </c>
      <c r="W2206" s="18" t="s">
        <v>3374</v>
      </c>
      <c r="X2206" s="18"/>
    </row>
    <row r="2207" customFormat="false" ht="13.8" hidden="false" customHeight="false" outlineLevel="0" collapsed="false">
      <c r="A2207" s="18"/>
      <c r="B2207" s="62" t="n">
        <v>3767</v>
      </c>
      <c r="C2207" s="81" t="n">
        <v>43742</v>
      </c>
      <c r="D2207" s="115" t="s">
        <v>22</v>
      </c>
      <c r="E2207" s="65" t="s">
        <v>235</v>
      </c>
      <c r="F2207" s="82" t="s">
        <v>2446</v>
      </c>
      <c r="G2207" s="65" t="s">
        <v>143</v>
      </c>
      <c r="H2207" s="112" t="s">
        <v>49</v>
      </c>
      <c r="I2207" s="112" t="s">
        <v>27</v>
      </c>
      <c r="J2207" s="83" t="n">
        <v>100.59</v>
      </c>
      <c r="K2207" s="84" t="n">
        <v>1100000</v>
      </c>
      <c r="L2207" s="113" t="n">
        <f aca="false">K2207/J2207</f>
        <v>10935.4806640819</v>
      </c>
      <c r="M2207" s="114"/>
      <c r="N2207" s="93"/>
      <c r="O2207" s="88" t="n">
        <v>1100000</v>
      </c>
      <c r="P2207" s="88" t="n">
        <v>10935.4806640819</v>
      </c>
      <c r="Q2207" s="83" t="s">
        <v>3375</v>
      </c>
      <c r="R2207" s="65" t="s">
        <v>49</v>
      </c>
      <c r="S2207" s="65" t="s">
        <v>29</v>
      </c>
      <c r="T2207" s="65" t="s">
        <v>30</v>
      </c>
      <c r="U2207" s="24" t="s">
        <v>31</v>
      </c>
      <c r="V2207" s="89" t="n">
        <v>43881</v>
      </c>
      <c r="W2207" s="18" t="s">
        <v>3376</v>
      </c>
      <c r="X2207" s="18"/>
    </row>
    <row r="2208" customFormat="false" ht="13.8" hidden="false" customHeight="false" outlineLevel="0" collapsed="false">
      <c r="A2208" s="18"/>
      <c r="B2208" s="62" t="n">
        <v>10742</v>
      </c>
      <c r="C2208" s="81" t="n">
        <v>43742</v>
      </c>
      <c r="D2208" s="64" t="s">
        <v>22</v>
      </c>
      <c r="E2208" s="65" t="s">
        <v>322</v>
      </c>
      <c r="F2208" s="18" t="s">
        <v>323</v>
      </c>
      <c r="G2208" s="62" t="n">
        <v>13</v>
      </c>
      <c r="H2208" s="62" t="n">
        <v>36</v>
      </c>
      <c r="I2208" s="62" t="n">
        <v>5</v>
      </c>
      <c r="J2208" s="62" t="n">
        <v>74.71</v>
      </c>
      <c r="K2208" s="66" t="n">
        <v>800006</v>
      </c>
      <c r="L2208" s="66" t="n">
        <f aca="false">K2208/J2208</f>
        <v>10708.1515192076</v>
      </c>
      <c r="M2208" s="18" t="s">
        <v>987</v>
      </c>
      <c r="N2208" s="54" t="n">
        <v>65000</v>
      </c>
      <c r="O2208" s="66" t="n">
        <f aca="false">K2208+N2208</f>
        <v>865006</v>
      </c>
      <c r="P2208" s="88" t="n">
        <f aca="false">O2208/J2208</f>
        <v>11578.1823049123</v>
      </c>
      <c r="Q2208" s="62" t="s">
        <v>1932</v>
      </c>
      <c r="R2208" s="65" t="s">
        <v>36</v>
      </c>
      <c r="S2208" s="62" t="s">
        <v>29</v>
      </c>
      <c r="T2208" s="62" t="s">
        <v>30</v>
      </c>
      <c r="U2208" s="123" t="s">
        <v>31</v>
      </c>
      <c r="V2208" s="81" t="n">
        <v>43801</v>
      </c>
      <c r="W2208" s="18" t="s">
        <v>3377</v>
      </c>
      <c r="X2208" s="18"/>
    </row>
    <row r="2209" customFormat="false" ht="13.8" hidden="false" customHeight="false" outlineLevel="0" collapsed="false">
      <c r="A2209" s="18"/>
      <c r="B2209" s="62" t="n">
        <v>3252</v>
      </c>
      <c r="C2209" s="81" t="n">
        <v>43745</v>
      </c>
      <c r="D2209" s="64" t="s">
        <v>22</v>
      </c>
      <c r="E2209" s="65" t="s">
        <v>129</v>
      </c>
      <c r="F2209" s="18" t="s">
        <v>3361</v>
      </c>
      <c r="G2209" s="62" t="n">
        <v>17</v>
      </c>
      <c r="H2209" s="62" t="n">
        <v>19</v>
      </c>
      <c r="I2209" s="62" t="n">
        <v>5</v>
      </c>
      <c r="J2209" s="62" t="n">
        <v>130.3</v>
      </c>
      <c r="K2209" s="66" t="n">
        <v>1015000</v>
      </c>
      <c r="L2209" s="66" t="n">
        <f aca="false">K2209/J2209</f>
        <v>7789.7160399079</v>
      </c>
      <c r="M2209" s="18"/>
      <c r="N2209" s="54"/>
      <c r="O2209" s="66" t="n">
        <f aca="false">K2209+N2209</f>
        <v>1015000</v>
      </c>
      <c r="P2209" s="88" t="n">
        <f aca="false">O2209/J2209</f>
        <v>7789.7160399079</v>
      </c>
      <c r="Q2209" s="62" t="s">
        <v>3378</v>
      </c>
      <c r="R2209" s="65" t="s">
        <v>26</v>
      </c>
      <c r="S2209" s="62" t="s">
        <v>29</v>
      </c>
      <c r="T2209" s="62" t="s">
        <v>30</v>
      </c>
      <c r="U2209" s="123" t="s">
        <v>31</v>
      </c>
      <c r="V2209" s="81" t="n">
        <v>43801</v>
      </c>
      <c r="W2209" s="18" t="s">
        <v>3379</v>
      </c>
      <c r="X2209" s="18"/>
    </row>
    <row r="2210" customFormat="false" ht="13.8" hidden="false" customHeight="false" outlineLevel="0" collapsed="false">
      <c r="A2210" s="18"/>
      <c r="B2210" s="62" t="n">
        <v>4739</v>
      </c>
      <c r="C2210" s="81" t="n">
        <v>43745</v>
      </c>
      <c r="D2210" s="64" t="s">
        <v>22</v>
      </c>
      <c r="E2210" s="65" t="s">
        <v>45</v>
      </c>
      <c r="F2210" s="18" t="s">
        <v>544</v>
      </c>
      <c r="G2210" s="65" t="s">
        <v>845</v>
      </c>
      <c r="H2210" s="62" t="n">
        <v>4</v>
      </c>
      <c r="I2210" s="62" t="n">
        <v>2</v>
      </c>
      <c r="J2210" s="62" t="n">
        <v>72.08</v>
      </c>
      <c r="K2210" s="66" t="n">
        <v>720000</v>
      </c>
      <c r="L2210" s="66" t="n">
        <f aca="false">K2210/J2210</f>
        <v>9988.90122086571</v>
      </c>
      <c r="M2210" s="18"/>
      <c r="N2210" s="54"/>
      <c r="O2210" s="66" t="n">
        <f aca="false">K2210+N2210</f>
        <v>720000</v>
      </c>
      <c r="P2210" s="88" t="n">
        <f aca="false">O2210/J2210</f>
        <v>9988.90122086571</v>
      </c>
      <c r="Q2210" s="62" t="s">
        <v>3345</v>
      </c>
      <c r="R2210" s="65" t="s">
        <v>26</v>
      </c>
      <c r="S2210" s="62" t="s">
        <v>29</v>
      </c>
      <c r="T2210" s="62" t="s">
        <v>30</v>
      </c>
      <c r="U2210" s="123" t="s">
        <v>31</v>
      </c>
      <c r="V2210" s="81" t="n">
        <v>43801</v>
      </c>
      <c r="W2210" s="18" t="s">
        <v>3380</v>
      </c>
      <c r="X2210" s="18"/>
    </row>
    <row r="2211" customFormat="false" ht="13.8" hidden="false" customHeight="false" outlineLevel="0" collapsed="false">
      <c r="A2211" s="18"/>
      <c r="B2211" s="62" t="n">
        <v>4137</v>
      </c>
      <c r="C2211" s="81" t="n">
        <v>43745</v>
      </c>
      <c r="D2211" s="64" t="s">
        <v>22</v>
      </c>
      <c r="E2211" s="65" t="s">
        <v>372</v>
      </c>
      <c r="F2211" s="18" t="s">
        <v>272</v>
      </c>
      <c r="G2211" s="62" t="n">
        <v>31</v>
      </c>
      <c r="H2211" s="62" t="n">
        <v>290</v>
      </c>
      <c r="I2211" s="62" t="n">
        <v>8.9</v>
      </c>
      <c r="J2211" s="62" t="n">
        <v>61.16</v>
      </c>
      <c r="K2211" s="66" t="n">
        <v>829000</v>
      </c>
      <c r="L2211" s="66" t="n">
        <f aca="false">K2211/J2211</f>
        <v>13554.6108567691</v>
      </c>
      <c r="M2211" s="18" t="s">
        <v>3381</v>
      </c>
      <c r="N2211" s="54"/>
      <c r="O2211" s="66" t="n">
        <f aca="false">K2211+N2211</f>
        <v>829000</v>
      </c>
      <c r="P2211" s="88" t="n">
        <f aca="false">O2211/J2211</f>
        <v>13554.6108567691</v>
      </c>
      <c r="Q2211" s="62" t="s">
        <v>903</v>
      </c>
      <c r="R2211" s="65" t="s">
        <v>36</v>
      </c>
      <c r="S2211" s="62" t="s">
        <v>29</v>
      </c>
      <c r="T2211" s="62" t="s">
        <v>30</v>
      </c>
      <c r="U2211" s="123" t="s">
        <v>31</v>
      </c>
      <c r="V2211" s="81" t="n">
        <v>43801</v>
      </c>
      <c r="W2211" s="18" t="s">
        <v>3382</v>
      </c>
      <c r="X2211" s="18"/>
    </row>
    <row r="2212" customFormat="false" ht="13.8" hidden="false" customHeight="false" outlineLevel="0" collapsed="false">
      <c r="A2212" s="18"/>
      <c r="B2212" s="62" t="n">
        <v>4564</v>
      </c>
      <c r="C2212" s="81" t="n">
        <v>43746</v>
      </c>
      <c r="D2212" s="64" t="s">
        <v>22</v>
      </c>
      <c r="E2212" s="65" t="s">
        <v>178</v>
      </c>
      <c r="F2212" s="18" t="s">
        <v>220</v>
      </c>
      <c r="G2212" s="62" t="n">
        <v>6</v>
      </c>
      <c r="H2212" s="62" t="n">
        <v>80</v>
      </c>
      <c r="I2212" s="62" t="n">
        <v>5</v>
      </c>
      <c r="J2212" s="62" t="n">
        <v>36</v>
      </c>
      <c r="K2212" s="66" t="n">
        <v>353000</v>
      </c>
      <c r="L2212" s="66" t="n">
        <f aca="false">K2212/J2212</f>
        <v>9805.55555555556</v>
      </c>
      <c r="M2212" s="18" t="s">
        <v>3383</v>
      </c>
      <c r="N2212" s="54"/>
      <c r="O2212" s="66" t="n">
        <f aca="false">K2212+N2212</f>
        <v>353000</v>
      </c>
      <c r="P2212" s="88" t="n">
        <f aca="false">O2212/J2212</f>
        <v>9805.55555555556</v>
      </c>
      <c r="Q2212" s="62" t="s">
        <v>1181</v>
      </c>
      <c r="R2212" s="65" t="s">
        <v>27</v>
      </c>
      <c r="S2212" s="62" t="s">
        <v>29</v>
      </c>
      <c r="T2212" s="62" t="s">
        <v>30</v>
      </c>
      <c r="U2212" s="123" t="s">
        <v>31</v>
      </c>
      <c r="V2212" s="81" t="n">
        <v>43801</v>
      </c>
      <c r="W2212" s="18" t="s">
        <v>3384</v>
      </c>
      <c r="X2212" s="18"/>
    </row>
    <row r="2213" customFormat="false" ht="13.8" hidden="false" customHeight="false" outlineLevel="0" collapsed="false">
      <c r="A2213" s="18"/>
      <c r="B2213" s="62" t="n">
        <v>64132</v>
      </c>
      <c r="C2213" s="81" t="n">
        <v>43746</v>
      </c>
      <c r="D2213" s="64" t="s">
        <v>22</v>
      </c>
      <c r="E2213" s="65" t="s">
        <v>289</v>
      </c>
      <c r="F2213" s="18" t="s">
        <v>3385</v>
      </c>
      <c r="G2213" s="62" t="n">
        <v>10</v>
      </c>
      <c r="H2213" s="62" t="n">
        <v>1</v>
      </c>
      <c r="I2213" s="62" t="n">
        <v>1</v>
      </c>
      <c r="J2213" s="62" t="n">
        <v>43.03</v>
      </c>
      <c r="K2213" s="66" t="n">
        <v>618000</v>
      </c>
      <c r="L2213" s="66" t="n">
        <f aca="false">K2213/J2213</f>
        <v>14362.0729723449</v>
      </c>
      <c r="M2213" s="18" t="s">
        <v>3386</v>
      </c>
      <c r="N2213" s="54"/>
      <c r="O2213" s="66" t="n">
        <f aca="false">K2213+N2213</f>
        <v>618000</v>
      </c>
      <c r="P2213" s="88" t="n">
        <f aca="false">O2213/J2213</f>
        <v>14362.0729723449</v>
      </c>
      <c r="Q2213" s="62" t="s">
        <v>1224</v>
      </c>
      <c r="R2213" s="65" t="s">
        <v>27</v>
      </c>
      <c r="S2213" s="62" t="s">
        <v>29</v>
      </c>
      <c r="T2213" s="62" t="s">
        <v>30</v>
      </c>
      <c r="U2213" s="123" t="s">
        <v>31</v>
      </c>
      <c r="V2213" s="81" t="n">
        <v>43801</v>
      </c>
      <c r="W2213" s="18" t="s">
        <v>3387</v>
      </c>
      <c r="X2213" s="18"/>
    </row>
    <row r="2214" customFormat="false" ht="13.8" hidden="false" customHeight="false" outlineLevel="0" collapsed="false">
      <c r="A2214" s="18"/>
      <c r="B2214" s="62" t="n">
        <v>7359</v>
      </c>
      <c r="C2214" s="81" t="n">
        <v>43747</v>
      </c>
      <c r="D2214" s="64" t="s">
        <v>22</v>
      </c>
      <c r="E2214" s="65" t="s">
        <v>369</v>
      </c>
      <c r="F2214" s="18" t="s">
        <v>285</v>
      </c>
      <c r="G2214" s="62" t="n">
        <v>23</v>
      </c>
      <c r="H2214" s="65" t="s">
        <v>3388</v>
      </c>
      <c r="I2214" s="62" t="n">
        <v>1</v>
      </c>
      <c r="J2214" s="62" t="n">
        <v>54.61</v>
      </c>
      <c r="K2214" s="66" t="n">
        <v>507000</v>
      </c>
      <c r="L2214" s="66" t="n">
        <f aca="false">K2214/J2214</f>
        <v>9284.01391686504</v>
      </c>
      <c r="M2214" s="18"/>
      <c r="N2214" s="54"/>
      <c r="O2214" s="66" t="n">
        <f aca="false">K2214+N2214</f>
        <v>507000</v>
      </c>
      <c r="P2214" s="88" t="n">
        <f aca="false">O2214/J2214</f>
        <v>9284.01391686504</v>
      </c>
      <c r="Q2214" s="62" t="s">
        <v>861</v>
      </c>
      <c r="R2214" s="65" t="s">
        <v>26</v>
      </c>
      <c r="S2214" s="62" t="s">
        <v>29</v>
      </c>
      <c r="T2214" s="62" t="s">
        <v>30</v>
      </c>
      <c r="U2214" s="123" t="s">
        <v>31</v>
      </c>
      <c r="V2214" s="81" t="n">
        <v>43801</v>
      </c>
      <c r="W2214" s="18" t="s">
        <v>3389</v>
      </c>
      <c r="X2214" s="18"/>
    </row>
    <row r="2215" customFormat="false" ht="13.8" hidden="false" customHeight="false" outlineLevel="0" collapsed="false">
      <c r="A2215" s="18"/>
      <c r="B2215" s="62" t="n">
        <v>3227</v>
      </c>
      <c r="C2215" s="81" t="n">
        <v>43747</v>
      </c>
      <c r="D2215" s="64" t="s">
        <v>22</v>
      </c>
      <c r="E2215" s="65" t="s">
        <v>190</v>
      </c>
      <c r="F2215" s="18" t="s">
        <v>591</v>
      </c>
      <c r="G2215" s="62" t="n">
        <v>18</v>
      </c>
      <c r="H2215" s="62" t="n">
        <v>406</v>
      </c>
      <c r="I2215" s="62" t="n">
        <v>4</v>
      </c>
      <c r="J2215" s="62" t="n">
        <v>45.55</v>
      </c>
      <c r="K2215" s="66" t="n">
        <v>425000</v>
      </c>
      <c r="L2215" s="66" t="n">
        <f aca="false">K2215/J2215</f>
        <v>9330.40614709111</v>
      </c>
      <c r="M2215" s="18"/>
      <c r="N2215" s="54"/>
      <c r="O2215" s="66" t="n">
        <f aca="false">K2215+N2215</f>
        <v>425000</v>
      </c>
      <c r="P2215" s="88" t="n">
        <f aca="false">O2215/J2215</f>
        <v>9330.40614709111</v>
      </c>
      <c r="Q2215" s="62" t="s">
        <v>1431</v>
      </c>
      <c r="R2215" s="65" t="s">
        <v>36</v>
      </c>
      <c r="S2215" s="62" t="s">
        <v>29</v>
      </c>
      <c r="T2215" s="62" t="s">
        <v>30</v>
      </c>
      <c r="U2215" s="123" t="s">
        <v>31</v>
      </c>
      <c r="V2215" s="81" t="n">
        <v>43801</v>
      </c>
      <c r="W2215" s="18" t="s">
        <v>3390</v>
      </c>
      <c r="X2215" s="18"/>
    </row>
    <row r="2216" customFormat="false" ht="13.8" hidden="false" customHeight="false" outlineLevel="0" collapsed="false">
      <c r="A2216" s="18"/>
      <c r="B2216" s="62" t="n">
        <v>2896</v>
      </c>
      <c r="C2216" s="81" t="n">
        <v>43747</v>
      </c>
      <c r="D2216" s="64" t="s">
        <v>22</v>
      </c>
      <c r="E2216" s="65" t="s">
        <v>144</v>
      </c>
      <c r="F2216" s="18" t="s">
        <v>46</v>
      </c>
      <c r="G2216" s="62" t="n">
        <v>53</v>
      </c>
      <c r="H2216" s="62" t="n">
        <v>57</v>
      </c>
      <c r="I2216" s="62" t="n">
        <v>2</v>
      </c>
      <c r="J2216" s="62" t="n">
        <v>61.94</v>
      </c>
      <c r="K2216" s="66" t="n">
        <v>615000</v>
      </c>
      <c r="L2216" s="66" t="n">
        <f aca="false">K2216/J2216</f>
        <v>9928.96351307717</v>
      </c>
      <c r="M2216" s="18"/>
      <c r="N2216" s="54"/>
      <c r="O2216" s="66" t="n">
        <f aca="false">K2216+N2216</f>
        <v>615000</v>
      </c>
      <c r="P2216" s="88" t="n">
        <f aca="false">O2216/J2216</f>
        <v>9928.96351307717</v>
      </c>
      <c r="Q2216" s="62" t="s">
        <v>861</v>
      </c>
      <c r="R2216" s="65" t="s">
        <v>26</v>
      </c>
      <c r="S2216" s="62" t="s">
        <v>29</v>
      </c>
      <c r="T2216" s="62" t="s">
        <v>30</v>
      </c>
      <c r="U2216" s="123" t="s">
        <v>31</v>
      </c>
      <c r="V2216" s="81" t="n">
        <v>43801</v>
      </c>
      <c r="W2216" s="18" t="s">
        <v>3391</v>
      </c>
      <c r="X2216" s="18"/>
    </row>
    <row r="2217" customFormat="false" ht="13.8" hidden="false" customHeight="false" outlineLevel="0" collapsed="false">
      <c r="A2217" s="18"/>
      <c r="B2217" s="62" t="n">
        <v>8292</v>
      </c>
      <c r="C2217" s="81" t="n">
        <v>43747</v>
      </c>
      <c r="D2217" s="64" t="s">
        <v>22</v>
      </c>
      <c r="E2217" s="65" t="s">
        <v>284</v>
      </c>
      <c r="F2217" s="18" t="s">
        <v>744</v>
      </c>
      <c r="G2217" s="62" t="n">
        <v>2</v>
      </c>
      <c r="H2217" s="62" t="n">
        <v>42</v>
      </c>
      <c r="I2217" s="62" t="n">
        <v>4</v>
      </c>
      <c r="J2217" s="62" t="n">
        <v>33.13</v>
      </c>
      <c r="K2217" s="66" t="n">
        <v>460000</v>
      </c>
      <c r="L2217" s="66" t="n">
        <f aca="false">K2217/J2217</f>
        <v>13884.6966495623</v>
      </c>
      <c r="M2217" s="18"/>
      <c r="N2217" s="54"/>
      <c r="O2217" s="66" t="n">
        <f aca="false">K2217+N2217</f>
        <v>460000</v>
      </c>
      <c r="P2217" s="88" t="n">
        <f aca="false">O2217/J2217</f>
        <v>13884.6966495623</v>
      </c>
      <c r="Q2217" s="62" t="s">
        <v>1181</v>
      </c>
      <c r="R2217" s="65" t="s">
        <v>27</v>
      </c>
      <c r="S2217" s="62" t="s">
        <v>29</v>
      </c>
      <c r="T2217" s="62" t="s">
        <v>30</v>
      </c>
      <c r="U2217" s="123" t="s">
        <v>31</v>
      </c>
      <c r="V2217" s="81" t="n">
        <v>43801</v>
      </c>
      <c r="W2217" s="18" t="s">
        <v>3392</v>
      </c>
      <c r="X2217" s="18"/>
      <c r="AMJ2217" s="125"/>
    </row>
    <row r="2218" customFormat="false" ht="13.8" hidden="false" customHeight="false" outlineLevel="0" collapsed="false">
      <c r="A2218" s="18"/>
      <c r="B2218" s="62" t="n">
        <v>6565</v>
      </c>
      <c r="C2218" s="81" t="n">
        <v>43748</v>
      </c>
      <c r="D2218" s="64" t="s">
        <v>22</v>
      </c>
      <c r="E2218" s="65" t="s">
        <v>171</v>
      </c>
      <c r="F2218" s="18" t="s">
        <v>315</v>
      </c>
      <c r="G2218" s="62" t="n">
        <v>36</v>
      </c>
      <c r="H2218" s="62" t="n">
        <v>66</v>
      </c>
      <c r="I2218" s="62" t="s">
        <v>1214</v>
      </c>
      <c r="J2218" s="62" t="n">
        <v>55.7</v>
      </c>
      <c r="K2218" s="66" t="n">
        <v>539000</v>
      </c>
      <c r="L2218" s="66" t="n">
        <f aca="false">K2218/J2218</f>
        <v>9676.84021543986</v>
      </c>
      <c r="M2218" s="18" t="s">
        <v>3393</v>
      </c>
      <c r="N2218" s="54"/>
      <c r="O2218" s="66" t="n">
        <f aca="false">K2218+N2218</f>
        <v>539000</v>
      </c>
      <c r="P2218" s="88" t="n">
        <f aca="false">O2218/J2218</f>
        <v>9676.84021543986</v>
      </c>
      <c r="Q2218" s="62" t="s">
        <v>861</v>
      </c>
      <c r="R2218" s="65" t="s">
        <v>26</v>
      </c>
      <c r="S2218" s="62" t="s">
        <v>29</v>
      </c>
      <c r="T2218" s="62" t="s">
        <v>30</v>
      </c>
      <c r="U2218" s="123" t="s">
        <v>31</v>
      </c>
      <c r="V2218" s="81" t="n">
        <v>43801</v>
      </c>
      <c r="W2218" s="18" t="s">
        <v>3394</v>
      </c>
      <c r="X2218" s="18"/>
    </row>
    <row r="2219" customFormat="false" ht="13.8" hidden="false" customHeight="false" outlineLevel="0" collapsed="false">
      <c r="A2219" s="18"/>
      <c r="B2219" s="62" t="n">
        <v>10694</v>
      </c>
      <c r="C2219" s="81" t="n">
        <v>43748</v>
      </c>
      <c r="D2219" s="64" t="s">
        <v>22</v>
      </c>
      <c r="E2219" s="65" t="s">
        <v>178</v>
      </c>
      <c r="F2219" s="18" t="s">
        <v>3395</v>
      </c>
      <c r="G2219" s="62" t="n">
        <v>6</v>
      </c>
      <c r="H2219" s="62" t="n">
        <v>13</v>
      </c>
      <c r="I2219" s="62" t="n">
        <v>1</v>
      </c>
      <c r="J2219" s="62" t="n">
        <v>49.2</v>
      </c>
      <c r="K2219" s="66" t="n">
        <v>465000</v>
      </c>
      <c r="L2219" s="66" t="n">
        <f aca="false">K2219/J2219</f>
        <v>9451.21951219512</v>
      </c>
      <c r="M2219" s="18"/>
      <c r="N2219" s="54"/>
      <c r="O2219" s="66" t="n">
        <f aca="false">K2219+N2219</f>
        <v>465000</v>
      </c>
      <c r="P2219" s="88" t="n">
        <f aca="false">O2219/J2219</f>
        <v>9451.21951219512</v>
      </c>
      <c r="Q2219" s="62" t="s">
        <v>903</v>
      </c>
      <c r="R2219" s="65" t="s">
        <v>36</v>
      </c>
      <c r="S2219" s="62" t="s">
        <v>29</v>
      </c>
      <c r="T2219" s="62" t="s">
        <v>30</v>
      </c>
      <c r="U2219" s="123" t="s">
        <v>31</v>
      </c>
      <c r="V2219" s="81" t="n">
        <v>43801</v>
      </c>
      <c r="W2219" s="18" t="s">
        <v>3396</v>
      </c>
      <c r="X2219" s="18"/>
    </row>
    <row r="2220" customFormat="false" ht="13.8" hidden="false" customHeight="false" outlineLevel="0" collapsed="false">
      <c r="A2220" s="18"/>
      <c r="B2220" s="62" t="n">
        <v>4903</v>
      </c>
      <c r="C2220" s="81" t="n">
        <v>43748</v>
      </c>
      <c r="D2220" s="64" t="s">
        <v>22</v>
      </c>
      <c r="E2220" s="65" t="s">
        <v>399</v>
      </c>
      <c r="F2220" s="18" t="s">
        <v>549</v>
      </c>
      <c r="G2220" s="62" t="n">
        <v>6</v>
      </c>
      <c r="H2220" s="62" t="n">
        <v>14</v>
      </c>
      <c r="I2220" s="62" t="n">
        <v>6</v>
      </c>
      <c r="J2220" s="62" t="n">
        <v>53.63</v>
      </c>
      <c r="K2220" s="66" t="n">
        <v>550000</v>
      </c>
      <c r="L2220" s="66" t="n">
        <f aca="false">K2220/J2220</f>
        <v>10255.4540369196</v>
      </c>
      <c r="M2220" s="18"/>
      <c r="N2220" s="54"/>
      <c r="O2220" s="66" t="n">
        <f aca="false">K2220+N2220</f>
        <v>550000</v>
      </c>
      <c r="P2220" s="88" t="n">
        <f aca="false">O2220/J2220</f>
        <v>10255.4540369196</v>
      </c>
      <c r="Q2220" s="62" t="s">
        <v>3157</v>
      </c>
      <c r="R2220" s="65" t="s">
        <v>36</v>
      </c>
      <c r="S2220" s="62" t="s">
        <v>29</v>
      </c>
      <c r="T2220" s="62" t="s">
        <v>30</v>
      </c>
      <c r="U2220" s="123" t="s">
        <v>31</v>
      </c>
      <c r="V2220" s="81" t="n">
        <v>43801</v>
      </c>
      <c r="W2220" s="18" t="s">
        <v>3397</v>
      </c>
      <c r="X2220" s="18"/>
    </row>
    <row r="2221" s="108" customFormat="true" ht="13.8" hidden="false" customHeight="false" outlineLevel="0" collapsed="false">
      <c r="A2221" s="95"/>
      <c r="B2221" s="96" t="s">
        <v>3398</v>
      </c>
      <c r="C2221" s="97" t="n">
        <v>43748</v>
      </c>
      <c r="D2221" s="98" t="s">
        <v>22</v>
      </c>
      <c r="E2221" s="96" t="s">
        <v>93</v>
      </c>
      <c r="F2221" s="99" t="s">
        <v>955</v>
      </c>
      <c r="G2221" s="96" t="s">
        <v>759</v>
      </c>
      <c r="H2221" s="96" t="s">
        <v>128</v>
      </c>
      <c r="I2221" s="96" t="s">
        <v>57</v>
      </c>
      <c r="J2221" s="100" t="n">
        <v>68.95</v>
      </c>
      <c r="K2221" s="101" t="n">
        <v>405000</v>
      </c>
      <c r="L2221" s="102" t="n">
        <f aca="false">K2221/J2221</f>
        <v>5873.82160986222</v>
      </c>
      <c r="M2221" s="103"/>
      <c r="N2221" s="104"/>
      <c r="O2221" s="105" t="n">
        <v>405000</v>
      </c>
      <c r="P2221" s="105" t="n">
        <v>5873.82160986222</v>
      </c>
      <c r="Q2221" s="100" t="s">
        <v>3399</v>
      </c>
      <c r="R2221" s="96" t="s">
        <v>36</v>
      </c>
      <c r="S2221" s="96" t="s">
        <v>29</v>
      </c>
      <c r="T2221" s="96" t="s">
        <v>30</v>
      </c>
      <c r="U2221" s="106" t="s">
        <v>31</v>
      </c>
      <c r="V2221" s="107" t="n">
        <v>43881</v>
      </c>
      <c r="W2221" s="95" t="s">
        <v>3400</v>
      </c>
      <c r="X2221" s="95"/>
    </row>
    <row r="2222" customFormat="false" ht="13.8" hidden="false" customHeight="false" outlineLevel="0" collapsed="false">
      <c r="A2222" s="18"/>
      <c r="B2222" s="62" t="n">
        <v>6527</v>
      </c>
      <c r="C2222" s="81" t="n">
        <v>43749</v>
      </c>
      <c r="D2222" s="64" t="s">
        <v>22</v>
      </c>
      <c r="E2222" s="65" t="s">
        <v>299</v>
      </c>
      <c r="F2222" s="18" t="s">
        <v>271</v>
      </c>
      <c r="G2222" s="62" t="n">
        <v>35</v>
      </c>
      <c r="H2222" s="62" t="n">
        <v>20</v>
      </c>
      <c r="I2222" s="62" t="n">
        <v>2</v>
      </c>
      <c r="J2222" s="62" t="n">
        <v>48.77</v>
      </c>
      <c r="K2222" s="66" t="n">
        <v>500000</v>
      </c>
      <c r="L2222" s="66" t="n">
        <f aca="false">K2222/J2222</f>
        <v>10252.2042239081</v>
      </c>
      <c r="M2222" s="18"/>
      <c r="N2222" s="54"/>
      <c r="O2222" s="66" t="n">
        <f aca="false">K2222+N2222</f>
        <v>500000</v>
      </c>
      <c r="P2222" s="88" t="n">
        <f aca="false">O2222/J2222</f>
        <v>10252.2042239081</v>
      </c>
      <c r="Q2222" s="62" t="s">
        <v>903</v>
      </c>
      <c r="R2222" s="65" t="s">
        <v>36</v>
      </c>
      <c r="S2222" s="62" t="s">
        <v>29</v>
      </c>
      <c r="T2222" s="62" t="s">
        <v>30</v>
      </c>
      <c r="U2222" s="123" t="s">
        <v>31</v>
      </c>
      <c r="V2222" s="81" t="n">
        <v>43801</v>
      </c>
      <c r="W2222" s="18" t="s">
        <v>3401</v>
      </c>
      <c r="X2222" s="18"/>
    </row>
    <row r="2223" customFormat="false" ht="13.8" hidden="false" customHeight="false" outlineLevel="0" collapsed="false">
      <c r="A2223" s="18"/>
      <c r="B2223" s="62" t="n">
        <v>2264</v>
      </c>
      <c r="C2223" s="81" t="n">
        <v>43749</v>
      </c>
      <c r="D2223" s="64" t="s">
        <v>22</v>
      </c>
      <c r="E2223" s="65" t="s">
        <v>299</v>
      </c>
      <c r="F2223" s="18" t="s">
        <v>642</v>
      </c>
      <c r="G2223" s="62" t="n">
        <v>40</v>
      </c>
      <c r="H2223" s="62" t="n">
        <v>4</v>
      </c>
      <c r="I2223" s="62" t="n">
        <v>3</v>
      </c>
      <c r="J2223" s="62" t="n">
        <v>63.96</v>
      </c>
      <c r="K2223" s="66" t="n">
        <v>577000</v>
      </c>
      <c r="L2223" s="66" t="n">
        <f aca="false">K2223/J2223</f>
        <v>9021.26328955597</v>
      </c>
      <c r="M2223" s="18"/>
      <c r="N2223" s="54"/>
      <c r="O2223" s="66" t="n">
        <f aca="false">K2223+N2223</f>
        <v>577000</v>
      </c>
      <c r="P2223" s="88" t="n">
        <f aca="false">O2223/J2223</f>
        <v>9021.26328955597</v>
      </c>
      <c r="Q2223" s="62" t="s">
        <v>903</v>
      </c>
      <c r="R2223" s="65" t="s">
        <v>36</v>
      </c>
      <c r="S2223" s="62" t="s">
        <v>29</v>
      </c>
      <c r="T2223" s="62" t="s">
        <v>30</v>
      </c>
      <c r="U2223" s="123" t="s">
        <v>31</v>
      </c>
      <c r="V2223" s="81" t="n">
        <v>43801</v>
      </c>
      <c r="W2223" s="18" t="s">
        <v>3402</v>
      </c>
      <c r="X2223" s="18"/>
    </row>
    <row r="2224" customFormat="false" ht="13.8" hidden="false" customHeight="false" outlineLevel="0" collapsed="false">
      <c r="A2224" s="18"/>
      <c r="B2224" s="65" t="s">
        <v>3403</v>
      </c>
      <c r="C2224" s="81" t="n">
        <v>43753</v>
      </c>
      <c r="D2224" s="64" t="s">
        <v>22</v>
      </c>
      <c r="E2224" s="65" t="s">
        <v>86</v>
      </c>
      <c r="F2224" s="91" t="s">
        <v>87</v>
      </c>
      <c r="G2224" s="65" t="s">
        <v>88</v>
      </c>
      <c r="H2224" s="65" t="s">
        <v>318</v>
      </c>
      <c r="I2224" s="65" t="s">
        <v>49</v>
      </c>
      <c r="J2224" s="83" t="n">
        <v>52.34</v>
      </c>
      <c r="K2224" s="88" t="n">
        <v>565000</v>
      </c>
      <c r="L2224" s="85" t="n">
        <f aca="false">K2224/J2224</f>
        <v>10794.8032097822</v>
      </c>
      <c r="M2224" s="92" t="s">
        <v>3404</v>
      </c>
      <c r="N2224" s="93" t="n">
        <v>45000</v>
      </c>
      <c r="O2224" s="88" t="n">
        <v>610000</v>
      </c>
      <c r="P2224" s="85" t="n">
        <f aca="false">O2224/J2224</f>
        <v>11654.566297287</v>
      </c>
      <c r="Q2224" s="94" t="s">
        <v>1486</v>
      </c>
      <c r="R2224" s="65" t="s">
        <v>36</v>
      </c>
      <c r="S2224" s="62" t="s">
        <v>29</v>
      </c>
      <c r="T2224" s="62" t="s">
        <v>30</v>
      </c>
      <c r="U2224" s="123" t="s">
        <v>31</v>
      </c>
      <c r="V2224" s="119" t="n">
        <v>43879</v>
      </c>
      <c r="W2224" s="18" t="s">
        <v>3405</v>
      </c>
      <c r="X2224" s="18"/>
      <c r="Y2224" s="116"/>
    </row>
    <row r="2225" customFormat="false" ht="13.8" hidden="false" customHeight="false" outlineLevel="0" collapsed="false">
      <c r="A2225" s="18"/>
      <c r="B2225" s="62" t="n">
        <v>6560</v>
      </c>
      <c r="C2225" s="81" t="n">
        <v>43754</v>
      </c>
      <c r="D2225" s="64" t="s">
        <v>22</v>
      </c>
      <c r="E2225" s="65" t="s">
        <v>198</v>
      </c>
      <c r="F2225" s="82" t="s">
        <v>2191</v>
      </c>
      <c r="G2225" s="65" t="s">
        <v>912</v>
      </c>
      <c r="H2225" s="112" t="s">
        <v>494</v>
      </c>
      <c r="I2225" s="112" t="s">
        <v>49</v>
      </c>
      <c r="J2225" s="83" t="n">
        <v>75.04</v>
      </c>
      <c r="K2225" s="84" t="n">
        <v>1030000</v>
      </c>
      <c r="L2225" s="113" t="n">
        <f aca="false">K2225/J2225</f>
        <v>13726.012793177</v>
      </c>
      <c r="M2225" s="114" t="s">
        <v>3406</v>
      </c>
      <c r="N2225" s="93"/>
      <c r="O2225" s="88" t="n">
        <v>1030000</v>
      </c>
      <c r="P2225" s="88" t="n">
        <f aca="false">O2225/J2225</f>
        <v>13726.012793177</v>
      </c>
      <c r="Q2225" s="83" t="s">
        <v>3407</v>
      </c>
      <c r="R2225" s="65" t="s">
        <v>26</v>
      </c>
      <c r="S2225" s="62" t="s">
        <v>29</v>
      </c>
      <c r="T2225" s="62" t="s">
        <v>30</v>
      </c>
      <c r="U2225" s="123" t="s">
        <v>31</v>
      </c>
      <c r="V2225" s="119" t="n">
        <v>43879</v>
      </c>
      <c r="W2225" s="18" t="s">
        <v>3408</v>
      </c>
      <c r="X2225" s="18"/>
    </row>
    <row r="2226" customFormat="false" ht="13.8" hidden="false" customHeight="false" outlineLevel="0" collapsed="false">
      <c r="A2226" s="18"/>
      <c r="B2226" s="65" t="s">
        <v>3409</v>
      </c>
      <c r="C2226" s="81" t="n">
        <v>43755</v>
      </c>
      <c r="D2226" s="115" t="s">
        <v>22</v>
      </c>
      <c r="E2226" s="65" t="s">
        <v>247</v>
      </c>
      <c r="F2226" s="82" t="s">
        <v>248</v>
      </c>
      <c r="G2226" s="65" t="s">
        <v>26</v>
      </c>
      <c r="H2226" s="65" t="s">
        <v>3410</v>
      </c>
      <c r="I2226" s="65" t="s">
        <v>82</v>
      </c>
      <c r="J2226" s="83" t="n">
        <v>47.8</v>
      </c>
      <c r="K2226" s="84" t="n">
        <v>400000</v>
      </c>
      <c r="L2226" s="85" t="n">
        <f aca="false">K2226/J2226</f>
        <v>8368.20083682008</v>
      </c>
      <c r="M2226" s="90"/>
      <c r="N2226" s="87"/>
      <c r="O2226" s="88" t="n">
        <v>400000</v>
      </c>
      <c r="P2226" s="88" t="n">
        <v>8368.20083682008</v>
      </c>
      <c r="Q2226" s="83" t="s">
        <v>3411</v>
      </c>
      <c r="R2226" s="65" t="s">
        <v>36</v>
      </c>
      <c r="S2226" s="65" t="s">
        <v>29</v>
      </c>
      <c r="T2226" s="65" t="s">
        <v>30</v>
      </c>
      <c r="U2226" s="24" t="s">
        <v>31</v>
      </c>
      <c r="V2226" s="89" t="n">
        <v>43881</v>
      </c>
      <c r="W2226" s="18" t="s">
        <v>3412</v>
      </c>
      <c r="X2226" s="18"/>
    </row>
    <row r="2227" customFormat="false" ht="13.8" hidden="false" customHeight="false" outlineLevel="0" collapsed="false">
      <c r="A2227" s="18"/>
      <c r="B2227" s="62" t="n">
        <v>6608</v>
      </c>
      <c r="C2227" s="81" t="n">
        <v>43756</v>
      </c>
      <c r="D2227" s="64" t="s">
        <v>22</v>
      </c>
      <c r="E2227" s="65" t="s">
        <v>235</v>
      </c>
      <c r="F2227" s="82" t="s">
        <v>854</v>
      </c>
      <c r="G2227" s="65" t="s">
        <v>36</v>
      </c>
      <c r="H2227" s="112" t="s">
        <v>197</v>
      </c>
      <c r="I2227" s="112" t="s">
        <v>36</v>
      </c>
      <c r="J2227" s="83" t="n">
        <v>50</v>
      </c>
      <c r="K2227" s="84" t="n">
        <v>520000</v>
      </c>
      <c r="L2227" s="113" t="n">
        <f aca="false">K2227/J2227</f>
        <v>10400</v>
      </c>
      <c r="M2227" s="114"/>
      <c r="N2227" s="93"/>
      <c r="O2227" s="88" t="n">
        <v>520000</v>
      </c>
      <c r="P2227" s="88" t="n">
        <f aca="false">O2227/J2227</f>
        <v>10400</v>
      </c>
      <c r="Q2227" s="83" t="s">
        <v>1486</v>
      </c>
      <c r="R2227" s="65" t="s">
        <v>36</v>
      </c>
      <c r="S2227" s="62" t="s">
        <v>29</v>
      </c>
      <c r="T2227" s="62" t="s">
        <v>30</v>
      </c>
      <c r="U2227" s="123" t="s">
        <v>31</v>
      </c>
      <c r="V2227" s="119" t="n">
        <v>43879</v>
      </c>
      <c r="W2227" s="18" t="s">
        <v>3413</v>
      </c>
      <c r="X2227" s="18"/>
    </row>
    <row r="2228" s="108" customFormat="true" ht="13.8" hidden="false" customHeight="false" outlineLevel="0" collapsed="false">
      <c r="A2228" s="95"/>
      <c r="B2228" s="122" t="n">
        <v>6856</v>
      </c>
      <c r="C2228" s="97" t="n">
        <v>43756</v>
      </c>
      <c r="D2228" s="98" t="s">
        <v>22</v>
      </c>
      <c r="E2228" s="96" t="s">
        <v>129</v>
      </c>
      <c r="F2228" s="99" t="s">
        <v>209</v>
      </c>
      <c r="G2228" s="96" t="s">
        <v>27</v>
      </c>
      <c r="H2228" s="126" t="s">
        <v>135</v>
      </c>
      <c r="I2228" s="126" t="s">
        <v>57</v>
      </c>
      <c r="J2228" s="100" t="n">
        <v>91.61</v>
      </c>
      <c r="K2228" s="101" t="n">
        <v>300000</v>
      </c>
      <c r="L2228" s="127" t="n">
        <f aca="false">K2228/J2228</f>
        <v>3274.75166466543</v>
      </c>
      <c r="M2228" s="128" t="s">
        <v>3414</v>
      </c>
      <c r="N2228" s="129"/>
      <c r="O2228" s="105" t="n">
        <v>300000</v>
      </c>
      <c r="P2228" s="105" t="n">
        <v>3274.75166466543</v>
      </c>
      <c r="Q2228" s="100" t="s">
        <v>3415</v>
      </c>
      <c r="R2228" s="96" t="s">
        <v>49</v>
      </c>
      <c r="S2228" s="96" t="s">
        <v>29</v>
      </c>
      <c r="T2228" s="96" t="s">
        <v>30</v>
      </c>
      <c r="U2228" s="106" t="s">
        <v>31</v>
      </c>
      <c r="V2228" s="107" t="n">
        <v>43881</v>
      </c>
      <c r="W2228" s="95" t="s">
        <v>3416</v>
      </c>
      <c r="X2228" s="95"/>
    </row>
    <row r="2229" customFormat="false" ht="13.8" hidden="false" customHeight="false" outlineLevel="0" collapsed="false">
      <c r="A2229" s="18"/>
      <c r="B2229" s="65" t="s">
        <v>3417</v>
      </c>
      <c r="C2229" s="81" t="n">
        <v>43756</v>
      </c>
      <c r="D2229" s="115" t="s">
        <v>22</v>
      </c>
      <c r="E2229" s="65" t="s">
        <v>299</v>
      </c>
      <c r="F2229" s="91" t="s">
        <v>1590</v>
      </c>
      <c r="G2229" s="65" t="s">
        <v>112</v>
      </c>
      <c r="H2229" s="65" t="s">
        <v>57</v>
      </c>
      <c r="I2229" s="65" t="s">
        <v>26</v>
      </c>
      <c r="J2229" s="83" t="n">
        <v>74.43</v>
      </c>
      <c r="K2229" s="84" t="n">
        <v>600000</v>
      </c>
      <c r="L2229" s="85" t="n">
        <f aca="false">K2229/J2229</f>
        <v>8061.26561870214</v>
      </c>
      <c r="M2229" s="92"/>
      <c r="N2229" s="93"/>
      <c r="O2229" s="88" t="n">
        <v>600000</v>
      </c>
      <c r="P2229" s="85" t="n">
        <v>8061.26561870214</v>
      </c>
      <c r="Q2229" s="94" t="s">
        <v>3418</v>
      </c>
      <c r="R2229" s="65" t="s">
        <v>36</v>
      </c>
      <c r="S2229" s="65" t="s">
        <v>29</v>
      </c>
      <c r="T2229" s="65" t="s">
        <v>30</v>
      </c>
      <c r="U2229" s="24" t="s">
        <v>31</v>
      </c>
      <c r="V2229" s="89" t="n">
        <v>43881</v>
      </c>
      <c r="W2229" s="18" t="s">
        <v>3419</v>
      </c>
      <c r="X2229" s="18"/>
    </row>
    <row r="2230" customFormat="false" ht="13.8" hidden="false" customHeight="false" outlineLevel="0" collapsed="false">
      <c r="A2230" s="18"/>
      <c r="B2230" s="62" t="n">
        <v>10801</v>
      </c>
      <c r="C2230" s="81" t="n">
        <v>43759</v>
      </c>
      <c r="D2230" s="64" t="s">
        <v>22</v>
      </c>
      <c r="E2230" s="65" t="s">
        <v>287</v>
      </c>
      <c r="F2230" s="82" t="s">
        <v>288</v>
      </c>
      <c r="G2230" s="65" t="s">
        <v>1744</v>
      </c>
      <c r="H2230" s="112" t="s">
        <v>25</v>
      </c>
      <c r="I2230" s="112" t="s">
        <v>36</v>
      </c>
      <c r="J2230" s="83" t="n">
        <v>30.74</v>
      </c>
      <c r="K2230" s="84" t="n">
        <v>337000</v>
      </c>
      <c r="L2230" s="113" t="n">
        <f aca="false">K2230/J2230</f>
        <v>10962.9147690306</v>
      </c>
      <c r="M2230" s="114"/>
      <c r="N2230" s="93"/>
      <c r="O2230" s="88" t="n">
        <v>337000</v>
      </c>
      <c r="P2230" s="88" t="n">
        <f aca="false">O2230/J2230</f>
        <v>10962.9147690306</v>
      </c>
      <c r="Q2230" s="83" t="s">
        <v>3420</v>
      </c>
      <c r="R2230" s="65" t="s">
        <v>27</v>
      </c>
      <c r="S2230" s="62" t="s">
        <v>29</v>
      </c>
      <c r="T2230" s="62" t="s">
        <v>30</v>
      </c>
      <c r="U2230" s="123" t="s">
        <v>31</v>
      </c>
      <c r="V2230" s="119" t="n">
        <v>43879</v>
      </c>
      <c r="W2230" s="18" t="s">
        <v>3421</v>
      </c>
      <c r="X2230" s="18"/>
    </row>
    <row r="2231" customFormat="false" ht="13.8" hidden="false" customHeight="false" outlineLevel="0" collapsed="false">
      <c r="A2231" s="18"/>
      <c r="B2231" s="65" t="s">
        <v>3422</v>
      </c>
      <c r="C2231" s="81" t="n">
        <v>43759</v>
      </c>
      <c r="D2231" s="64" t="s">
        <v>22</v>
      </c>
      <c r="E2231" s="65" t="s">
        <v>644</v>
      </c>
      <c r="F2231" s="82" t="s">
        <v>3423</v>
      </c>
      <c r="G2231" s="65" t="s">
        <v>105</v>
      </c>
      <c r="H2231" s="65" t="s">
        <v>49</v>
      </c>
      <c r="I2231" s="65" t="s">
        <v>36</v>
      </c>
      <c r="J2231" s="83" t="n">
        <v>73.32</v>
      </c>
      <c r="K2231" s="84" t="n">
        <v>1180000</v>
      </c>
      <c r="L2231" s="85" t="n">
        <f aca="false">K2231/J2231</f>
        <v>16093.8352427714</v>
      </c>
      <c r="M2231" s="90"/>
      <c r="N2231" s="87"/>
      <c r="O2231" s="88" t="n">
        <v>1180000</v>
      </c>
      <c r="P2231" s="88" t="n">
        <f aca="false">O2231/J2231</f>
        <v>16093.8352427714</v>
      </c>
      <c r="Q2231" s="83" t="s">
        <v>1340</v>
      </c>
      <c r="R2231" s="65" t="s">
        <v>26</v>
      </c>
      <c r="S2231" s="62" t="s">
        <v>29</v>
      </c>
      <c r="T2231" s="62" t="s">
        <v>30</v>
      </c>
      <c r="U2231" s="123" t="s">
        <v>31</v>
      </c>
      <c r="V2231" s="119" t="n">
        <v>43879</v>
      </c>
      <c r="W2231" s="18" t="s">
        <v>3424</v>
      </c>
      <c r="X2231" s="18"/>
    </row>
    <row r="2232" customFormat="false" ht="13.8" hidden="false" customHeight="false" outlineLevel="0" collapsed="false">
      <c r="A2232" s="18"/>
      <c r="B2232" s="65" t="s">
        <v>3425</v>
      </c>
      <c r="C2232" s="81" t="n">
        <v>43759</v>
      </c>
      <c r="D2232" s="64" t="s">
        <v>22</v>
      </c>
      <c r="E2232" s="65" t="s">
        <v>644</v>
      </c>
      <c r="F2232" s="82" t="s">
        <v>485</v>
      </c>
      <c r="G2232" s="65" t="s">
        <v>413</v>
      </c>
      <c r="H2232" s="65" t="s">
        <v>3426</v>
      </c>
      <c r="I2232" s="65" t="s">
        <v>3427</v>
      </c>
      <c r="J2232" s="83" t="n">
        <f aca="false">302.36-12.51</f>
        <v>289.85</v>
      </c>
      <c r="K2232" s="84" t="n">
        <v>4350000</v>
      </c>
      <c r="L2232" s="85" t="n">
        <f aca="false">K2232/J2232</f>
        <v>15007.7626358461</v>
      </c>
      <c r="M2232" s="90" t="s">
        <v>3428</v>
      </c>
      <c r="N2232" s="87"/>
      <c r="O2232" s="88" t="n">
        <v>4350000</v>
      </c>
      <c r="P2232" s="88" t="n">
        <f aca="false">O2232/J2232</f>
        <v>15007.7626358461</v>
      </c>
      <c r="Q2232" s="83" t="s">
        <v>3429</v>
      </c>
      <c r="R2232" s="65" t="s">
        <v>57</v>
      </c>
      <c r="S2232" s="62" t="s">
        <v>29</v>
      </c>
      <c r="T2232" s="62" t="s">
        <v>30</v>
      </c>
      <c r="U2232" s="123" t="s">
        <v>31</v>
      </c>
      <c r="V2232" s="119" t="n">
        <v>43879</v>
      </c>
      <c r="W2232" s="18" t="s">
        <v>3430</v>
      </c>
      <c r="X2232" s="18"/>
    </row>
    <row r="2233" customFormat="false" ht="13.8" hidden="false" customHeight="false" outlineLevel="0" collapsed="false">
      <c r="A2233" s="18"/>
      <c r="B2233" s="65" t="s">
        <v>3431</v>
      </c>
      <c r="C2233" s="81" t="n">
        <v>43759</v>
      </c>
      <c r="D2233" s="64" t="s">
        <v>22</v>
      </c>
      <c r="E2233" s="65" t="s">
        <v>265</v>
      </c>
      <c r="F2233" s="91" t="s">
        <v>152</v>
      </c>
      <c r="G2233" s="65" t="s">
        <v>3432</v>
      </c>
      <c r="H2233" s="65" t="s">
        <v>26</v>
      </c>
      <c r="I2233" s="65" t="s">
        <v>27</v>
      </c>
      <c r="J2233" s="83" t="n">
        <f aca="false">177.6-11.25</f>
        <v>166.35</v>
      </c>
      <c r="K2233" s="88" t="n">
        <v>2140000</v>
      </c>
      <c r="L2233" s="85" t="n">
        <f aca="false">K2233/J2233</f>
        <v>12864.4424406372</v>
      </c>
      <c r="M2233" s="92" t="s">
        <v>3433</v>
      </c>
      <c r="N2233" s="93"/>
      <c r="O2233" s="88" t="n">
        <v>2140000</v>
      </c>
      <c r="P2233" s="85" t="n">
        <f aca="false">O2233/J2233</f>
        <v>12864.4424406372</v>
      </c>
      <c r="Q2233" s="94" t="s">
        <v>3434</v>
      </c>
      <c r="R2233" s="65" t="s">
        <v>57</v>
      </c>
      <c r="S2233" s="62" t="s">
        <v>29</v>
      </c>
      <c r="T2233" s="62" t="s">
        <v>30</v>
      </c>
      <c r="U2233" s="123" t="s">
        <v>31</v>
      </c>
      <c r="V2233" s="119" t="n">
        <v>43879</v>
      </c>
      <c r="W2233" s="18" t="s">
        <v>3435</v>
      </c>
      <c r="X2233" s="18"/>
      <c r="Y2233" s="116"/>
    </row>
    <row r="2234" customFormat="false" ht="13.8" hidden="false" customHeight="false" outlineLevel="0" collapsed="false">
      <c r="A2234" s="18"/>
      <c r="B2234" s="65" t="s">
        <v>3436</v>
      </c>
      <c r="C2234" s="81" t="n">
        <v>43759</v>
      </c>
      <c r="D2234" s="64" t="s">
        <v>22</v>
      </c>
      <c r="E2234" s="65" t="s">
        <v>140</v>
      </c>
      <c r="F2234" s="91" t="s">
        <v>138</v>
      </c>
      <c r="G2234" s="65" t="s">
        <v>417</v>
      </c>
      <c r="H2234" s="65" t="s">
        <v>3437</v>
      </c>
      <c r="I2234" s="65" t="s">
        <v>82</v>
      </c>
      <c r="J2234" s="83" t="n">
        <f aca="false">61.5-13.5</f>
        <v>48</v>
      </c>
      <c r="K2234" s="88" t="n">
        <v>671500</v>
      </c>
      <c r="L2234" s="85" t="n">
        <f aca="false">K2234/J2234</f>
        <v>13989.5833333333</v>
      </c>
      <c r="M2234" s="92" t="s">
        <v>3438</v>
      </c>
      <c r="N2234" s="93"/>
      <c r="O2234" s="88" t="n">
        <v>671500</v>
      </c>
      <c r="P2234" s="85" t="n">
        <f aca="false">O2234/J2234</f>
        <v>13989.5833333333</v>
      </c>
      <c r="Q2234" s="94" t="s">
        <v>3439</v>
      </c>
      <c r="R2234" s="65" t="s">
        <v>27</v>
      </c>
      <c r="S2234" s="62" t="s">
        <v>29</v>
      </c>
      <c r="T2234" s="62" t="s">
        <v>30</v>
      </c>
      <c r="U2234" s="123" t="s">
        <v>31</v>
      </c>
      <c r="V2234" s="119" t="n">
        <v>43879</v>
      </c>
      <c r="W2234" s="18" t="s">
        <v>3440</v>
      </c>
      <c r="X2234" s="18"/>
      <c r="Y2234" s="116"/>
    </row>
    <row r="2235" customFormat="false" ht="13.8" hidden="false" customHeight="false" outlineLevel="0" collapsed="false">
      <c r="A2235" s="18"/>
      <c r="B2235" s="65" t="s">
        <v>3441</v>
      </c>
      <c r="C2235" s="81" t="n">
        <v>43760</v>
      </c>
      <c r="D2235" s="64" t="s">
        <v>22</v>
      </c>
      <c r="E2235" s="65" t="s">
        <v>265</v>
      </c>
      <c r="F2235" s="82" t="s">
        <v>108</v>
      </c>
      <c r="G2235" s="65" t="s">
        <v>1025</v>
      </c>
      <c r="H2235" s="65" t="s">
        <v>128</v>
      </c>
      <c r="I2235" s="65" t="s">
        <v>36</v>
      </c>
      <c r="J2235" s="83" t="n">
        <v>54.87</v>
      </c>
      <c r="K2235" s="84" t="n">
        <v>650000</v>
      </c>
      <c r="L2235" s="85" t="n">
        <f aca="false">K2235/J2235</f>
        <v>11846.1818844542</v>
      </c>
      <c r="M2235" s="90"/>
      <c r="N2235" s="87"/>
      <c r="O2235" s="88" t="n">
        <v>650000</v>
      </c>
      <c r="P2235" s="88" t="n">
        <f aca="false">O2235/J2235</f>
        <v>11846.1818844542</v>
      </c>
      <c r="Q2235" s="83" t="s">
        <v>2427</v>
      </c>
      <c r="R2235" s="65" t="s">
        <v>36</v>
      </c>
      <c r="S2235" s="62" t="s">
        <v>29</v>
      </c>
      <c r="T2235" s="62" t="s">
        <v>30</v>
      </c>
      <c r="U2235" s="123" t="s">
        <v>31</v>
      </c>
      <c r="V2235" s="119" t="n">
        <v>43879</v>
      </c>
      <c r="W2235" s="18" t="s">
        <v>3442</v>
      </c>
      <c r="X2235" s="18"/>
    </row>
    <row r="2236" customFormat="false" ht="13.8" hidden="false" customHeight="false" outlineLevel="0" collapsed="false">
      <c r="A2236" s="18"/>
      <c r="B2236" s="65" t="s">
        <v>3443</v>
      </c>
      <c r="C2236" s="81" t="n">
        <v>43760</v>
      </c>
      <c r="D2236" s="64" t="s">
        <v>22</v>
      </c>
      <c r="E2236" s="65" t="s">
        <v>962</v>
      </c>
      <c r="F2236" s="91" t="s">
        <v>963</v>
      </c>
      <c r="G2236" s="65" t="s">
        <v>49</v>
      </c>
      <c r="H2236" s="65" t="s">
        <v>95</v>
      </c>
      <c r="I2236" s="65" t="s">
        <v>36</v>
      </c>
      <c r="J2236" s="83" t="n">
        <v>41.91</v>
      </c>
      <c r="K2236" s="88" t="n">
        <v>630000</v>
      </c>
      <c r="L2236" s="85" t="n">
        <f aca="false">K2236/J2236</f>
        <v>15032.2118826056</v>
      </c>
      <c r="M2236" s="92" t="s">
        <v>3444</v>
      </c>
      <c r="N2236" s="93"/>
      <c r="O2236" s="88" t="n">
        <v>630000</v>
      </c>
      <c r="P2236" s="85" t="n">
        <f aca="false">O2236/J2236</f>
        <v>15032.2118826056</v>
      </c>
      <c r="Q2236" s="94" t="s">
        <v>3445</v>
      </c>
      <c r="R2236" s="65" t="s">
        <v>36</v>
      </c>
      <c r="S2236" s="62" t="s">
        <v>29</v>
      </c>
      <c r="T2236" s="62" t="s">
        <v>30</v>
      </c>
      <c r="U2236" s="123" t="s">
        <v>31</v>
      </c>
      <c r="V2236" s="119" t="n">
        <v>43879</v>
      </c>
      <c r="W2236" s="91" t="s">
        <v>3446</v>
      </c>
      <c r="X2236" s="18"/>
    </row>
    <row r="2237" customFormat="false" ht="13.8" hidden="false" customHeight="false" outlineLevel="0" collapsed="false">
      <c r="A2237" s="18"/>
      <c r="B2237" s="62" t="n">
        <v>3675</v>
      </c>
      <c r="C2237" s="81" t="n">
        <v>43760</v>
      </c>
      <c r="D2237" s="64" t="s">
        <v>22</v>
      </c>
      <c r="E2237" s="65" t="s">
        <v>281</v>
      </c>
      <c r="F2237" s="82" t="s">
        <v>955</v>
      </c>
      <c r="G2237" s="65" t="s">
        <v>880</v>
      </c>
      <c r="H2237" s="112" t="s">
        <v>253</v>
      </c>
      <c r="I2237" s="112" t="s">
        <v>25</v>
      </c>
      <c r="J2237" s="83" t="n">
        <v>38.36</v>
      </c>
      <c r="K2237" s="84" t="n">
        <v>405000</v>
      </c>
      <c r="L2237" s="113" t="n">
        <f aca="false">K2237/J2237</f>
        <v>10557.8727841502</v>
      </c>
      <c r="M2237" s="114"/>
      <c r="N2237" s="93"/>
      <c r="O2237" s="88" t="n">
        <v>405000</v>
      </c>
      <c r="P2237" s="88" t="n">
        <f aca="false">O2237/J2237</f>
        <v>10557.8727841502</v>
      </c>
      <c r="Q2237" s="83" t="s">
        <v>1320</v>
      </c>
      <c r="R2237" s="65" t="s">
        <v>27</v>
      </c>
      <c r="S2237" s="62" t="s">
        <v>29</v>
      </c>
      <c r="T2237" s="62" t="s">
        <v>30</v>
      </c>
      <c r="U2237" s="123" t="s">
        <v>31</v>
      </c>
      <c r="V2237" s="119" t="n">
        <v>43879</v>
      </c>
      <c r="W2237" s="18" t="s">
        <v>3447</v>
      </c>
      <c r="X2237" s="18"/>
    </row>
    <row r="2238" customFormat="false" ht="13.8" hidden="false" customHeight="false" outlineLevel="0" collapsed="false">
      <c r="A2238" s="18"/>
      <c r="B2238" s="62" t="n">
        <v>12328</v>
      </c>
      <c r="C2238" s="81" t="n">
        <v>43760</v>
      </c>
      <c r="D2238" s="115" t="s">
        <v>22</v>
      </c>
      <c r="E2238" s="65" t="s">
        <v>203</v>
      </c>
      <c r="F2238" s="82" t="s">
        <v>138</v>
      </c>
      <c r="G2238" s="65" t="s">
        <v>200</v>
      </c>
      <c r="H2238" s="112" t="s">
        <v>3448</v>
      </c>
      <c r="I2238" s="112" t="s">
        <v>294</v>
      </c>
      <c r="J2238" s="83" t="n">
        <v>46.6</v>
      </c>
      <c r="K2238" s="84" t="n">
        <v>480000</v>
      </c>
      <c r="L2238" s="113" t="n">
        <f aca="false">K2238/J2238</f>
        <v>10300.4291845494</v>
      </c>
      <c r="M2238" s="114" t="s">
        <v>3449</v>
      </c>
      <c r="N2238" s="93" t="n">
        <v>50000</v>
      </c>
      <c r="O2238" s="88" t="n">
        <v>530000</v>
      </c>
      <c r="P2238" s="88" t="n">
        <f aca="false">O2238/J2238</f>
        <v>11373.3905579399</v>
      </c>
      <c r="Q2238" s="83" t="s">
        <v>3450</v>
      </c>
      <c r="R2238" s="65" t="s">
        <v>36</v>
      </c>
      <c r="S2238" s="65" t="s">
        <v>29</v>
      </c>
      <c r="T2238" s="65" t="s">
        <v>30</v>
      </c>
      <c r="U2238" s="24" t="s">
        <v>31</v>
      </c>
      <c r="V2238" s="89" t="n">
        <v>43881</v>
      </c>
      <c r="W2238" s="18" t="s">
        <v>3451</v>
      </c>
      <c r="X2238" s="18"/>
    </row>
    <row r="2239" customFormat="false" ht="13.8" hidden="false" customHeight="false" outlineLevel="0" collapsed="false">
      <c r="A2239" s="18"/>
      <c r="B2239" s="65" t="s">
        <v>3452</v>
      </c>
      <c r="C2239" s="81" t="n">
        <v>43761</v>
      </c>
      <c r="D2239" s="64" t="s">
        <v>22</v>
      </c>
      <c r="E2239" s="65" t="s">
        <v>235</v>
      </c>
      <c r="F2239" s="82" t="s">
        <v>1614</v>
      </c>
      <c r="G2239" s="65" t="s">
        <v>410</v>
      </c>
      <c r="H2239" s="65" t="s">
        <v>408</v>
      </c>
      <c r="I2239" s="65" t="s">
        <v>101</v>
      </c>
      <c r="J2239" s="83" t="n">
        <v>84.59</v>
      </c>
      <c r="K2239" s="84" t="n">
        <v>1060000</v>
      </c>
      <c r="L2239" s="85" t="n">
        <f aca="false">K2239/J2239</f>
        <v>12531.0320368838</v>
      </c>
      <c r="M2239" s="86" t="s">
        <v>3453</v>
      </c>
      <c r="N2239" s="87"/>
      <c r="O2239" s="88" t="n">
        <v>1060000</v>
      </c>
      <c r="P2239" s="88" t="n">
        <f aca="false">O2239/J2239</f>
        <v>12531.0320368838</v>
      </c>
      <c r="Q2239" s="83" t="s">
        <v>3454</v>
      </c>
      <c r="R2239" s="65" t="s">
        <v>36</v>
      </c>
      <c r="S2239" s="62" t="s">
        <v>29</v>
      </c>
      <c r="T2239" s="62" t="s">
        <v>30</v>
      </c>
      <c r="U2239" s="123" t="s">
        <v>31</v>
      </c>
      <c r="V2239" s="119" t="n">
        <v>43879</v>
      </c>
      <c r="W2239" s="18" t="s">
        <v>3455</v>
      </c>
      <c r="X2239" s="18"/>
    </row>
    <row r="2240" customFormat="false" ht="13.8" hidden="false" customHeight="false" outlineLevel="0" collapsed="false">
      <c r="A2240" s="18"/>
      <c r="B2240" s="65" t="s">
        <v>3456</v>
      </c>
      <c r="C2240" s="81" t="n">
        <v>43761</v>
      </c>
      <c r="D2240" s="64" t="s">
        <v>22</v>
      </c>
      <c r="E2240" s="65" t="s">
        <v>350</v>
      </c>
      <c r="F2240" s="82" t="s">
        <v>323</v>
      </c>
      <c r="G2240" s="65" t="s">
        <v>3457</v>
      </c>
      <c r="H2240" s="65" t="s">
        <v>82</v>
      </c>
      <c r="I2240" s="65" t="s">
        <v>49</v>
      </c>
      <c r="J2240" s="83" t="n">
        <v>83.64</v>
      </c>
      <c r="K2240" s="84" t="n">
        <v>795000</v>
      </c>
      <c r="L2240" s="85" t="n">
        <f aca="false">K2240/J2240</f>
        <v>9505.02152080344</v>
      </c>
      <c r="M2240" s="90" t="s">
        <v>1461</v>
      </c>
      <c r="N2240" s="87" t="n">
        <v>34900</v>
      </c>
      <c r="O2240" s="88" t="n">
        <f aca="false">N2240+K2240</f>
        <v>829900</v>
      </c>
      <c r="P2240" s="88" t="n">
        <f aca="false">O2240/J2240</f>
        <v>9922.28598756576</v>
      </c>
      <c r="Q2240" s="83" t="s">
        <v>3458</v>
      </c>
      <c r="R2240" s="65" t="s">
        <v>26</v>
      </c>
      <c r="S2240" s="62" t="s">
        <v>29</v>
      </c>
      <c r="T2240" s="62" t="s">
        <v>30</v>
      </c>
      <c r="U2240" s="123" t="s">
        <v>31</v>
      </c>
      <c r="V2240" s="119" t="n">
        <v>43879</v>
      </c>
      <c r="W2240" s="18" t="s">
        <v>3459</v>
      </c>
      <c r="X2240" s="18"/>
    </row>
    <row r="2241" customFormat="false" ht="13.8" hidden="false" customHeight="false" outlineLevel="0" collapsed="false">
      <c r="A2241" s="18"/>
      <c r="B2241" s="65" t="s">
        <v>3460</v>
      </c>
      <c r="C2241" s="81" t="n">
        <v>43761</v>
      </c>
      <c r="D2241" s="64" t="s">
        <v>22</v>
      </c>
      <c r="E2241" s="65" t="s">
        <v>203</v>
      </c>
      <c r="F2241" s="82" t="s">
        <v>138</v>
      </c>
      <c r="G2241" s="65" t="s">
        <v>112</v>
      </c>
      <c r="H2241" s="65" t="s">
        <v>2842</v>
      </c>
      <c r="I2241" s="65" t="s">
        <v>82</v>
      </c>
      <c r="J2241" s="83" t="n">
        <v>48.72</v>
      </c>
      <c r="K2241" s="84" t="n">
        <v>550000</v>
      </c>
      <c r="L2241" s="85" t="n">
        <f aca="false">K2241/J2241</f>
        <v>11288.9983579639</v>
      </c>
      <c r="M2241" s="86" t="s">
        <v>3461</v>
      </c>
      <c r="N2241" s="87"/>
      <c r="O2241" s="88" t="n">
        <v>550000</v>
      </c>
      <c r="P2241" s="88" t="n">
        <f aca="false">O2241/J2241</f>
        <v>11288.9983579639</v>
      </c>
      <c r="Q2241" s="83" t="s">
        <v>3462</v>
      </c>
      <c r="R2241" s="65" t="s">
        <v>36</v>
      </c>
      <c r="S2241" s="62" t="s">
        <v>29</v>
      </c>
      <c r="T2241" s="62" t="s">
        <v>30</v>
      </c>
      <c r="U2241" s="123" t="s">
        <v>31</v>
      </c>
      <c r="V2241" s="119" t="n">
        <v>43879</v>
      </c>
      <c r="W2241" s="18" t="s">
        <v>3463</v>
      </c>
      <c r="X2241" s="18"/>
    </row>
    <row r="2242" customFormat="false" ht="13.8" hidden="false" customHeight="false" outlineLevel="0" collapsed="false">
      <c r="A2242" s="18"/>
      <c r="B2242" s="65" t="s">
        <v>3464</v>
      </c>
      <c r="C2242" s="81" t="n">
        <v>43761</v>
      </c>
      <c r="D2242" s="64" t="s">
        <v>22</v>
      </c>
      <c r="E2242" s="65" t="s">
        <v>215</v>
      </c>
      <c r="F2242" s="82" t="s">
        <v>216</v>
      </c>
      <c r="G2242" s="65" t="s">
        <v>36</v>
      </c>
      <c r="H2242" s="65" t="s">
        <v>3465</v>
      </c>
      <c r="I2242" s="65" t="s">
        <v>25</v>
      </c>
      <c r="J2242" s="83" t="n">
        <v>33.73</v>
      </c>
      <c r="K2242" s="84" t="n">
        <v>450000</v>
      </c>
      <c r="L2242" s="85" t="n">
        <f aca="false">K2242/J2242</f>
        <v>13341.2392528906</v>
      </c>
      <c r="M2242" s="90" t="s">
        <v>3466</v>
      </c>
      <c r="N2242" s="87"/>
      <c r="O2242" s="88" t="n">
        <v>450000</v>
      </c>
      <c r="P2242" s="88" t="n">
        <f aca="false">O2242/J2242</f>
        <v>13341.2392528906</v>
      </c>
      <c r="Q2242" s="83" t="s">
        <v>3467</v>
      </c>
      <c r="R2242" s="65" t="s">
        <v>27</v>
      </c>
      <c r="S2242" s="62" t="s">
        <v>29</v>
      </c>
      <c r="T2242" s="62" t="s">
        <v>30</v>
      </c>
      <c r="U2242" s="123" t="s">
        <v>31</v>
      </c>
      <c r="V2242" s="119" t="n">
        <v>43879</v>
      </c>
      <c r="W2242" s="18" t="s">
        <v>3468</v>
      </c>
      <c r="X2242" s="18"/>
    </row>
    <row r="2243" customFormat="false" ht="13.8" hidden="false" customHeight="false" outlineLevel="0" collapsed="false">
      <c r="A2243" s="18"/>
      <c r="B2243" s="65" t="s">
        <v>3469</v>
      </c>
      <c r="C2243" s="81" t="n">
        <v>43761</v>
      </c>
      <c r="D2243" s="115" t="s">
        <v>22</v>
      </c>
      <c r="E2243" s="65" t="s">
        <v>717</v>
      </c>
      <c r="F2243" s="91" t="s">
        <v>392</v>
      </c>
      <c r="G2243" s="65" t="s">
        <v>269</v>
      </c>
      <c r="H2243" s="65" t="s">
        <v>26</v>
      </c>
      <c r="I2243" s="65" t="s">
        <v>36</v>
      </c>
      <c r="J2243" s="83" t="n">
        <v>50.75</v>
      </c>
      <c r="K2243" s="88" t="n">
        <v>540000</v>
      </c>
      <c r="L2243" s="85" t="n">
        <f aca="false">K2243/J2243</f>
        <v>10640.39408867</v>
      </c>
      <c r="M2243" s="92"/>
      <c r="N2243" s="93"/>
      <c r="O2243" s="88" t="n">
        <v>540000</v>
      </c>
      <c r="P2243" s="85" t="n">
        <v>10640.39408867</v>
      </c>
      <c r="Q2243" s="94" t="s">
        <v>3470</v>
      </c>
      <c r="R2243" s="65" t="s">
        <v>36</v>
      </c>
      <c r="S2243" s="65" t="s">
        <v>29</v>
      </c>
      <c r="T2243" s="65" t="s">
        <v>30</v>
      </c>
      <c r="U2243" s="24" t="s">
        <v>31</v>
      </c>
      <c r="V2243" s="89" t="n">
        <v>43881</v>
      </c>
      <c r="W2243" s="91" t="s">
        <v>3471</v>
      </c>
      <c r="X2243" s="18"/>
    </row>
    <row r="2244" customFormat="false" ht="13.8" hidden="false" customHeight="false" outlineLevel="0" collapsed="false">
      <c r="A2244" s="18"/>
      <c r="B2244" s="65" t="s">
        <v>3472</v>
      </c>
      <c r="C2244" s="81" t="n">
        <v>43762</v>
      </c>
      <c r="D2244" s="64" t="s">
        <v>22</v>
      </c>
      <c r="E2244" s="65" t="s">
        <v>118</v>
      </c>
      <c r="F2244" s="82" t="s">
        <v>3473</v>
      </c>
      <c r="G2244" s="65" t="s">
        <v>25</v>
      </c>
      <c r="H2244" s="65" t="s">
        <v>408</v>
      </c>
      <c r="I2244" s="65" t="s">
        <v>82</v>
      </c>
      <c r="J2244" s="83" t="n">
        <v>32.1</v>
      </c>
      <c r="K2244" s="84" t="n">
        <v>390000</v>
      </c>
      <c r="L2244" s="85" t="n">
        <f aca="false">K2244/J2244</f>
        <v>12149.5327102804</v>
      </c>
      <c r="M2244" s="90"/>
      <c r="N2244" s="87"/>
      <c r="O2244" s="88" t="n">
        <v>390000</v>
      </c>
      <c r="P2244" s="88" t="n">
        <f aca="false">O2244/J2244</f>
        <v>12149.5327102804</v>
      </c>
      <c r="Q2244" s="83" t="s">
        <v>3474</v>
      </c>
      <c r="R2244" s="65" t="s">
        <v>36</v>
      </c>
      <c r="S2244" s="62" t="s">
        <v>29</v>
      </c>
      <c r="T2244" s="62" t="s">
        <v>30</v>
      </c>
      <c r="U2244" s="123" t="s">
        <v>31</v>
      </c>
      <c r="V2244" s="119" t="n">
        <v>43879</v>
      </c>
      <c r="W2244" s="18" t="s">
        <v>3475</v>
      </c>
      <c r="X2244" s="18"/>
    </row>
    <row r="2245" customFormat="false" ht="13.8" hidden="false" customHeight="false" outlineLevel="0" collapsed="false">
      <c r="A2245" s="18"/>
      <c r="B2245" s="65" t="s">
        <v>3476</v>
      </c>
      <c r="C2245" s="81" t="n">
        <v>43762</v>
      </c>
      <c r="D2245" s="64" t="s">
        <v>22</v>
      </c>
      <c r="E2245" s="65" t="s">
        <v>278</v>
      </c>
      <c r="F2245" s="82" t="s">
        <v>288</v>
      </c>
      <c r="G2245" s="65" t="s">
        <v>115</v>
      </c>
      <c r="H2245" s="65" t="s">
        <v>197</v>
      </c>
      <c r="I2245" s="65" t="s">
        <v>36</v>
      </c>
      <c r="J2245" s="83" t="n">
        <v>80.17</v>
      </c>
      <c r="K2245" s="84" t="n">
        <v>1050000</v>
      </c>
      <c r="L2245" s="85" t="n">
        <f aca="false">K2245/J2245</f>
        <v>13097.1685169016</v>
      </c>
      <c r="M2245" s="90" t="s">
        <v>3477</v>
      </c>
      <c r="N2245" s="87"/>
      <c r="O2245" s="88" t="n">
        <v>1050000</v>
      </c>
      <c r="P2245" s="88" t="n">
        <f aca="false">O2245/J2245</f>
        <v>13097.1685169016</v>
      </c>
      <c r="Q2245" s="83" t="s">
        <v>3478</v>
      </c>
      <c r="R2245" s="65" t="s">
        <v>26</v>
      </c>
      <c r="S2245" s="62" t="s">
        <v>29</v>
      </c>
      <c r="T2245" s="62" t="s">
        <v>30</v>
      </c>
      <c r="U2245" s="123" t="s">
        <v>31</v>
      </c>
      <c r="V2245" s="119" t="n">
        <v>43879</v>
      </c>
      <c r="W2245" s="18" t="s">
        <v>3479</v>
      </c>
      <c r="X2245" s="18"/>
    </row>
    <row r="2246" customFormat="false" ht="13.8" hidden="false" customHeight="false" outlineLevel="0" collapsed="false">
      <c r="A2246" s="18"/>
      <c r="B2246" s="62" t="n">
        <v>12812</v>
      </c>
      <c r="C2246" s="81" t="n">
        <v>43762</v>
      </c>
      <c r="D2246" s="64" t="s">
        <v>22</v>
      </c>
      <c r="E2246" s="65" t="s">
        <v>652</v>
      </c>
      <c r="F2246" s="82" t="s">
        <v>46</v>
      </c>
      <c r="G2246" s="65" t="s">
        <v>3480</v>
      </c>
      <c r="H2246" s="112" t="s">
        <v>870</v>
      </c>
      <c r="I2246" s="112" t="s">
        <v>82</v>
      </c>
      <c r="J2246" s="83" t="n">
        <v>67.13</v>
      </c>
      <c r="K2246" s="84" t="n">
        <v>620000</v>
      </c>
      <c r="L2246" s="113" t="n">
        <f aca="false">K2246/J2246</f>
        <v>9235.81111276627</v>
      </c>
      <c r="M2246" s="114" t="s">
        <v>3481</v>
      </c>
      <c r="N2246" s="93" t="n">
        <v>35000</v>
      </c>
      <c r="O2246" s="88" t="n">
        <v>655000</v>
      </c>
      <c r="P2246" s="88" t="n">
        <f aca="false">O2246/J2246</f>
        <v>9757.18754655147</v>
      </c>
      <c r="Q2246" s="83" t="s">
        <v>3482</v>
      </c>
      <c r="R2246" s="65" t="s">
        <v>26</v>
      </c>
      <c r="S2246" s="62" t="s">
        <v>29</v>
      </c>
      <c r="T2246" s="62" t="s">
        <v>30</v>
      </c>
      <c r="U2246" s="123" t="s">
        <v>31</v>
      </c>
      <c r="V2246" s="119" t="n">
        <v>43879</v>
      </c>
      <c r="W2246" s="18" t="s">
        <v>3483</v>
      </c>
      <c r="X2246" s="18"/>
    </row>
    <row r="2247" customFormat="false" ht="13.8" hidden="false" customHeight="false" outlineLevel="0" collapsed="false">
      <c r="A2247" s="18"/>
      <c r="B2247" s="65" t="s">
        <v>3484</v>
      </c>
      <c r="C2247" s="81" t="n">
        <v>43763</v>
      </c>
      <c r="D2247" s="64" t="s">
        <v>22</v>
      </c>
      <c r="E2247" s="65" t="s">
        <v>148</v>
      </c>
      <c r="F2247" s="82" t="s">
        <v>361</v>
      </c>
      <c r="G2247" s="65" t="s">
        <v>154</v>
      </c>
      <c r="H2247" s="65" t="s">
        <v>348</v>
      </c>
      <c r="I2247" s="65" t="s">
        <v>25</v>
      </c>
      <c r="J2247" s="83" t="n">
        <v>53.31</v>
      </c>
      <c r="K2247" s="84" t="n">
        <v>462500</v>
      </c>
      <c r="L2247" s="85" t="n">
        <f aca="false">K2247/J2247</f>
        <v>8675.67060589008</v>
      </c>
      <c r="M2247" s="90"/>
      <c r="N2247" s="87"/>
      <c r="O2247" s="88" t="n">
        <v>462500</v>
      </c>
      <c r="P2247" s="88" t="n">
        <f aca="false">O2247/J2247</f>
        <v>8675.67060589008</v>
      </c>
      <c r="Q2247" s="83" t="s">
        <v>1471</v>
      </c>
      <c r="R2247" s="65" t="s">
        <v>26</v>
      </c>
      <c r="S2247" s="62" t="s">
        <v>29</v>
      </c>
      <c r="T2247" s="62" t="s">
        <v>30</v>
      </c>
      <c r="U2247" s="123" t="s">
        <v>31</v>
      </c>
      <c r="V2247" s="119" t="n">
        <v>43879</v>
      </c>
      <c r="W2247" s="18" t="s">
        <v>3485</v>
      </c>
      <c r="X2247" s="18"/>
    </row>
    <row r="2248" customFormat="false" ht="13.8" hidden="false" customHeight="false" outlineLevel="0" collapsed="false">
      <c r="A2248" s="18"/>
      <c r="B2248" s="62" t="n">
        <v>13760</v>
      </c>
      <c r="C2248" s="81" t="n">
        <v>43763</v>
      </c>
      <c r="D2248" s="64" t="s">
        <v>22</v>
      </c>
      <c r="E2248" s="65" t="s">
        <v>281</v>
      </c>
      <c r="F2248" s="82" t="s">
        <v>955</v>
      </c>
      <c r="G2248" s="65" t="s">
        <v>880</v>
      </c>
      <c r="H2248" s="112" t="s">
        <v>57</v>
      </c>
      <c r="I2248" s="112" t="s">
        <v>36</v>
      </c>
      <c r="J2248" s="83" t="n">
        <v>33.99</v>
      </c>
      <c r="K2248" s="84" t="n">
        <v>360000</v>
      </c>
      <c r="L2248" s="113"/>
      <c r="M2248" s="114"/>
      <c r="N2248" s="93"/>
      <c r="O2248" s="88" t="n">
        <v>360000</v>
      </c>
      <c r="P2248" s="88" t="n">
        <f aca="false">O2248/J2248</f>
        <v>10591.3503971756</v>
      </c>
      <c r="Q2248" s="83" t="s">
        <v>3486</v>
      </c>
      <c r="R2248" s="65" t="s">
        <v>36</v>
      </c>
      <c r="S2248" s="62" t="s">
        <v>29</v>
      </c>
      <c r="T2248" s="62" t="s">
        <v>30</v>
      </c>
      <c r="U2248" s="123" t="s">
        <v>31</v>
      </c>
      <c r="V2248" s="119" t="n">
        <v>43879</v>
      </c>
      <c r="W2248" s="18" t="s">
        <v>3487</v>
      </c>
      <c r="X2248" s="18"/>
    </row>
    <row r="2249" customFormat="false" ht="13.8" hidden="false" customHeight="false" outlineLevel="0" collapsed="false">
      <c r="A2249" s="18"/>
      <c r="B2249" s="65" t="s">
        <v>3488</v>
      </c>
      <c r="C2249" s="81" t="n">
        <v>43763</v>
      </c>
      <c r="D2249" s="64" t="s">
        <v>22</v>
      </c>
      <c r="E2249" s="65" t="s">
        <v>278</v>
      </c>
      <c r="F2249" s="91" t="s">
        <v>279</v>
      </c>
      <c r="G2249" s="65" t="s">
        <v>115</v>
      </c>
      <c r="H2249" s="65" t="s">
        <v>169</v>
      </c>
      <c r="I2249" s="65" t="s">
        <v>49</v>
      </c>
      <c r="J2249" s="83" t="n">
        <v>37.6</v>
      </c>
      <c r="K2249" s="88" t="n">
        <v>365000</v>
      </c>
      <c r="L2249" s="85" t="n">
        <f aca="false">K2249/J2249</f>
        <v>9707.44680851064</v>
      </c>
      <c r="M2249" s="92"/>
      <c r="N2249" s="93"/>
      <c r="O2249" s="88" t="n">
        <v>365000</v>
      </c>
      <c r="P2249" s="85" t="n">
        <f aca="false">O2249/J2249</f>
        <v>9707.44680851064</v>
      </c>
      <c r="Q2249" s="94" t="s">
        <v>1486</v>
      </c>
      <c r="R2249" s="65" t="s">
        <v>36</v>
      </c>
      <c r="S2249" s="62" t="s">
        <v>29</v>
      </c>
      <c r="T2249" s="62" t="s">
        <v>30</v>
      </c>
      <c r="U2249" s="123" t="s">
        <v>31</v>
      </c>
      <c r="V2249" s="119" t="n">
        <v>43879</v>
      </c>
      <c r="W2249" s="91" t="s">
        <v>3489</v>
      </c>
      <c r="X2249" s="18"/>
    </row>
    <row r="2250" customFormat="false" ht="13.8" hidden="false" customHeight="false" outlineLevel="0" collapsed="false">
      <c r="A2250" s="18"/>
      <c r="B2250" s="62" t="n">
        <v>5406</v>
      </c>
      <c r="C2250" s="81" t="n">
        <v>43763</v>
      </c>
      <c r="D2250" s="64" t="s">
        <v>22</v>
      </c>
      <c r="E2250" s="65" t="s">
        <v>61</v>
      </c>
      <c r="F2250" s="82" t="s">
        <v>361</v>
      </c>
      <c r="G2250" s="65" t="s">
        <v>213</v>
      </c>
      <c r="H2250" s="112" t="s">
        <v>210</v>
      </c>
      <c r="I2250" s="112" t="s">
        <v>57</v>
      </c>
      <c r="J2250" s="83" t="n">
        <v>42.86</v>
      </c>
      <c r="K2250" s="84" t="n">
        <v>375000</v>
      </c>
      <c r="L2250" s="113" t="n">
        <f aca="false">K2250/J2250</f>
        <v>8749.41670555296</v>
      </c>
      <c r="M2250" s="114"/>
      <c r="N2250" s="93"/>
      <c r="O2250" s="88" t="n">
        <v>375000</v>
      </c>
      <c r="P2250" s="88" t="n">
        <f aca="false">O2250/J2250</f>
        <v>8749.41670555296</v>
      </c>
      <c r="Q2250" s="83" t="s">
        <v>1486</v>
      </c>
      <c r="R2250" s="65" t="s">
        <v>36</v>
      </c>
      <c r="S2250" s="62" t="s">
        <v>29</v>
      </c>
      <c r="T2250" s="62" t="s">
        <v>30</v>
      </c>
      <c r="U2250" s="123" t="s">
        <v>31</v>
      </c>
      <c r="V2250" s="119" t="n">
        <v>43879</v>
      </c>
      <c r="W2250" s="18" t="s">
        <v>3490</v>
      </c>
      <c r="X2250" s="18"/>
    </row>
    <row r="2251" customFormat="false" ht="13.8" hidden="false" customHeight="false" outlineLevel="0" collapsed="false">
      <c r="A2251" s="18"/>
      <c r="B2251" s="62" t="n">
        <v>24472</v>
      </c>
      <c r="C2251" s="81" t="n">
        <v>43763</v>
      </c>
      <c r="D2251" s="115" t="s">
        <v>22</v>
      </c>
      <c r="E2251" s="65" t="s">
        <v>3491</v>
      </c>
      <c r="F2251" s="82" t="s">
        <v>3492</v>
      </c>
      <c r="G2251" s="65" t="s">
        <v>101</v>
      </c>
      <c r="H2251" s="112" t="s">
        <v>49</v>
      </c>
      <c r="I2251" s="112" t="s">
        <v>36</v>
      </c>
      <c r="J2251" s="83" t="n">
        <v>91.48</v>
      </c>
      <c r="K2251" s="84" t="n">
        <v>910000</v>
      </c>
      <c r="L2251" s="113" t="n">
        <f aca="false">K2251/J2251</f>
        <v>9947.52951464801</v>
      </c>
      <c r="M2251" s="114"/>
      <c r="N2251" s="93"/>
      <c r="O2251" s="88" t="n">
        <v>910000</v>
      </c>
      <c r="P2251" s="88" t="n">
        <v>9947.52951464801</v>
      </c>
      <c r="Q2251" s="83" t="s">
        <v>3493</v>
      </c>
      <c r="R2251" s="65" t="s">
        <v>49</v>
      </c>
      <c r="S2251" s="65" t="s">
        <v>29</v>
      </c>
      <c r="T2251" s="65" t="s">
        <v>30</v>
      </c>
      <c r="U2251" s="24" t="s">
        <v>31</v>
      </c>
      <c r="V2251" s="89" t="n">
        <v>43881</v>
      </c>
      <c r="W2251" s="18" t="s">
        <v>3494</v>
      </c>
      <c r="X2251" s="18"/>
    </row>
    <row r="2252" customFormat="false" ht="13.8" hidden="false" customHeight="false" outlineLevel="0" collapsed="false">
      <c r="A2252" s="18"/>
      <c r="B2252" s="65" t="s">
        <v>3495</v>
      </c>
      <c r="C2252" s="81" t="n">
        <v>43763</v>
      </c>
      <c r="D2252" s="115" t="s">
        <v>22</v>
      </c>
      <c r="E2252" s="65" t="s">
        <v>399</v>
      </c>
      <c r="F2252" s="91" t="s">
        <v>1826</v>
      </c>
      <c r="G2252" s="65" t="s">
        <v>26</v>
      </c>
      <c r="H2252" s="65" t="s">
        <v>112</v>
      </c>
      <c r="I2252" s="65" t="s">
        <v>49</v>
      </c>
      <c r="J2252" s="83" t="n">
        <v>159.47</v>
      </c>
      <c r="K2252" s="84" t="n">
        <v>1650000</v>
      </c>
      <c r="L2252" s="85" t="n">
        <f aca="false">K2252/J2252</f>
        <v>10346.773687841</v>
      </c>
      <c r="M2252" s="90"/>
      <c r="N2252" s="87"/>
      <c r="O2252" s="88" t="n">
        <v>1650000</v>
      </c>
      <c r="P2252" s="88" t="n">
        <v>10346.773687841</v>
      </c>
      <c r="Q2252" s="65" t="s">
        <v>3496</v>
      </c>
      <c r="R2252" s="65" t="s">
        <v>57</v>
      </c>
      <c r="S2252" s="65" t="s">
        <v>29</v>
      </c>
      <c r="T2252" s="65" t="s">
        <v>30</v>
      </c>
      <c r="U2252" s="24" t="s">
        <v>31</v>
      </c>
      <c r="V2252" s="89" t="n">
        <v>43881</v>
      </c>
      <c r="W2252" s="23" t="s">
        <v>3497</v>
      </c>
      <c r="X2252" s="110"/>
    </row>
    <row r="2253" customFormat="false" ht="13.8" hidden="false" customHeight="false" outlineLevel="0" collapsed="false">
      <c r="A2253" s="18"/>
      <c r="B2253" s="62" t="n">
        <v>2512</v>
      </c>
      <c r="C2253" s="81" t="n">
        <v>43763</v>
      </c>
      <c r="D2253" s="115" t="s">
        <v>22</v>
      </c>
      <c r="E2253" s="65" t="s">
        <v>229</v>
      </c>
      <c r="F2253" s="82" t="s">
        <v>230</v>
      </c>
      <c r="G2253" s="65" t="s">
        <v>3498</v>
      </c>
      <c r="H2253" s="112" t="s">
        <v>217</v>
      </c>
      <c r="I2253" s="112" t="s">
        <v>57</v>
      </c>
      <c r="J2253" s="83" t="n">
        <v>37.5</v>
      </c>
      <c r="K2253" s="84" t="n">
        <v>450000</v>
      </c>
      <c r="L2253" s="113" t="n">
        <f aca="false">K2253/J2253</f>
        <v>12000</v>
      </c>
      <c r="M2253" s="114" t="s">
        <v>3499</v>
      </c>
      <c r="N2253" s="93"/>
      <c r="O2253" s="88" t="n">
        <v>450000</v>
      </c>
      <c r="P2253" s="88" t="n">
        <v>12000</v>
      </c>
      <c r="Q2253" s="83" t="s">
        <v>3500</v>
      </c>
      <c r="R2253" s="65" t="s">
        <v>36</v>
      </c>
      <c r="S2253" s="65" t="s">
        <v>29</v>
      </c>
      <c r="T2253" s="65" t="s">
        <v>30</v>
      </c>
      <c r="U2253" s="24" t="s">
        <v>31</v>
      </c>
      <c r="V2253" s="89" t="n">
        <v>43881</v>
      </c>
      <c r="W2253" s="18" t="s">
        <v>3501</v>
      </c>
      <c r="X2253" s="18"/>
    </row>
    <row r="2254" customFormat="false" ht="13.8" hidden="false" customHeight="false" outlineLevel="0" collapsed="false">
      <c r="A2254" s="18"/>
      <c r="B2254" s="65" t="s">
        <v>3502</v>
      </c>
      <c r="C2254" s="81" t="n">
        <v>43766</v>
      </c>
      <c r="D2254" s="64" t="s">
        <v>22</v>
      </c>
      <c r="E2254" s="65" t="s">
        <v>369</v>
      </c>
      <c r="F2254" s="91" t="s">
        <v>450</v>
      </c>
      <c r="G2254" s="65" t="s">
        <v>747</v>
      </c>
      <c r="H2254" s="65" t="s">
        <v>135</v>
      </c>
      <c r="I2254" s="65" t="s">
        <v>49</v>
      </c>
      <c r="J2254" s="83" t="n">
        <v>30.63</v>
      </c>
      <c r="K2254" s="84" t="n">
        <v>284000</v>
      </c>
      <c r="L2254" s="85" t="n">
        <f aca="false">K2254/J2254</f>
        <v>9271.95559908586</v>
      </c>
      <c r="M2254" s="90"/>
      <c r="N2254" s="87"/>
      <c r="O2254" s="88" t="n">
        <v>284000</v>
      </c>
      <c r="P2254" s="88" t="n">
        <f aca="false">O2254/J2254</f>
        <v>9271.95559908586</v>
      </c>
      <c r="Q2254" s="65" t="s">
        <v>3503</v>
      </c>
      <c r="R2254" s="65" t="s">
        <v>27</v>
      </c>
      <c r="S2254" s="62" t="s">
        <v>29</v>
      </c>
      <c r="T2254" s="62" t="s">
        <v>30</v>
      </c>
      <c r="U2254" s="123" t="s">
        <v>31</v>
      </c>
      <c r="V2254" s="119" t="n">
        <v>43879</v>
      </c>
      <c r="W2254" s="23" t="s">
        <v>3504</v>
      </c>
      <c r="X2254" s="110"/>
    </row>
    <row r="2255" customFormat="false" ht="13.8" hidden="false" customHeight="false" outlineLevel="0" collapsed="false">
      <c r="A2255" s="18"/>
      <c r="B2255" s="62" t="n">
        <v>11172</v>
      </c>
      <c r="C2255" s="81" t="n">
        <v>43766</v>
      </c>
      <c r="D2255" s="64" t="s">
        <v>22</v>
      </c>
      <c r="E2255" s="65" t="s">
        <v>178</v>
      </c>
      <c r="F2255" s="82" t="s">
        <v>387</v>
      </c>
      <c r="G2255" s="65" t="s">
        <v>102</v>
      </c>
      <c r="H2255" s="112" t="s">
        <v>826</v>
      </c>
      <c r="I2255" s="112" t="s">
        <v>57</v>
      </c>
      <c r="J2255" s="83" t="n">
        <v>71.35</v>
      </c>
      <c r="K2255" s="84" t="n">
        <v>665000</v>
      </c>
      <c r="L2255" s="113" t="n">
        <f aca="false">K2255/J2255</f>
        <v>9320.25227750526</v>
      </c>
      <c r="M2255" s="114"/>
      <c r="N2255" s="93"/>
      <c r="O2255" s="88" t="n">
        <v>665000</v>
      </c>
      <c r="P2255" s="88" t="n">
        <f aca="false">O2255/J2255</f>
        <v>9320.25227750526</v>
      </c>
      <c r="Q2255" s="83" t="s">
        <v>1340</v>
      </c>
      <c r="R2255" s="65" t="s">
        <v>26</v>
      </c>
      <c r="S2255" s="62" t="s">
        <v>29</v>
      </c>
      <c r="T2255" s="62" t="s">
        <v>30</v>
      </c>
      <c r="U2255" s="123" t="s">
        <v>31</v>
      </c>
      <c r="V2255" s="119" t="n">
        <v>43879</v>
      </c>
      <c r="W2255" s="18" t="s">
        <v>3505</v>
      </c>
      <c r="X2255" s="18"/>
    </row>
    <row r="2256" customFormat="false" ht="13.8" hidden="false" customHeight="false" outlineLevel="0" collapsed="false">
      <c r="A2256" s="18"/>
      <c r="B2256" s="62" t="n">
        <v>11880</v>
      </c>
      <c r="C2256" s="81" t="n">
        <v>43766</v>
      </c>
      <c r="D2256" s="64" t="s">
        <v>22</v>
      </c>
      <c r="E2256" s="65" t="s">
        <v>459</v>
      </c>
      <c r="F2256" s="82" t="s">
        <v>240</v>
      </c>
      <c r="G2256" s="65" t="s">
        <v>821</v>
      </c>
      <c r="H2256" s="112" t="s">
        <v>111</v>
      </c>
      <c r="I2256" s="112" t="s">
        <v>26</v>
      </c>
      <c r="J2256" s="83" t="n">
        <v>54.68</v>
      </c>
      <c r="K2256" s="84" t="n">
        <v>400000</v>
      </c>
      <c r="L2256" s="113" t="n">
        <f aca="false">K2256/J2256</f>
        <v>7315.28895391368</v>
      </c>
      <c r="M2256" s="114"/>
      <c r="N2256" s="93"/>
      <c r="O2256" s="88" t="n">
        <v>400000</v>
      </c>
      <c r="P2256" s="88" t="n">
        <f aca="false">O2256/J2256</f>
        <v>7315.28895391368</v>
      </c>
      <c r="Q2256" s="83" t="s">
        <v>1340</v>
      </c>
      <c r="R2256" s="65" t="s">
        <v>26</v>
      </c>
      <c r="S2256" s="62" t="s">
        <v>29</v>
      </c>
      <c r="T2256" s="62" t="s">
        <v>30</v>
      </c>
      <c r="U2256" s="123" t="s">
        <v>31</v>
      </c>
      <c r="V2256" s="119" t="n">
        <v>43879</v>
      </c>
      <c r="W2256" s="18" t="s">
        <v>3506</v>
      </c>
      <c r="X2256" s="18"/>
    </row>
    <row r="2257" customFormat="false" ht="13.8" hidden="false" customHeight="false" outlineLevel="0" collapsed="false">
      <c r="A2257" s="18"/>
      <c r="B2257" s="65" t="s">
        <v>3507</v>
      </c>
      <c r="C2257" s="81" t="n">
        <v>43766</v>
      </c>
      <c r="D2257" s="64" t="s">
        <v>22</v>
      </c>
      <c r="E2257" s="65" t="s">
        <v>175</v>
      </c>
      <c r="F2257" s="82" t="s">
        <v>176</v>
      </c>
      <c r="G2257" s="65" t="s">
        <v>202</v>
      </c>
      <c r="H2257" s="65" t="s">
        <v>120</v>
      </c>
      <c r="I2257" s="65" t="s">
        <v>49</v>
      </c>
      <c r="J2257" s="83" t="n">
        <v>54.1</v>
      </c>
      <c r="K2257" s="84" t="n">
        <v>600000</v>
      </c>
      <c r="L2257" s="85" t="n">
        <f aca="false">K2257/J2257</f>
        <v>11090.573012939</v>
      </c>
      <c r="M2257" s="90"/>
      <c r="N2257" s="87"/>
      <c r="O2257" s="88" t="n">
        <v>600000</v>
      </c>
      <c r="P2257" s="88" t="n">
        <f aca="false">O2257/J2257</f>
        <v>11090.573012939</v>
      </c>
      <c r="Q2257" s="83" t="s">
        <v>2427</v>
      </c>
      <c r="R2257" s="65" t="s">
        <v>36</v>
      </c>
      <c r="S2257" s="62" t="s">
        <v>29</v>
      </c>
      <c r="T2257" s="62" t="s">
        <v>30</v>
      </c>
      <c r="U2257" s="123" t="s">
        <v>31</v>
      </c>
      <c r="V2257" s="119" t="n">
        <v>43879</v>
      </c>
      <c r="W2257" s="18" t="s">
        <v>3508</v>
      </c>
      <c r="X2257" s="18"/>
    </row>
    <row r="2258" customFormat="false" ht="13.8" hidden="false" customHeight="false" outlineLevel="0" collapsed="false">
      <c r="A2258" s="18"/>
      <c r="B2258" s="65" t="s">
        <v>3509</v>
      </c>
      <c r="C2258" s="81" t="n">
        <v>43766</v>
      </c>
      <c r="D2258" s="64" t="s">
        <v>22</v>
      </c>
      <c r="E2258" s="65" t="s">
        <v>278</v>
      </c>
      <c r="F2258" s="82" t="s">
        <v>416</v>
      </c>
      <c r="G2258" s="65" t="s">
        <v>49</v>
      </c>
      <c r="H2258" s="65" t="s">
        <v>411</v>
      </c>
      <c r="I2258" s="65" t="s">
        <v>49</v>
      </c>
      <c r="J2258" s="130" t="n">
        <v>46.98</v>
      </c>
      <c r="K2258" s="84" t="n">
        <v>415000</v>
      </c>
      <c r="L2258" s="85" t="n">
        <f aca="false">K2258/J2258</f>
        <v>8833.54618986803</v>
      </c>
      <c r="M2258" s="111"/>
      <c r="N2258" s="87"/>
      <c r="O2258" s="88" t="n">
        <v>415000</v>
      </c>
      <c r="P2258" s="88" t="n">
        <f aca="false">O2258/J2258</f>
        <v>8833.54618986803</v>
      </c>
      <c r="Q2258" s="83" t="s">
        <v>1340</v>
      </c>
      <c r="R2258" s="65" t="s">
        <v>26</v>
      </c>
      <c r="S2258" s="62" t="s">
        <v>29</v>
      </c>
      <c r="T2258" s="62" t="s">
        <v>30</v>
      </c>
      <c r="U2258" s="123" t="s">
        <v>31</v>
      </c>
      <c r="V2258" s="119" t="n">
        <v>43879</v>
      </c>
      <c r="W2258" s="18" t="s">
        <v>3510</v>
      </c>
      <c r="X2258" s="18"/>
    </row>
    <row r="2259" customFormat="false" ht="13.8" hidden="false" customHeight="false" outlineLevel="0" collapsed="false">
      <c r="A2259" s="18"/>
      <c r="B2259" s="65" t="s">
        <v>3511</v>
      </c>
      <c r="C2259" s="81" t="n">
        <v>43766</v>
      </c>
      <c r="D2259" s="64" t="s">
        <v>22</v>
      </c>
      <c r="E2259" s="65" t="s">
        <v>3512</v>
      </c>
      <c r="F2259" s="91" t="s">
        <v>344</v>
      </c>
      <c r="G2259" s="65" t="s">
        <v>3513</v>
      </c>
      <c r="H2259" s="65" t="s">
        <v>294</v>
      </c>
      <c r="I2259" s="65" t="s">
        <v>26</v>
      </c>
      <c r="J2259" s="83" t="n">
        <v>39.38</v>
      </c>
      <c r="K2259" s="88" t="n">
        <v>375000</v>
      </c>
      <c r="L2259" s="85" t="n">
        <f aca="false">K2259/J2259</f>
        <v>9522.60030472321</v>
      </c>
      <c r="M2259" s="92"/>
      <c r="N2259" s="93"/>
      <c r="O2259" s="88" t="n">
        <v>375000</v>
      </c>
      <c r="P2259" s="85" t="n">
        <f aca="false">O2259/J2259</f>
        <v>9522.60030472321</v>
      </c>
      <c r="Q2259" s="94" t="s">
        <v>3048</v>
      </c>
      <c r="R2259" s="65" t="s">
        <v>27</v>
      </c>
      <c r="S2259" s="62" t="s">
        <v>29</v>
      </c>
      <c r="T2259" s="62" t="s">
        <v>30</v>
      </c>
      <c r="U2259" s="123" t="s">
        <v>31</v>
      </c>
      <c r="V2259" s="119" t="n">
        <v>43879</v>
      </c>
      <c r="W2259" s="91" t="s">
        <v>3514</v>
      </c>
      <c r="X2259" s="18"/>
    </row>
    <row r="2260" customFormat="false" ht="13.8" hidden="false" customHeight="false" outlineLevel="0" collapsed="false">
      <c r="A2260" s="18"/>
      <c r="B2260" s="62" t="n">
        <v>3442</v>
      </c>
      <c r="C2260" s="81" t="n">
        <v>43766</v>
      </c>
      <c r="D2260" s="115" t="s">
        <v>22</v>
      </c>
      <c r="E2260" s="65" t="s">
        <v>265</v>
      </c>
      <c r="F2260" s="82" t="s">
        <v>565</v>
      </c>
      <c r="G2260" s="65" t="s">
        <v>3155</v>
      </c>
      <c r="H2260" s="112" t="s">
        <v>36</v>
      </c>
      <c r="I2260" s="112" t="s">
        <v>27</v>
      </c>
      <c r="J2260" s="83" t="n">
        <v>48.86</v>
      </c>
      <c r="K2260" s="84" t="n">
        <v>434088</v>
      </c>
      <c r="L2260" s="113" t="n">
        <f aca="false">K2260/J2260</f>
        <v>8884.32255423659</v>
      </c>
      <c r="M2260" s="114"/>
      <c r="N2260" s="93"/>
      <c r="O2260" s="88" t="n">
        <v>434088</v>
      </c>
      <c r="P2260" s="88" t="n">
        <v>8884.32255423659</v>
      </c>
      <c r="Q2260" s="83" t="s">
        <v>925</v>
      </c>
      <c r="R2260" s="65" t="s">
        <v>36</v>
      </c>
      <c r="S2260" s="65" t="s">
        <v>29</v>
      </c>
      <c r="T2260" s="65" t="s">
        <v>30</v>
      </c>
      <c r="U2260" s="24" t="s">
        <v>31</v>
      </c>
      <c r="V2260" s="89" t="n">
        <v>43881</v>
      </c>
      <c r="W2260" s="18" t="s">
        <v>3515</v>
      </c>
      <c r="X2260" s="18" t="s">
        <v>3516</v>
      </c>
    </row>
    <row r="2261" s="69" customFormat="true" ht="13.8" hidden="false" customHeight="false" outlineLevel="0" collapsed="false">
      <c r="A2261" s="61"/>
      <c r="B2261" s="62" t="n">
        <v>10620</v>
      </c>
      <c r="C2261" s="63" t="n">
        <v>43766</v>
      </c>
      <c r="D2261" s="64" t="s">
        <v>22</v>
      </c>
      <c r="E2261" s="65" t="s">
        <v>144</v>
      </c>
      <c r="F2261" s="18" t="s">
        <v>145</v>
      </c>
      <c r="G2261" s="62" t="n">
        <v>5</v>
      </c>
      <c r="H2261" s="62" t="n">
        <v>6</v>
      </c>
      <c r="I2261" s="62" t="n">
        <v>2</v>
      </c>
      <c r="J2261" s="62" t="n">
        <v>31.7</v>
      </c>
      <c r="K2261" s="66" t="n">
        <v>350000</v>
      </c>
      <c r="L2261" s="66" t="n">
        <f aca="false">K2261/J2261</f>
        <v>11041.0094637224</v>
      </c>
      <c r="M2261" s="18"/>
      <c r="N2261" s="66"/>
      <c r="O2261" s="66" t="n">
        <f aca="false">K2261+N2261</f>
        <v>350000</v>
      </c>
      <c r="P2261" s="66" t="n">
        <f aca="false">O2261/J2261</f>
        <v>11041.0094637224</v>
      </c>
      <c r="Q2261" s="67" t="s">
        <v>1181</v>
      </c>
      <c r="R2261" s="65"/>
      <c r="S2261" s="67" t="s">
        <v>29</v>
      </c>
      <c r="T2261" s="62" t="s">
        <v>30</v>
      </c>
      <c r="U2261" s="68" t="s">
        <v>31</v>
      </c>
      <c r="V2261" s="63" t="n">
        <v>43886</v>
      </c>
      <c r="W2261" s="18" t="s">
        <v>3517</v>
      </c>
      <c r="X2261" s="18"/>
    </row>
    <row r="2262" customFormat="false" ht="13.8" hidden="false" customHeight="false" outlineLevel="0" collapsed="false">
      <c r="A2262" s="18"/>
      <c r="B2262" s="65" t="s">
        <v>3518</v>
      </c>
      <c r="C2262" s="81" t="n">
        <v>43767</v>
      </c>
      <c r="D2262" s="64" t="s">
        <v>22</v>
      </c>
      <c r="E2262" s="65" t="s">
        <v>276</v>
      </c>
      <c r="F2262" s="91" t="s">
        <v>38</v>
      </c>
      <c r="G2262" s="65" t="s">
        <v>120</v>
      </c>
      <c r="H2262" s="65" t="s">
        <v>257</v>
      </c>
      <c r="I2262" s="65" t="s">
        <v>112</v>
      </c>
      <c r="J2262" s="83" t="n">
        <v>37.4</v>
      </c>
      <c r="K2262" s="88" t="n">
        <v>348000</v>
      </c>
      <c r="L2262" s="85" t="n">
        <f aca="false">K2262/J2262</f>
        <v>9304.8128342246</v>
      </c>
      <c r="M2262" s="92"/>
      <c r="N2262" s="93"/>
      <c r="O2262" s="88" t="n">
        <v>348000</v>
      </c>
      <c r="P2262" s="85" t="n">
        <f aca="false">O2262/J2262</f>
        <v>9304.8128342246</v>
      </c>
      <c r="Q2262" s="94" t="s">
        <v>1486</v>
      </c>
      <c r="R2262" s="65" t="s">
        <v>36</v>
      </c>
      <c r="S2262" s="62" t="s">
        <v>29</v>
      </c>
      <c r="T2262" s="62" t="s">
        <v>30</v>
      </c>
      <c r="U2262" s="123" t="s">
        <v>31</v>
      </c>
      <c r="V2262" s="119" t="n">
        <v>43879</v>
      </c>
      <c r="W2262" s="18" t="s">
        <v>3519</v>
      </c>
      <c r="X2262" s="18"/>
      <c r="Y2262" s="116"/>
    </row>
    <row r="2263" customFormat="false" ht="13.8" hidden="false" customHeight="false" outlineLevel="0" collapsed="false">
      <c r="A2263" s="18"/>
      <c r="B2263" s="65" t="s">
        <v>3520</v>
      </c>
      <c r="C2263" s="81" t="n">
        <v>43767</v>
      </c>
      <c r="D2263" s="64" t="s">
        <v>22</v>
      </c>
      <c r="E2263" s="65" t="s">
        <v>962</v>
      </c>
      <c r="F2263" s="82" t="s">
        <v>963</v>
      </c>
      <c r="G2263" s="65" t="s">
        <v>36</v>
      </c>
      <c r="H2263" s="65" t="s">
        <v>421</v>
      </c>
      <c r="I2263" s="65" t="s">
        <v>27</v>
      </c>
      <c r="J2263" s="83" t="n">
        <v>31.12</v>
      </c>
      <c r="K2263" s="84" t="n">
        <v>340000</v>
      </c>
      <c r="L2263" s="85" t="n">
        <f aca="false">K2263/J2263</f>
        <v>10925.4498714653</v>
      </c>
      <c r="M2263" s="90" t="s">
        <v>3521</v>
      </c>
      <c r="N2263" s="87"/>
      <c r="O2263" s="88" t="n">
        <v>340000</v>
      </c>
      <c r="P2263" s="88" t="n">
        <f aca="false">O2263/J2263</f>
        <v>10925.4498714653</v>
      </c>
      <c r="Q2263" s="83" t="s">
        <v>3522</v>
      </c>
      <c r="R2263" s="65" t="s">
        <v>27</v>
      </c>
      <c r="S2263" s="62" t="s">
        <v>29</v>
      </c>
      <c r="T2263" s="62" t="s">
        <v>30</v>
      </c>
      <c r="U2263" s="123" t="s">
        <v>31</v>
      </c>
      <c r="V2263" s="119" t="n">
        <v>43879</v>
      </c>
      <c r="W2263" s="18" t="s">
        <v>3523</v>
      </c>
      <c r="X2263" s="18"/>
    </row>
    <row r="2264" customFormat="false" ht="13.8" hidden="false" customHeight="false" outlineLevel="0" collapsed="false">
      <c r="A2264" s="18"/>
      <c r="B2264" s="65" t="s">
        <v>3524</v>
      </c>
      <c r="C2264" s="81" t="n">
        <v>43767</v>
      </c>
      <c r="D2264" s="64" t="s">
        <v>22</v>
      </c>
      <c r="E2264" s="65" t="s">
        <v>3085</v>
      </c>
      <c r="F2264" s="82" t="s">
        <v>3086</v>
      </c>
      <c r="G2264" s="65" t="s">
        <v>82</v>
      </c>
      <c r="H2264" s="65" t="s">
        <v>147</v>
      </c>
      <c r="I2264" s="65" t="s">
        <v>82</v>
      </c>
      <c r="J2264" s="83" t="n">
        <v>43.31</v>
      </c>
      <c r="K2264" s="84" t="n">
        <v>555100</v>
      </c>
      <c r="L2264" s="85" t="n">
        <f aca="false">K2264/J2264</f>
        <v>12816.9014084507</v>
      </c>
      <c r="M2264" s="86" t="s">
        <v>987</v>
      </c>
      <c r="N2264" s="87" t="n">
        <v>19900</v>
      </c>
      <c r="O2264" s="88" t="n">
        <f aca="false">N2264+K2264</f>
        <v>575000</v>
      </c>
      <c r="P2264" s="88" t="n">
        <f aca="false">O2264/J2264</f>
        <v>13276.3795890095</v>
      </c>
      <c r="Q2264" s="83" t="s">
        <v>3525</v>
      </c>
      <c r="R2264" s="65" t="s">
        <v>36</v>
      </c>
      <c r="S2264" s="62" t="s">
        <v>29</v>
      </c>
      <c r="T2264" s="62" t="s">
        <v>30</v>
      </c>
      <c r="U2264" s="123" t="s">
        <v>31</v>
      </c>
      <c r="V2264" s="119" t="n">
        <v>43879</v>
      </c>
      <c r="W2264" s="18" t="s">
        <v>3526</v>
      </c>
      <c r="X2264" s="18"/>
    </row>
    <row r="2265" customFormat="false" ht="13.8" hidden="false" customHeight="false" outlineLevel="0" collapsed="false">
      <c r="A2265" s="18"/>
      <c r="B2265" s="65" t="s">
        <v>3527</v>
      </c>
      <c r="C2265" s="81" t="n">
        <v>43767</v>
      </c>
      <c r="D2265" s="64" t="s">
        <v>22</v>
      </c>
      <c r="E2265" s="65" t="s">
        <v>278</v>
      </c>
      <c r="F2265" s="82" t="s">
        <v>279</v>
      </c>
      <c r="G2265" s="65" t="s">
        <v>115</v>
      </c>
      <c r="H2265" s="65" t="s">
        <v>200</v>
      </c>
      <c r="I2265" s="65" t="s">
        <v>26</v>
      </c>
      <c r="J2265" s="83" t="n">
        <v>48.48</v>
      </c>
      <c r="K2265" s="84" t="n">
        <f aca="false">124500+290502</f>
        <v>415002</v>
      </c>
      <c r="L2265" s="85" t="n">
        <f aca="false">K2265/J2265</f>
        <v>8560.27227722772</v>
      </c>
      <c r="M2265" s="111"/>
      <c r="N2265" s="87"/>
      <c r="O2265" s="88" t="n">
        <v>415002</v>
      </c>
      <c r="P2265" s="88" t="n">
        <f aca="false">O2265/J2265</f>
        <v>8560.27227722772</v>
      </c>
      <c r="Q2265" s="83" t="s">
        <v>1340</v>
      </c>
      <c r="R2265" s="65" t="s">
        <v>26</v>
      </c>
      <c r="S2265" s="62" t="s">
        <v>29</v>
      </c>
      <c r="T2265" s="62" t="s">
        <v>30</v>
      </c>
      <c r="U2265" s="123" t="s">
        <v>31</v>
      </c>
      <c r="V2265" s="119" t="n">
        <v>43879</v>
      </c>
      <c r="W2265" s="18" t="s">
        <v>3528</v>
      </c>
      <c r="X2265" s="18"/>
    </row>
    <row r="2266" customFormat="false" ht="13.8" hidden="false" customHeight="false" outlineLevel="0" collapsed="false">
      <c r="A2266" s="18"/>
      <c r="B2266" s="65" t="s">
        <v>3529</v>
      </c>
      <c r="C2266" s="81" t="n">
        <v>43767</v>
      </c>
      <c r="D2266" s="64" t="s">
        <v>22</v>
      </c>
      <c r="E2266" s="65" t="s">
        <v>268</v>
      </c>
      <c r="F2266" s="82" t="s">
        <v>87</v>
      </c>
      <c r="G2266" s="65" t="s">
        <v>1989</v>
      </c>
      <c r="H2266" s="65" t="s">
        <v>27</v>
      </c>
      <c r="I2266" s="65" t="s">
        <v>27</v>
      </c>
      <c r="J2266" s="83" t="n">
        <v>37.12</v>
      </c>
      <c r="K2266" s="84" t="n">
        <v>161000</v>
      </c>
      <c r="L2266" s="85" t="n">
        <f aca="false">K2266/J2266</f>
        <v>4337.28448275862</v>
      </c>
      <c r="M2266" s="90"/>
      <c r="N2266" s="87"/>
      <c r="O2266" s="88" t="n">
        <v>161000</v>
      </c>
      <c r="P2266" s="88" t="n">
        <f aca="false">O2266/J2266</f>
        <v>4337.28448275862</v>
      </c>
      <c r="Q2266" s="83" t="s">
        <v>3530</v>
      </c>
      <c r="R2266" s="65" t="s">
        <v>36</v>
      </c>
      <c r="S2266" s="62" t="s">
        <v>29</v>
      </c>
      <c r="T2266" s="62" t="s">
        <v>30</v>
      </c>
      <c r="U2266" s="123" t="s">
        <v>31</v>
      </c>
      <c r="V2266" s="119" t="n">
        <v>43879</v>
      </c>
      <c r="W2266" s="18" t="s">
        <v>3531</v>
      </c>
      <c r="X2266" s="18"/>
    </row>
    <row r="2267" customFormat="false" ht="13.8" hidden="false" customHeight="false" outlineLevel="0" collapsed="false">
      <c r="A2267" s="18"/>
      <c r="B2267" s="65" t="s">
        <v>3529</v>
      </c>
      <c r="C2267" s="81" t="n">
        <v>43767</v>
      </c>
      <c r="D2267" s="64" t="s">
        <v>22</v>
      </c>
      <c r="E2267" s="65" t="s">
        <v>268</v>
      </c>
      <c r="F2267" s="91" t="s">
        <v>87</v>
      </c>
      <c r="G2267" s="65" t="s">
        <v>1989</v>
      </c>
      <c r="H2267" s="65" t="s">
        <v>27</v>
      </c>
      <c r="I2267" s="65" t="s">
        <v>27</v>
      </c>
      <c r="J2267" s="83" t="n">
        <v>37.12</v>
      </c>
      <c r="K2267" s="88" t="n">
        <f aca="false">161000*2</f>
        <v>322000</v>
      </c>
      <c r="L2267" s="85" t="n">
        <f aca="false">K2267/J2267</f>
        <v>8674.56896551724</v>
      </c>
      <c r="M2267" s="92"/>
      <c r="N2267" s="93"/>
      <c r="O2267" s="88" t="n">
        <v>322000</v>
      </c>
      <c r="P2267" s="85" t="n">
        <f aca="false">O2267/J2267</f>
        <v>8674.56896551724</v>
      </c>
      <c r="Q2267" s="94" t="s">
        <v>1486</v>
      </c>
      <c r="R2267" s="65" t="s">
        <v>36</v>
      </c>
      <c r="S2267" s="62" t="s">
        <v>29</v>
      </c>
      <c r="T2267" s="62" t="s">
        <v>30</v>
      </c>
      <c r="U2267" s="123" t="s">
        <v>31</v>
      </c>
      <c r="V2267" s="119" t="n">
        <v>43879</v>
      </c>
      <c r="W2267" s="18" t="s">
        <v>3531</v>
      </c>
      <c r="X2267" s="18"/>
      <c r="Y2267" s="116"/>
    </row>
    <row r="2268" customFormat="false" ht="13.8" hidden="false" customHeight="false" outlineLevel="0" collapsed="false">
      <c r="A2268" s="18"/>
      <c r="B2268" s="65" t="s">
        <v>3532</v>
      </c>
      <c r="C2268" s="81" t="n">
        <v>43767</v>
      </c>
      <c r="D2268" s="64" t="s">
        <v>22</v>
      </c>
      <c r="E2268" s="65" t="s">
        <v>354</v>
      </c>
      <c r="F2268" s="91" t="s">
        <v>355</v>
      </c>
      <c r="G2268" s="65" t="s">
        <v>57</v>
      </c>
      <c r="H2268" s="65" t="s">
        <v>200</v>
      </c>
      <c r="I2268" s="65" t="s">
        <v>26</v>
      </c>
      <c r="J2268" s="83" t="n">
        <v>44.1</v>
      </c>
      <c r="K2268" s="84" t="n">
        <f aca="false">473000.3+29999.7</f>
        <v>503000</v>
      </c>
      <c r="L2268" s="85" t="n">
        <f aca="false">K2268/J2268</f>
        <v>11405.89569161</v>
      </c>
      <c r="M2268" s="92" t="s">
        <v>3199</v>
      </c>
      <c r="N2268" s="93"/>
      <c r="O2268" s="88" t="n">
        <v>503000</v>
      </c>
      <c r="P2268" s="85" t="n">
        <f aca="false">O2268/J2268</f>
        <v>11405.89569161</v>
      </c>
      <c r="Q2268" s="94" t="s">
        <v>1486</v>
      </c>
      <c r="R2268" s="65" t="s">
        <v>36</v>
      </c>
      <c r="S2268" s="62" t="s">
        <v>29</v>
      </c>
      <c r="T2268" s="62" t="s">
        <v>30</v>
      </c>
      <c r="U2268" s="123" t="s">
        <v>31</v>
      </c>
      <c r="V2268" s="119" t="n">
        <v>43879</v>
      </c>
      <c r="W2268" s="18" t="s">
        <v>3533</v>
      </c>
      <c r="X2268" s="18"/>
    </row>
    <row r="2269" customFormat="false" ht="13.8" hidden="false" customHeight="false" outlineLevel="0" collapsed="false">
      <c r="A2269" s="18"/>
      <c r="B2269" s="62" t="n">
        <v>9608</v>
      </c>
      <c r="C2269" s="81" t="n">
        <v>43767</v>
      </c>
      <c r="D2269" s="115" t="s">
        <v>22</v>
      </c>
      <c r="E2269" s="65" t="s">
        <v>109</v>
      </c>
      <c r="F2269" s="82" t="s">
        <v>404</v>
      </c>
      <c r="G2269" s="65" t="s">
        <v>380</v>
      </c>
      <c r="H2269" s="112" t="s">
        <v>126</v>
      </c>
      <c r="I2269" s="112" t="s">
        <v>57</v>
      </c>
      <c r="J2269" s="83" t="n">
        <v>41.52</v>
      </c>
      <c r="K2269" s="84" t="n">
        <v>395000</v>
      </c>
      <c r="L2269" s="113" t="n">
        <f aca="false">K2269/J2269</f>
        <v>9513.48747591522</v>
      </c>
      <c r="M2269" s="114"/>
      <c r="N2269" s="93"/>
      <c r="O2269" s="88" t="n">
        <v>395000</v>
      </c>
      <c r="P2269" s="88" t="n">
        <v>9513.48747591522</v>
      </c>
      <c r="Q2269" s="83" t="s">
        <v>3534</v>
      </c>
      <c r="R2269" s="65" t="s">
        <v>27</v>
      </c>
      <c r="S2269" s="65" t="s">
        <v>29</v>
      </c>
      <c r="T2269" s="65" t="s">
        <v>30</v>
      </c>
      <c r="U2269" s="24" t="s">
        <v>31</v>
      </c>
      <c r="V2269" s="89" t="n">
        <v>43881</v>
      </c>
      <c r="W2269" s="18" t="s">
        <v>3535</v>
      </c>
      <c r="X2269" s="18"/>
    </row>
    <row r="2270" s="108" customFormat="true" ht="13.8" hidden="false" customHeight="false" outlineLevel="0" collapsed="false">
      <c r="A2270" s="95"/>
      <c r="B2270" s="96" t="s">
        <v>3536</v>
      </c>
      <c r="C2270" s="97" t="n">
        <v>43767</v>
      </c>
      <c r="D2270" s="98" t="s">
        <v>22</v>
      </c>
      <c r="E2270" s="96" t="s">
        <v>265</v>
      </c>
      <c r="F2270" s="131" t="s">
        <v>152</v>
      </c>
      <c r="G2270" s="96" t="s">
        <v>411</v>
      </c>
      <c r="H2270" s="96" t="s">
        <v>120</v>
      </c>
      <c r="I2270" s="96" t="s">
        <v>36</v>
      </c>
      <c r="J2270" s="100" t="n">
        <v>43.33</v>
      </c>
      <c r="K2270" s="101" t="n">
        <v>185000</v>
      </c>
      <c r="L2270" s="102" t="n">
        <f aca="false">K2270/J2270</f>
        <v>4269.5591968613</v>
      </c>
      <c r="M2270" s="132"/>
      <c r="N2270" s="104"/>
      <c r="O2270" s="105" t="n">
        <v>185000</v>
      </c>
      <c r="P2270" s="105" t="n">
        <v>4269.5591968613</v>
      </c>
      <c r="Q2270" s="96" t="s">
        <v>3537</v>
      </c>
      <c r="R2270" s="96" t="s">
        <v>36</v>
      </c>
      <c r="S2270" s="96" t="s">
        <v>29</v>
      </c>
      <c r="T2270" s="96" t="s">
        <v>30</v>
      </c>
      <c r="U2270" s="106" t="s">
        <v>31</v>
      </c>
      <c r="V2270" s="107" t="n">
        <v>43881</v>
      </c>
      <c r="W2270" s="95" t="s">
        <v>3538</v>
      </c>
      <c r="X2270" s="95"/>
    </row>
    <row r="2271" customFormat="false" ht="13.8" hidden="false" customHeight="false" outlineLevel="0" collapsed="false">
      <c r="A2271" s="18"/>
      <c r="B2271" s="65" t="s">
        <v>3539</v>
      </c>
      <c r="C2271" s="81" t="n">
        <v>43767</v>
      </c>
      <c r="D2271" s="115" t="s">
        <v>22</v>
      </c>
      <c r="E2271" s="65" t="s">
        <v>187</v>
      </c>
      <c r="F2271" s="91" t="s">
        <v>271</v>
      </c>
      <c r="G2271" s="65" t="s">
        <v>246</v>
      </c>
      <c r="H2271" s="65" t="s">
        <v>473</v>
      </c>
      <c r="I2271" s="65" t="s">
        <v>49</v>
      </c>
      <c r="J2271" s="83" t="n">
        <v>26.02</v>
      </c>
      <c r="K2271" s="88" t="n">
        <v>310000</v>
      </c>
      <c r="L2271" s="85" t="n">
        <f aca="false">K2271/J2271</f>
        <v>11913.9123750961</v>
      </c>
      <c r="M2271" s="92"/>
      <c r="N2271" s="93"/>
      <c r="O2271" s="88" t="n">
        <v>310000</v>
      </c>
      <c r="P2271" s="85" t="n">
        <v>11913.9123750961</v>
      </c>
      <c r="Q2271" s="94" t="s">
        <v>3540</v>
      </c>
      <c r="R2271" s="65" t="s">
        <v>27</v>
      </c>
      <c r="S2271" s="65" t="s">
        <v>29</v>
      </c>
      <c r="T2271" s="65" t="s">
        <v>30</v>
      </c>
      <c r="U2271" s="24" t="s">
        <v>31</v>
      </c>
      <c r="V2271" s="89" t="n">
        <v>43881</v>
      </c>
      <c r="W2271" s="18" t="s">
        <v>3541</v>
      </c>
      <c r="X2271" s="18"/>
      <c r="Y2271" s="116"/>
    </row>
    <row r="2272" customFormat="false" ht="13.8" hidden="false" customHeight="false" outlineLevel="0" collapsed="false">
      <c r="A2272" s="18"/>
      <c r="B2272" s="65" t="s">
        <v>3542</v>
      </c>
      <c r="C2272" s="81" t="n">
        <v>43767</v>
      </c>
      <c r="D2272" s="115" t="s">
        <v>22</v>
      </c>
      <c r="E2272" s="65" t="s">
        <v>53</v>
      </c>
      <c r="F2272" s="91" t="s">
        <v>366</v>
      </c>
      <c r="G2272" s="65" t="s">
        <v>141</v>
      </c>
      <c r="H2272" s="65" t="s">
        <v>3543</v>
      </c>
      <c r="I2272" s="65" t="s">
        <v>49</v>
      </c>
      <c r="J2272" s="83" t="n">
        <v>55.6</v>
      </c>
      <c r="K2272" s="84" t="n">
        <v>545000</v>
      </c>
      <c r="L2272" s="85" t="n">
        <f aca="false">K2272/J2272</f>
        <v>9802.15827338129</v>
      </c>
      <c r="M2272" s="92"/>
      <c r="N2272" s="93"/>
      <c r="O2272" s="88" t="n">
        <v>545000</v>
      </c>
      <c r="P2272" s="85" t="n">
        <v>9802.15827338129</v>
      </c>
      <c r="Q2272" s="65" t="s">
        <v>3544</v>
      </c>
      <c r="R2272" s="65" t="s">
        <v>26</v>
      </c>
      <c r="S2272" s="65" t="s">
        <v>29</v>
      </c>
      <c r="T2272" s="65" t="s">
        <v>30</v>
      </c>
      <c r="U2272" s="24" t="s">
        <v>31</v>
      </c>
      <c r="V2272" s="89" t="n">
        <v>43881</v>
      </c>
      <c r="W2272" s="18" t="s">
        <v>3545</v>
      </c>
      <c r="X2272" s="18"/>
    </row>
    <row r="2273" customFormat="false" ht="13.8" hidden="false" customHeight="false" outlineLevel="0" collapsed="false">
      <c r="A2273" s="18"/>
      <c r="B2273" s="65" t="s">
        <v>3546</v>
      </c>
      <c r="C2273" s="81" t="n">
        <v>43767</v>
      </c>
      <c r="D2273" s="115" t="s">
        <v>22</v>
      </c>
      <c r="E2273" s="65" t="s">
        <v>23</v>
      </c>
      <c r="F2273" s="91" t="s">
        <v>361</v>
      </c>
      <c r="G2273" s="65" t="s">
        <v>177</v>
      </c>
      <c r="H2273" s="65" t="s">
        <v>82</v>
      </c>
      <c r="I2273" s="65" t="s">
        <v>36</v>
      </c>
      <c r="J2273" s="83" t="n">
        <v>38.9</v>
      </c>
      <c r="K2273" s="88" t="n">
        <v>423000</v>
      </c>
      <c r="L2273" s="85" t="n">
        <f aca="false">K2273/J2273</f>
        <v>10874.0359897172</v>
      </c>
      <c r="M2273" s="92"/>
      <c r="N2273" s="93"/>
      <c r="O2273" s="88" t="n">
        <v>423000</v>
      </c>
      <c r="P2273" s="85" t="n">
        <v>10874.0359897172</v>
      </c>
      <c r="Q2273" s="94" t="s">
        <v>3547</v>
      </c>
      <c r="R2273" s="65" t="s">
        <v>36</v>
      </c>
      <c r="S2273" s="65" t="s">
        <v>29</v>
      </c>
      <c r="T2273" s="65" t="s">
        <v>30</v>
      </c>
      <c r="U2273" s="24" t="s">
        <v>31</v>
      </c>
      <c r="V2273" s="89" t="n">
        <v>43881</v>
      </c>
      <c r="W2273" s="91" t="s">
        <v>3548</v>
      </c>
      <c r="X2273" s="18"/>
    </row>
    <row r="2274" customFormat="false" ht="13.8" hidden="false" customHeight="false" outlineLevel="0" collapsed="false">
      <c r="A2274" s="18"/>
      <c r="B2274" s="62" t="n">
        <v>4494</v>
      </c>
      <c r="C2274" s="81" t="n">
        <v>43767</v>
      </c>
      <c r="D2274" s="115" t="s">
        <v>22</v>
      </c>
      <c r="E2274" s="65" t="s">
        <v>42</v>
      </c>
      <c r="F2274" s="82" t="s">
        <v>1028</v>
      </c>
      <c r="G2274" s="65" t="s">
        <v>101</v>
      </c>
      <c r="H2274" s="112" t="s">
        <v>200</v>
      </c>
      <c r="I2274" s="112" t="s">
        <v>49</v>
      </c>
      <c r="J2274" s="83" t="n">
        <v>51.1</v>
      </c>
      <c r="K2274" s="84" t="n">
        <v>420000</v>
      </c>
      <c r="L2274" s="113" t="n">
        <f aca="false">K2274/J2274</f>
        <v>8219.17808219178</v>
      </c>
      <c r="M2274" s="114"/>
      <c r="N2274" s="93"/>
      <c r="O2274" s="88" t="n">
        <v>420000</v>
      </c>
      <c r="P2274" s="88" t="n">
        <v>8219.17808219178</v>
      </c>
      <c r="Q2274" s="83" t="s">
        <v>925</v>
      </c>
      <c r="R2274" s="65" t="s">
        <v>36</v>
      </c>
      <c r="S2274" s="65" t="s">
        <v>29</v>
      </c>
      <c r="T2274" s="65" t="s">
        <v>30</v>
      </c>
      <c r="U2274" s="24" t="s">
        <v>31</v>
      </c>
      <c r="V2274" s="89" t="n">
        <v>43881</v>
      </c>
      <c r="W2274" s="18" t="s">
        <v>3549</v>
      </c>
      <c r="X2274" s="18"/>
    </row>
    <row r="2275" customFormat="false" ht="13.8" hidden="false" customHeight="false" outlineLevel="0" collapsed="false">
      <c r="A2275" s="18"/>
      <c r="B2275" s="65" t="s">
        <v>3550</v>
      </c>
      <c r="C2275" s="81" t="n">
        <v>43768</v>
      </c>
      <c r="D2275" s="64" t="s">
        <v>22</v>
      </c>
      <c r="E2275" s="65" t="s">
        <v>882</v>
      </c>
      <c r="F2275" s="91" t="s">
        <v>883</v>
      </c>
      <c r="G2275" s="65" t="s">
        <v>3551</v>
      </c>
      <c r="H2275" s="65" t="s">
        <v>101</v>
      </c>
      <c r="I2275" s="65" t="s">
        <v>26</v>
      </c>
      <c r="J2275" s="83" t="n">
        <v>58.93</v>
      </c>
      <c r="K2275" s="84" t="n">
        <v>450000</v>
      </c>
      <c r="L2275" s="85" t="n">
        <f aca="false">K2275/J2275</f>
        <v>7636.17851688444</v>
      </c>
      <c r="M2275" s="117"/>
      <c r="N2275" s="87"/>
      <c r="O2275" s="88" t="n">
        <v>450000</v>
      </c>
      <c r="P2275" s="88" t="n">
        <f aca="false">O2275/J2275</f>
        <v>7636.17851688444</v>
      </c>
      <c r="Q2275" s="65" t="s">
        <v>3552</v>
      </c>
      <c r="R2275" s="65" t="s">
        <v>49</v>
      </c>
      <c r="S2275" s="62" t="s">
        <v>29</v>
      </c>
      <c r="T2275" s="62" t="s">
        <v>30</v>
      </c>
      <c r="U2275" s="123" t="s">
        <v>31</v>
      </c>
      <c r="V2275" s="119" t="n">
        <v>43879</v>
      </c>
      <c r="W2275" s="18" t="s">
        <v>3553</v>
      </c>
      <c r="X2275" s="18"/>
    </row>
    <row r="2276" customFormat="false" ht="13.8" hidden="false" customHeight="false" outlineLevel="0" collapsed="false">
      <c r="A2276" s="18"/>
      <c r="B2276" s="65" t="s">
        <v>3554</v>
      </c>
      <c r="C2276" s="81" t="n">
        <v>43768</v>
      </c>
      <c r="D2276" s="64" t="s">
        <v>22</v>
      </c>
      <c r="E2276" s="65" t="s">
        <v>268</v>
      </c>
      <c r="F2276" s="82" t="s">
        <v>87</v>
      </c>
      <c r="G2276" s="65" t="s">
        <v>550</v>
      </c>
      <c r="H2276" s="65" t="s">
        <v>47</v>
      </c>
      <c r="I2276" s="65" t="s">
        <v>57</v>
      </c>
      <c r="J2276" s="83" t="n">
        <v>45.49</v>
      </c>
      <c r="K2276" s="84" t="n">
        <v>365000</v>
      </c>
      <c r="L2276" s="85" t="n">
        <f aca="false">K2276/J2276</f>
        <v>8023.74148164432</v>
      </c>
      <c r="M2276" s="90"/>
      <c r="N2276" s="87"/>
      <c r="O2276" s="88" t="n">
        <v>365000</v>
      </c>
      <c r="P2276" s="88" t="n">
        <f aca="false">O2276/J2276</f>
        <v>8023.74148164432</v>
      </c>
      <c r="Q2276" s="83" t="s">
        <v>1573</v>
      </c>
      <c r="R2276" s="65" t="s">
        <v>26</v>
      </c>
      <c r="S2276" s="62" t="s">
        <v>29</v>
      </c>
      <c r="T2276" s="62" t="s">
        <v>30</v>
      </c>
      <c r="U2276" s="123" t="s">
        <v>31</v>
      </c>
      <c r="V2276" s="119" t="n">
        <v>43879</v>
      </c>
      <c r="W2276" s="18" t="s">
        <v>3555</v>
      </c>
      <c r="X2276" s="18"/>
      <c r="AMJ2276" s="133"/>
    </row>
    <row r="2277" customFormat="false" ht="13.8" hidden="false" customHeight="false" outlineLevel="0" collapsed="false">
      <c r="A2277" s="18"/>
      <c r="B2277" s="62" t="n">
        <v>8856</v>
      </c>
      <c r="C2277" s="81" t="n">
        <v>43768</v>
      </c>
      <c r="D2277" s="64" t="s">
        <v>22</v>
      </c>
      <c r="E2277" s="65" t="s">
        <v>103</v>
      </c>
      <c r="F2277" s="82" t="s">
        <v>240</v>
      </c>
      <c r="G2277" s="65" t="s">
        <v>27</v>
      </c>
      <c r="H2277" s="112" t="s">
        <v>57</v>
      </c>
      <c r="I2277" s="112" t="s">
        <v>36</v>
      </c>
      <c r="J2277" s="83" t="n">
        <v>105.8</v>
      </c>
      <c r="K2277" s="84" t="s">
        <v>3556</v>
      </c>
      <c r="L2277" s="113"/>
      <c r="M2277" s="114"/>
      <c r="N2277" s="93"/>
      <c r="O2277" s="88" t="s">
        <v>3556</v>
      </c>
      <c r="P2277" s="88"/>
      <c r="Q2277" s="83" t="s">
        <v>3557</v>
      </c>
      <c r="R2277" s="65" t="s">
        <v>26</v>
      </c>
      <c r="S2277" s="62" t="s">
        <v>29</v>
      </c>
      <c r="T2277" s="62" t="s">
        <v>30</v>
      </c>
      <c r="U2277" s="123" t="s">
        <v>31</v>
      </c>
      <c r="V2277" s="119" t="n">
        <v>43879</v>
      </c>
      <c r="W2277" s="18" t="s">
        <v>3558</v>
      </c>
      <c r="X2277" s="18"/>
    </row>
    <row r="2278" customFormat="false" ht="13.8" hidden="false" customHeight="false" outlineLevel="0" collapsed="false">
      <c r="A2278" s="18"/>
      <c r="B2278" s="62" t="n">
        <v>60601</v>
      </c>
      <c r="C2278" s="81" t="n">
        <v>43768</v>
      </c>
      <c r="D2278" s="64" t="s">
        <v>22</v>
      </c>
      <c r="E2278" s="65" t="s">
        <v>343</v>
      </c>
      <c r="F2278" s="82" t="s">
        <v>3559</v>
      </c>
      <c r="G2278" s="65" t="s">
        <v>49</v>
      </c>
      <c r="H2278" s="112" t="s">
        <v>2989</v>
      </c>
      <c r="I2278" s="112" t="s">
        <v>49</v>
      </c>
      <c r="J2278" s="83" t="n">
        <v>49.98</v>
      </c>
      <c r="K2278" s="84" t="n">
        <v>565000</v>
      </c>
      <c r="L2278" s="113" t="n">
        <f aca="false">K2278/J2278</f>
        <v>11304.5218087235</v>
      </c>
      <c r="M2278" s="114" t="s">
        <v>3560</v>
      </c>
      <c r="N2278" s="93"/>
      <c r="O2278" s="88" t="n">
        <v>565000</v>
      </c>
      <c r="P2278" s="88" t="n">
        <f aca="false">O2278/J2278</f>
        <v>11304.5218087235</v>
      </c>
      <c r="Q2278" s="83" t="s">
        <v>2189</v>
      </c>
      <c r="R2278" s="65" t="s">
        <v>36</v>
      </c>
      <c r="S2278" s="62" t="s">
        <v>29</v>
      </c>
      <c r="T2278" s="62" t="s">
        <v>30</v>
      </c>
      <c r="U2278" s="123" t="s">
        <v>31</v>
      </c>
      <c r="V2278" s="119" t="n">
        <v>43879</v>
      </c>
      <c r="W2278" s="18" t="s">
        <v>3561</v>
      </c>
      <c r="X2278" s="18"/>
    </row>
    <row r="2279" customFormat="false" ht="13.8" hidden="false" customHeight="false" outlineLevel="0" collapsed="false">
      <c r="A2279" s="18"/>
      <c r="B2279" s="62" t="n">
        <v>9556</v>
      </c>
      <c r="C2279" s="81" t="n">
        <v>43768</v>
      </c>
      <c r="D2279" s="64" t="s">
        <v>22</v>
      </c>
      <c r="E2279" s="65" t="s">
        <v>369</v>
      </c>
      <c r="F2279" s="82" t="s">
        <v>370</v>
      </c>
      <c r="G2279" s="65" t="s">
        <v>154</v>
      </c>
      <c r="H2279" s="65" t="s">
        <v>3562</v>
      </c>
      <c r="I2279" s="65" t="s">
        <v>57</v>
      </c>
      <c r="J2279" s="83" t="n">
        <v>61.37</v>
      </c>
      <c r="K2279" s="84" t="n">
        <v>650000</v>
      </c>
      <c r="L2279" s="85" t="n">
        <f aca="false">K2279/J2279</f>
        <v>10591.4942154147</v>
      </c>
      <c r="M2279" s="90"/>
      <c r="N2279" s="87"/>
      <c r="O2279" s="88" t="n">
        <v>650000</v>
      </c>
      <c r="P2279" s="88" t="n">
        <f aca="false">O2279/J2279</f>
        <v>10591.4942154147</v>
      </c>
      <c r="Q2279" s="83" t="s">
        <v>2451</v>
      </c>
      <c r="R2279" s="65" t="s">
        <v>36</v>
      </c>
      <c r="S2279" s="62" t="s">
        <v>29</v>
      </c>
      <c r="T2279" s="62" t="s">
        <v>30</v>
      </c>
      <c r="U2279" s="123" t="s">
        <v>31</v>
      </c>
      <c r="V2279" s="119" t="n">
        <v>43879</v>
      </c>
      <c r="W2279" s="18" t="s">
        <v>3563</v>
      </c>
      <c r="X2279" s="18"/>
    </row>
    <row r="2280" customFormat="false" ht="13.8" hidden="false" customHeight="false" outlineLevel="0" collapsed="false">
      <c r="A2280" s="18"/>
      <c r="B2280" s="62" t="n">
        <v>12295</v>
      </c>
      <c r="C2280" s="81" t="n">
        <v>43768</v>
      </c>
      <c r="D2280" s="64" t="s">
        <v>22</v>
      </c>
      <c r="E2280" s="65" t="s">
        <v>3219</v>
      </c>
      <c r="F2280" s="82" t="s">
        <v>3093</v>
      </c>
      <c r="G2280" s="65" t="s">
        <v>275</v>
      </c>
      <c r="H2280" s="112" t="s">
        <v>101</v>
      </c>
      <c r="I2280" s="112" t="s">
        <v>57</v>
      </c>
      <c r="J2280" s="83" t="n">
        <v>51.56</v>
      </c>
      <c r="K2280" s="84" t="n">
        <v>480000</v>
      </c>
      <c r="L2280" s="113" t="n">
        <f aca="false">K2280/J2280</f>
        <v>9309.54228083786</v>
      </c>
      <c r="M2280" s="114" t="s">
        <v>3564</v>
      </c>
      <c r="N2280" s="93"/>
      <c r="O2280" s="88"/>
      <c r="P2280" s="88"/>
      <c r="Q2280" s="83" t="s">
        <v>3565</v>
      </c>
      <c r="R2280" s="65" t="s">
        <v>36</v>
      </c>
      <c r="S2280" s="62" t="s">
        <v>29</v>
      </c>
      <c r="T2280" s="62" t="s">
        <v>30</v>
      </c>
      <c r="U2280" s="123" t="s">
        <v>31</v>
      </c>
      <c r="V2280" s="119" t="n">
        <v>43879</v>
      </c>
      <c r="W2280" s="18" t="s">
        <v>3566</v>
      </c>
      <c r="X2280" s="18"/>
    </row>
    <row r="2281" customFormat="false" ht="13.8" hidden="false" customHeight="false" outlineLevel="0" collapsed="false">
      <c r="A2281" s="18"/>
      <c r="B2281" s="62" t="n">
        <v>6970</v>
      </c>
      <c r="C2281" s="81" t="n">
        <v>43768</v>
      </c>
      <c r="D2281" s="64" t="s">
        <v>22</v>
      </c>
      <c r="E2281" s="65" t="s">
        <v>75</v>
      </c>
      <c r="F2281" s="82" t="s">
        <v>1394</v>
      </c>
      <c r="G2281" s="65" t="s">
        <v>95</v>
      </c>
      <c r="H2281" s="112" t="s">
        <v>95</v>
      </c>
      <c r="I2281" s="112" t="s">
        <v>36</v>
      </c>
      <c r="J2281" s="83" t="n">
        <f aca="false">61.38-2.58</f>
        <v>58.8</v>
      </c>
      <c r="K2281" s="84" t="n">
        <v>475000</v>
      </c>
      <c r="L2281" s="113" t="n">
        <f aca="false">K2281/J2281</f>
        <v>8078.23129251701</v>
      </c>
      <c r="M2281" s="114"/>
      <c r="N2281" s="93"/>
      <c r="O2281" s="88" t="n">
        <v>475000</v>
      </c>
      <c r="P2281" s="88" t="n">
        <f aca="false">O2281/J2281</f>
        <v>8078.23129251701</v>
      </c>
      <c r="Q2281" s="83" t="s">
        <v>3567</v>
      </c>
      <c r="R2281" s="65" t="s">
        <v>26</v>
      </c>
      <c r="S2281" s="62" t="s">
        <v>29</v>
      </c>
      <c r="T2281" s="62" t="s">
        <v>30</v>
      </c>
      <c r="U2281" s="123" t="s">
        <v>31</v>
      </c>
      <c r="V2281" s="119" t="n">
        <v>43879</v>
      </c>
      <c r="W2281" s="18" t="s">
        <v>3568</v>
      </c>
      <c r="X2281" s="18"/>
    </row>
    <row r="2282" customFormat="false" ht="13.8" hidden="false" customHeight="false" outlineLevel="0" collapsed="false">
      <c r="A2282" s="18"/>
      <c r="B2282" s="65" t="s">
        <v>3569</v>
      </c>
      <c r="C2282" s="81" t="n">
        <v>43768</v>
      </c>
      <c r="D2282" s="64" t="s">
        <v>22</v>
      </c>
      <c r="E2282" s="65" t="s">
        <v>276</v>
      </c>
      <c r="F2282" s="82" t="s">
        <v>38</v>
      </c>
      <c r="G2282" s="65" t="s">
        <v>269</v>
      </c>
      <c r="H2282" s="65" t="s">
        <v>396</v>
      </c>
      <c r="I2282" s="65" t="s">
        <v>101</v>
      </c>
      <c r="J2282" s="83" t="n">
        <v>45.1</v>
      </c>
      <c r="K2282" s="84" t="n">
        <v>395000</v>
      </c>
      <c r="L2282" s="85" t="n">
        <f aca="false">K2282/J2282</f>
        <v>8758.31485587583</v>
      </c>
      <c r="M2282" s="90"/>
      <c r="N2282" s="87"/>
      <c r="O2282" s="88" t="n">
        <v>395000</v>
      </c>
      <c r="P2282" s="88" t="n">
        <f aca="false">O2282/J2282</f>
        <v>8758.31485587583</v>
      </c>
      <c r="Q2282" s="83" t="s">
        <v>1486</v>
      </c>
      <c r="R2282" s="65" t="s">
        <v>36</v>
      </c>
      <c r="S2282" s="62" t="s">
        <v>29</v>
      </c>
      <c r="T2282" s="62" t="s">
        <v>30</v>
      </c>
      <c r="U2282" s="123" t="s">
        <v>31</v>
      </c>
      <c r="V2282" s="119" t="n">
        <v>43879</v>
      </c>
      <c r="W2282" s="18" t="s">
        <v>3570</v>
      </c>
      <c r="X2282" s="18"/>
    </row>
    <row r="2283" customFormat="false" ht="13.8" hidden="false" customHeight="false" outlineLevel="0" collapsed="false">
      <c r="A2283" s="18"/>
      <c r="B2283" s="62" t="n">
        <v>4616</v>
      </c>
      <c r="C2283" s="81" t="n">
        <v>43768</v>
      </c>
      <c r="D2283" s="64" t="s">
        <v>22</v>
      </c>
      <c r="E2283" s="65" t="s">
        <v>175</v>
      </c>
      <c r="F2283" s="82" t="s">
        <v>485</v>
      </c>
      <c r="G2283" s="65" t="s">
        <v>3571</v>
      </c>
      <c r="H2283" s="112" t="s">
        <v>141</v>
      </c>
      <c r="I2283" s="112" t="s">
        <v>49</v>
      </c>
      <c r="J2283" s="83" t="n">
        <v>31.56</v>
      </c>
      <c r="K2283" s="84" t="n">
        <v>320000</v>
      </c>
      <c r="L2283" s="113" t="n">
        <f aca="false">K2283/J2283</f>
        <v>10139.4169835234</v>
      </c>
      <c r="M2283" s="114"/>
      <c r="N2283" s="93"/>
      <c r="O2283" s="88" t="n">
        <v>320000</v>
      </c>
      <c r="P2283" s="88" t="n">
        <f aca="false">O2283/J2283</f>
        <v>10139.4169835234</v>
      </c>
      <c r="Q2283" s="83" t="s">
        <v>1320</v>
      </c>
      <c r="R2283" s="65" t="s">
        <v>27</v>
      </c>
      <c r="S2283" s="62" t="s">
        <v>29</v>
      </c>
      <c r="T2283" s="62" t="s">
        <v>30</v>
      </c>
      <c r="U2283" s="123" t="s">
        <v>31</v>
      </c>
      <c r="V2283" s="119" t="n">
        <v>43879</v>
      </c>
      <c r="W2283" s="18" t="s">
        <v>3572</v>
      </c>
      <c r="X2283" s="18"/>
    </row>
    <row r="2284" customFormat="false" ht="13.8" hidden="false" customHeight="false" outlineLevel="0" collapsed="false">
      <c r="A2284" s="18"/>
      <c r="B2284" s="65" t="s">
        <v>3573</v>
      </c>
      <c r="C2284" s="81" t="n">
        <v>43768</v>
      </c>
      <c r="D2284" s="64" t="s">
        <v>22</v>
      </c>
      <c r="E2284" s="65" t="s">
        <v>369</v>
      </c>
      <c r="F2284" s="82" t="s">
        <v>370</v>
      </c>
      <c r="G2284" s="65" t="s">
        <v>192</v>
      </c>
      <c r="H2284" s="65" t="s">
        <v>141</v>
      </c>
      <c r="I2284" s="65" t="s">
        <v>26</v>
      </c>
      <c r="J2284" s="83" t="n">
        <v>20.71</v>
      </c>
      <c r="K2284" s="84" t="n">
        <v>325000</v>
      </c>
      <c r="L2284" s="85" t="n">
        <f aca="false">K2284/J2284</f>
        <v>15692.9019797199</v>
      </c>
      <c r="M2284" s="86"/>
      <c r="N2284" s="87"/>
      <c r="O2284" s="88" t="n">
        <v>325000</v>
      </c>
      <c r="P2284" s="88" t="n">
        <f aca="false">O2284/J2284</f>
        <v>15692.9019797199</v>
      </c>
      <c r="Q2284" s="83" t="s">
        <v>3574</v>
      </c>
      <c r="R2284" s="65" t="s">
        <v>27</v>
      </c>
      <c r="S2284" s="62" t="s">
        <v>29</v>
      </c>
      <c r="T2284" s="62" t="s">
        <v>30</v>
      </c>
      <c r="U2284" s="123" t="s">
        <v>31</v>
      </c>
      <c r="V2284" s="119" t="n">
        <v>43879</v>
      </c>
      <c r="W2284" s="18" t="s">
        <v>3575</v>
      </c>
      <c r="X2284" s="18"/>
    </row>
    <row r="2285" customFormat="false" ht="13.8" hidden="false" customHeight="false" outlineLevel="0" collapsed="false">
      <c r="A2285" s="18"/>
      <c r="B2285" s="65" t="s">
        <v>3576</v>
      </c>
      <c r="C2285" s="81" t="n">
        <v>43768</v>
      </c>
      <c r="D2285" s="64" t="s">
        <v>22</v>
      </c>
      <c r="E2285" s="65" t="s">
        <v>140</v>
      </c>
      <c r="F2285" s="82" t="s">
        <v>138</v>
      </c>
      <c r="G2285" s="65" t="s">
        <v>417</v>
      </c>
      <c r="H2285" s="65" t="s">
        <v>48</v>
      </c>
      <c r="I2285" s="65" t="s">
        <v>101</v>
      </c>
      <c r="J2285" s="83" t="n">
        <v>81.8</v>
      </c>
      <c r="K2285" s="84" t="n">
        <v>732500</v>
      </c>
      <c r="L2285" s="85" t="n">
        <f aca="false">K2285/J2285</f>
        <v>8954.76772616137</v>
      </c>
      <c r="M2285" s="90" t="s">
        <v>3577</v>
      </c>
      <c r="N2285" s="87"/>
      <c r="O2285" s="88" t="n">
        <v>732500</v>
      </c>
      <c r="P2285" s="88" t="n">
        <f aca="false">O2285/J2285</f>
        <v>8954.76772616137</v>
      </c>
      <c r="Q2285" s="83" t="s">
        <v>3578</v>
      </c>
      <c r="R2285" s="65" t="s">
        <v>36</v>
      </c>
      <c r="S2285" s="62" t="s">
        <v>29</v>
      </c>
      <c r="T2285" s="62" t="s">
        <v>30</v>
      </c>
      <c r="U2285" s="123" t="s">
        <v>31</v>
      </c>
      <c r="V2285" s="119" t="n">
        <v>43879</v>
      </c>
      <c r="W2285" s="18" t="s">
        <v>3579</v>
      </c>
      <c r="X2285" s="18"/>
    </row>
    <row r="2286" customFormat="false" ht="13.8" hidden="false" customHeight="false" outlineLevel="0" collapsed="false">
      <c r="A2286" s="18"/>
      <c r="B2286" s="65" t="s">
        <v>3580</v>
      </c>
      <c r="C2286" s="81" t="n">
        <v>43768</v>
      </c>
      <c r="D2286" s="115" t="s">
        <v>22</v>
      </c>
      <c r="E2286" s="65" t="s">
        <v>212</v>
      </c>
      <c r="F2286" s="91" t="s">
        <v>76</v>
      </c>
      <c r="G2286" s="65" t="s">
        <v>3581</v>
      </c>
      <c r="H2286" s="65" t="s">
        <v>286</v>
      </c>
      <c r="I2286" s="65" t="s">
        <v>36</v>
      </c>
      <c r="J2286" s="83" t="n">
        <v>76.79</v>
      </c>
      <c r="K2286" s="84" t="n">
        <v>610000</v>
      </c>
      <c r="L2286" s="85" t="n">
        <f aca="false">K2286/J2286</f>
        <v>7943.74267482745</v>
      </c>
      <c r="M2286" s="92" t="s">
        <v>3582</v>
      </c>
      <c r="N2286" s="93" t="n">
        <v>20000</v>
      </c>
      <c r="O2286" s="88" t="n">
        <v>630000</v>
      </c>
      <c r="P2286" s="85" t="n">
        <f aca="false">O2286/J2286</f>
        <v>8204.19325432999</v>
      </c>
      <c r="Q2286" s="94" t="s">
        <v>3583</v>
      </c>
      <c r="R2286" s="65" t="s">
        <v>49</v>
      </c>
      <c r="S2286" s="65" t="s">
        <v>29</v>
      </c>
      <c r="T2286" s="65" t="s">
        <v>30</v>
      </c>
      <c r="U2286" s="24" t="s">
        <v>31</v>
      </c>
      <c r="V2286" s="89" t="n">
        <v>43881</v>
      </c>
      <c r="W2286" s="18" t="s">
        <v>3584</v>
      </c>
      <c r="X2286" s="18"/>
      <c r="AMJ2286" s="134"/>
    </row>
    <row r="2287" customFormat="false" ht="13.8" hidden="false" customHeight="false" outlineLevel="0" collapsed="false">
      <c r="A2287" s="18"/>
      <c r="B2287" s="65" t="s">
        <v>3585</v>
      </c>
      <c r="C2287" s="81" t="n">
        <v>43768</v>
      </c>
      <c r="D2287" s="115" t="s">
        <v>22</v>
      </c>
      <c r="E2287" s="65" t="s">
        <v>452</v>
      </c>
      <c r="F2287" s="82" t="s">
        <v>199</v>
      </c>
      <c r="G2287" s="65" t="s">
        <v>82</v>
      </c>
      <c r="H2287" s="65" t="s">
        <v>380</v>
      </c>
      <c r="I2287" s="65" t="s">
        <v>101</v>
      </c>
      <c r="J2287" s="83" t="n">
        <v>57.24</v>
      </c>
      <c r="K2287" s="84" t="n">
        <v>475000</v>
      </c>
      <c r="L2287" s="85" t="n">
        <f aca="false">K2287/J2287</f>
        <v>8298.392732355</v>
      </c>
      <c r="M2287" s="90"/>
      <c r="N2287" s="87"/>
      <c r="O2287" s="88" t="n">
        <v>475000</v>
      </c>
      <c r="P2287" s="88" t="n">
        <v>8298.392732355</v>
      </c>
      <c r="Q2287" s="83" t="s">
        <v>3586</v>
      </c>
      <c r="R2287" s="65" t="s">
        <v>26</v>
      </c>
      <c r="S2287" s="65" t="s">
        <v>29</v>
      </c>
      <c r="T2287" s="65" t="s">
        <v>30</v>
      </c>
      <c r="U2287" s="24" t="s">
        <v>31</v>
      </c>
      <c r="V2287" s="89" t="n">
        <v>43881</v>
      </c>
      <c r="W2287" s="18" t="s">
        <v>3587</v>
      </c>
      <c r="X2287" s="18"/>
    </row>
    <row r="2288" customFormat="false" ht="13.8" hidden="false" customHeight="false" outlineLevel="0" collapsed="false">
      <c r="A2288" s="18"/>
      <c r="B2288" s="62" t="n">
        <v>4647</v>
      </c>
      <c r="C2288" s="81" t="n">
        <v>43769</v>
      </c>
      <c r="D2288" s="64" t="s">
        <v>22</v>
      </c>
      <c r="E2288" s="65" t="s">
        <v>369</v>
      </c>
      <c r="F2288" s="82" t="s">
        <v>127</v>
      </c>
      <c r="G2288" s="65" t="s">
        <v>112</v>
      </c>
      <c r="H2288" s="112" t="s">
        <v>200</v>
      </c>
      <c r="I2288" s="112" t="s">
        <v>57</v>
      </c>
      <c r="J2288" s="83" t="n">
        <v>139.1</v>
      </c>
      <c r="K2288" s="84" t="n">
        <v>1950000</v>
      </c>
      <c r="L2288" s="113" t="n">
        <f aca="false">K2288/J2288</f>
        <v>14018.691588785</v>
      </c>
      <c r="M2288" s="114" t="s">
        <v>3588</v>
      </c>
      <c r="N2288" s="93" t="n">
        <v>85000</v>
      </c>
      <c r="O2288" s="88" t="n">
        <v>2035000</v>
      </c>
      <c r="P2288" s="88" t="n">
        <f aca="false">O2288/J2288</f>
        <v>14629.7627606039</v>
      </c>
      <c r="Q2288" s="83" t="s">
        <v>3589</v>
      </c>
      <c r="R2288" s="65" t="s">
        <v>49</v>
      </c>
      <c r="S2288" s="62" t="s">
        <v>29</v>
      </c>
      <c r="T2288" s="62" t="s">
        <v>30</v>
      </c>
      <c r="U2288" s="123" t="s">
        <v>31</v>
      </c>
      <c r="V2288" s="119" t="n">
        <v>43879</v>
      </c>
      <c r="W2288" s="18" t="s">
        <v>3590</v>
      </c>
      <c r="X2288" s="18"/>
    </row>
    <row r="2289" customFormat="false" ht="13.8" hidden="false" customHeight="false" outlineLevel="0" collapsed="false">
      <c r="A2289" s="18"/>
      <c r="B2289" s="65" t="s">
        <v>3591</v>
      </c>
      <c r="C2289" s="81" t="n">
        <v>43769</v>
      </c>
      <c r="D2289" s="64" t="s">
        <v>22</v>
      </c>
      <c r="E2289" s="65" t="s">
        <v>42</v>
      </c>
      <c r="F2289" s="82" t="s">
        <v>1028</v>
      </c>
      <c r="G2289" s="65" t="s">
        <v>602</v>
      </c>
      <c r="H2289" s="65" t="s">
        <v>57</v>
      </c>
      <c r="I2289" s="65" t="s">
        <v>27</v>
      </c>
      <c r="J2289" s="83" t="n">
        <v>38</v>
      </c>
      <c r="K2289" s="84" t="n">
        <f aca="false">180000*2</f>
        <v>360000</v>
      </c>
      <c r="L2289" s="85" t="n">
        <f aca="false">K2289/J2289</f>
        <v>9473.68421052632</v>
      </c>
      <c r="M2289" s="90"/>
      <c r="N2289" s="87"/>
      <c r="O2289" s="88" t="n">
        <v>360000</v>
      </c>
      <c r="P2289" s="88" t="n">
        <f aca="false">O2289/J2289</f>
        <v>9473.68421052632</v>
      </c>
      <c r="Q2289" s="83" t="s">
        <v>1486</v>
      </c>
      <c r="R2289" s="65" t="s">
        <v>36</v>
      </c>
      <c r="S2289" s="62" t="s">
        <v>29</v>
      </c>
      <c r="T2289" s="62" t="s">
        <v>30</v>
      </c>
      <c r="U2289" s="123" t="s">
        <v>31</v>
      </c>
      <c r="V2289" s="119" t="n">
        <v>43879</v>
      </c>
      <c r="W2289" s="18" t="s">
        <v>3592</v>
      </c>
      <c r="X2289" s="18"/>
    </row>
    <row r="2290" customFormat="false" ht="13.8" hidden="false" customHeight="false" outlineLevel="0" collapsed="false">
      <c r="A2290" s="18"/>
      <c r="B2290" s="62" t="n">
        <v>4695</v>
      </c>
      <c r="C2290" s="81" t="n">
        <v>43769</v>
      </c>
      <c r="D2290" s="64" t="s">
        <v>22</v>
      </c>
      <c r="E2290" s="65" t="s">
        <v>212</v>
      </c>
      <c r="F2290" s="82" t="s">
        <v>76</v>
      </c>
      <c r="G2290" s="65" t="s">
        <v>3593</v>
      </c>
      <c r="H2290" s="112" t="s">
        <v>587</v>
      </c>
      <c r="I2290" s="112" t="s">
        <v>57</v>
      </c>
      <c r="J2290" s="83" t="n">
        <v>68.78</v>
      </c>
      <c r="K2290" s="84" t="n">
        <v>735000</v>
      </c>
      <c r="L2290" s="113" t="n">
        <f aca="false">K2290/J2290</f>
        <v>10686.2460017447</v>
      </c>
      <c r="M2290" s="114" t="s">
        <v>3594</v>
      </c>
      <c r="N2290" s="93" t="n">
        <v>30000</v>
      </c>
      <c r="O2290" s="88" t="n">
        <v>765000</v>
      </c>
      <c r="P2290" s="88" t="n">
        <f aca="false">O2290/J2290</f>
        <v>11122.4193079384</v>
      </c>
      <c r="Q2290" s="83" t="s">
        <v>3595</v>
      </c>
      <c r="R2290" s="65" t="s">
        <v>36</v>
      </c>
      <c r="S2290" s="62" t="s">
        <v>29</v>
      </c>
      <c r="T2290" s="62" t="s">
        <v>30</v>
      </c>
      <c r="U2290" s="123" t="s">
        <v>31</v>
      </c>
      <c r="V2290" s="119" t="n">
        <v>43879</v>
      </c>
      <c r="W2290" s="18" t="s">
        <v>3596</v>
      </c>
      <c r="X2290" s="18"/>
    </row>
    <row r="2291" customFormat="false" ht="13.8" hidden="false" customHeight="false" outlineLevel="0" collapsed="false">
      <c r="A2291" s="18"/>
      <c r="B2291" s="65" t="s">
        <v>3597</v>
      </c>
      <c r="C2291" s="81" t="n">
        <v>43769</v>
      </c>
      <c r="D2291" s="64" t="s">
        <v>22</v>
      </c>
      <c r="E2291" s="65" t="s">
        <v>80</v>
      </c>
      <c r="F2291" s="82" t="s">
        <v>81</v>
      </c>
      <c r="G2291" s="65" t="s">
        <v>111</v>
      </c>
      <c r="H2291" s="65" t="s">
        <v>169</v>
      </c>
      <c r="I2291" s="65" t="s">
        <v>26</v>
      </c>
      <c r="J2291" s="83" t="n">
        <v>88.37</v>
      </c>
      <c r="K2291" s="84" t="n">
        <v>1107669.85</v>
      </c>
      <c r="L2291" s="85" t="n">
        <f aca="false">K2291/J2291</f>
        <v>12534.4556976349</v>
      </c>
      <c r="M2291" s="90"/>
      <c r="N2291" s="87"/>
      <c r="O2291" s="88" t="n">
        <v>1107669.85</v>
      </c>
      <c r="P2291" s="88" t="n">
        <f aca="false">O2291/J2291</f>
        <v>12534.4556976349</v>
      </c>
      <c r="Q2291" s="83" t="s">
        <v>3598</v>
      </c>
      <c r="R2291" s="65" t="s">
        <v>26</v>
      </c>
      <c r="S2291" s="62" t="s">
        <v>29</v>
      </c>
      <c r="T2291" s="62" t="s">
        <v>30</v>
      </c>
      <c r="U2291" s="123" t="s">
        <v>31</v>
      </c>
      <c r="V2291" s="119" t="n">
        <v>43879</v>
      </c>
      <c r="W2291" s="18" t="s">
        <v>3599</v>
      </c>
      <c r="X2291" s="18"/>
    </row>
    <row r="2292" customFormat="false" ht="13.8" hidden="false" customHeight="false" outlineLevel="0" collapsed="false">
      <c r="A2292" s="18"/>
      <c r="B2292" s="65" t="s">
        <v>3600</v>
      </c>
      <c r="C2292" s="81" t="n">
        <v>43769</v>
      </c>
      <c r="D2292" s="64" t="s">
        <v>22</v>
      </c>
      <c r="E2292" s="65" t="s">
        <v>372</v>
      </c>
      <c r="F2292" s="91" t="s">
        <v>272</v>
      </c>
      <c r="G2292" s="65" t="s">
        <v>217</v>
      </c>
      <c r="H2292" s="65" t="s">
        <v>196</v>
      </c>
      <c r="I2292" s="65" t="s">
        <v>36</v>
      </c>
      <c r="J2292" s="83" t="n">
        <f aca="false">90.36-1.27</f>
        <v>89.09</v>
      </c>
      <c r="K2292" s="88" t="n">
        <v>1058000</v>
      </c>
      <c r="L2292" s="85" t="n">
        <f aca="false">K2292/J2292</f>
        <v>11875.6313839937</v>
      </c>
      <c r="M2292" s="92" t="s">
        <v>3601</v>
      </c>
      <c r="N2292" s="93" t="n">
        <v>50000</v>
      </c>
      <c r="O2292" s="88" t="n">
        <f aca="false">N2292+K2292</f>
        <v>1108000</v>
      </c>
      <c r="P2292" s="85" t="n">
        <f aca="false">O2292/J2292</f>
        <v>12436.8616006286</v>
      </c>
      <c r="Q2292" s="94" t="s">
        <v>1340</v>
      </c>
      <c r="R2292" s="65" t="s">
        <v>26</v>
      </c>
      <c r="S2292" s="62" t="s">
        <v>29</v>
      </c>
      <c r="T2292" s="62" t="s">
        <v>30</v>
      </c>
      <c r="U2292" s="123" t="s">
        <v>31</v>
      </c>
      <c r="V2292" s="119" t="n">
        <v>43879</v>
      </c>
      <c r="W2292" s="91" t="s">
        <v>3602</v>
      </c>
      <c r="X2292" s="18"/>
    </row>
    <row r="2293" customFormat="false" ht="13.8" hidden="false" customHeight="false" outlineLevel="0" collapsed="false">
      <c r="A2293" s="18"/>
      <c r="B2293" s="65" t="s">
        <v>3603</v>
      </c>
      <c r="C2293" s="81" t="n">
        <v>43769</v>
      </c>
      <c r="D2293" s="64" t="s">
        <v>22</v>
      </c>
      <c r="E2293" s="65" t="s">
        <v>23</v>
      </c>
      <c r="F2293" s="91" t="s">
        <v>361</v>
      </c>
      <c r="G2293" s="65" t="s">
        <v>348</v>
      </c>
      <c r="H2293" s="65" t="s">
        <v>300</v>
      </c>
      <c r="I2293" s="65" t="s">
        <v>36</v>
      </c>
      <c r="J2293" s="83" t="n">
        <v>45.2</v>
      </c>
      <c r="K2293" s="84" t="n">
        <v>500000</v>
      </c>
      <c r="L2293" s="85" t="n">
        <f aca="false">K2293/J2293</f>
        <v>11061.9469026549</v>
      </c>
      <c r="M2293" s="90"/>
      <c r="N2293" s="87"/>
      <c r="O2293" s="88" t="n">
        <v>500000</v>
      </c>
      <c r="P2293" s="88" t="n">
        <f aca="false">O2293/J2293</f>
        <v>11061.9469026549</v>
      </c>
      <c r="Q2293" s="65" t="s">
        <v>1466</v>
      </c>
      <c r="R2293" s="65" t="s">
        <v>26</v>
      </c>
      <c r="S2293" s="62" t="s">
        <v>29</v>
      </c>
      <c r="T2293" s="62" t="s">
        <v>30</v>
      </c>
      <c r="U2293" s="123" t="s">
        <v>31</v>
      </c>
      <c r="V2293" s="119" t="n">
        <v>43879</v>
      </c>
      <c r="W2293" s="23" t="s">
        <v>2253</v>
      </c>
      <c r="X2293" s="110"/>
    </row>
    <row r="2294" customFormat="false" ht="13.8" hidden="false" customHeight="false" outlineLevel="0" collapsed="false">
      <c r="A2294" s="18"/>
      <c r="B2294" s="65" t="s">
        <v>3604</v>
      </c>
      <c r="C2294" s="81" t="n">
        <v>43769</v>
      </c>
      <c r="D2294" s="115" t="s">
        <v>22</v>
      </c>
      <c r="E2294" s="65" t="s">
        <v>251</v>
      </c>
      <c r="F2294" s="91" t="s">
        <v>252</v>
      </c>
      <c r="G2294" s="65" t="s">
        <v>26</v>
      </c>
      <c r="H2294" s="65" t="s">
        <v>3605</v>
      </c>
      <c r="I2294" s="65" t="s">
        <v>27</v>
      </c>
      <c r="J2294" s="83" t="n">
        <v>54.81</v>
      </c>
      <c r="K2294" s="88" t="n">
        <v>473000</v>
      </c>
      <c r="L2294" s="85" t="n">
        <f aca="false">K2294/J2294</f>
        <v>8629.81207808794</v>
      </c>
      <c r="M2294" s="92"/>
      <c r="N2294" s="93"/>
      <c r="O2294" s="88" t="n">
        <v>473000</v>
      </c>
      <c r="P2294" s="85" t="n">
        <v>8629.81207808794</v>
      </c>
      <c r="Q2294" s="94" t="s">
        <v>3606</v>
      </c>
      <c r="R2294" s="65" t="s">
        <v>26</v>
      </c>
      <c r="S2294" s="65" t="s">
        <v>29</v>
      </c>
      <c r="T2294" s="65" t="s">
        <v>30</v>
      </c>
      <c r="U2294" s="24" t="s">
        <v>31</v>
      </c>
      <c r="V2294" s="89" t="n">
        <v>43881</v>
      </c>
      <c r="W2294" s="18" t="s">
        <v>3607</v>
      </c>
      <c r="X2294" s="18"/>
      <c r="Y2294" s="116"/>
    </row>
    <row r="2295" customFormat="false" ht="13.8" hidden="false" customHeight="false" outlineLevel="0" collapsed="false">
      <c r="A2295" s="18"/>
      <c r="B2295" s="65" t="s">
        <v>3608</v>
      </c>
      <c r="C2295" s="81" t="n">
        <v>43769</v>
      </c>
      <c r="D2295" s="115" t="s">
        <v>22</v>
      </c>
      <c r="E2295" s="65" t="s">
        <v>354</v>
      </c>
      <c r="F2295" s="82" t="s">
        <v>355</v>
      </c>
      <c r="G2295" s="65" t="s">
        <v>410</v>
      </c>
      <c r="H2295" s="65" t="s">
        <v>163</v>
      </c>
      <c r="I2295" s="65" t="s">
        <v>27</v>
      </c>
      <c r="J2295" s="83" t="n">
        <v>55.91</v>
      </c>
      <c r="K2295" s="84" t="n">
        <v>430000</v>
      </c>
      <c r="L2295" s="85" t="n">
        <f aca="false">K2295/J2295</f>
        <v>7690.93185476659</v>
      </c>
      <c r="M2295" s="86"/>
      <c r="N2295" s="87"/>
      <c r="O2295" s="88" t="n">
        <v>430000</v>
      </c>
      <c r="P2295" s="88" t="n">
        <v>7690.93185476659</v>
      </c>
      <c r="Q2295" s="83" t="s">
        <v>1129</v>
      </c>
      <c r="R2295" s="65" t="s">
        <v>26</v>
      </c>
      <c r="S2295" s="65" t="s">
        <v>29</v>
      </c>
      <c r="T2295" s="65" t="s">
        <v>30</v>
      </c>
      <c r="U2295" s="24" t="s">
        <v>31</v>
      </c>
      <c r="V2295" s="89" t="n">
        <v>43881</v>
      </c>
      <c r="W2295" s="18" t="s">
        <v>3609</v>
      </c>
      <c r="X2295" s="18"/>
    </row>
    <row r="2296" customFormat="false" ht="13.8" hidden="false" customHeight="false" outlineLevel="0" collapsed="false">
      <c r="A2296" s="18"/>
      <c r="B2296" s="65" t="s">
        <v>3610</v>
      </c>
      <c r="C2296" s="81" t="n">
        <v>43769</v>
      </c>
      <c r="D2296" s="115" t="s">
        <v>22</v>
      </c>
      <c r="E2296" s="65" t="s">
        <v>354</v>
      </c>
      <c r="F2296" s="82" t="s">
        <v>456</v>
      </c>
      <c r="G2296" s="65" t="s">
        <v>49</v>
      </c>
      <c r="H2296" s="65" t="s">
        <v>494</v>
      </c>
      <c r="I2296" s="65" t="s">
        <v>36</v>
      </c>
      <c r="J2296" s="83" t="n">
        <v>48</v>
      </c>
      <c r="K2296" s="84" t="n">
        <v>545000</v>
      </c>
      <c r="L2296" s="85" t="n">
        <f aca="false">K2296/J2296</f>
        <v>11354.1666666667</v>
      </c>
      <c r="M2296" s="90"/>
      <c r="N2296" s="87"/>
      <c r="O2296" s="88" t="n">
        <v>545000</v>
      </c>
      <c r="P2296" s="88" t="n">
        <v>11354.1666666667</v>
      </c>
      <c r="Q2296" s="83" t="s">
        <v>3611</v>
      </c>
      <c r="R2296" s="65" t="s">
        <v>36</v>
      </c>
      <c r="S2296" s="65" t="s">
        <v>29</v>
      </c>
      <c r="T2296" s="65" t="s">
        <v>30</v>
      </c>
      <c r="U2296" s="24" t="s">
        <v>31</v>
      </c>
      <c r="V2296" s="89" t="n">
        <v>43881</v>
      </c>
      <c r="W2296" s="18" t="s">
        <v>3612</v>
      </c>
      <c r="X2296" s="18"/>
    </row>
    <row r="2297" customFormat="false" ht="13.8" hidden="false" customHeight="false" outlineLevel="0" collapsed="false">
      <c r="A2297" s="18"/>
      <c r="B2297" s="65" t="s">
        <v>3613</v>
      </c>
      <c r="C2297" s="81" t="n">
        <v>43769</v>
      </c>
      <c r="D2297" s="115" t="s">
        <v>22</v>
      </c>
      <c r="E2297" s="65" t="s">
        <v>3085</v>
      </c>
      <c r="F2297" s="82" t="s">
        <v>3086</v>
      </c>
      <c r="G2297" s="65" t="s">
        <v>101</v>
      </c>
      <c r="H2297" s="65" t="s">
        <v>181</v>
      </c>
      <c r="I2297" s="65" t="s">
        <v>57</v>
      </c>
      <c r="J2297" s="83" t="n">
        <v>54.11</v>
      </c>
      <c r="K2297" s="84" t="n">
        <v>602000</v>
      </c>
      <c r="L2297" s="85" t="n">
        <f aca="false">K2297/J2297</f>
        <v>11125.4851228978</v>
      </c>
      <c r="M2297" s="90" t="s">
        <v>3614</v>
      </c>
      <c r="N2297" s="87" t="n">
        <v>28000</v>
      </c>
      <c r="O2297" s="88" t="n">
        <v>630000</v>
      </c>
      <c r="P2297" s="88" t="n">
        <f aca="false">O2297/J2297</f>
        <v>11642.9495472186</v>
      </c>
      <c r="Q2297" s="83" t="s">
        <v>3615</v>
      </c>
      <c r="R2297" s="65" t="s">
        <v>36</v>
      </c>
      <c r="S2297" s="65" t="s">
        <v>29</v>
      </c>
      <c r="T2297" s="65" t="s">
        <v>30</v>
      </c>
      <c r="U2297" s="24" t="s">
        <v>31</v>
      </c>
      <c r="V2297" s="89" t="n">
        <v>43881</v>
      </c>
      <c r="W2297" s="18" t="s">
        <v>3616</v>
      </c>
      <c r="X2297" s="18"/>
    </row>
    <row r="2298" customFormat="false" ht="13.8" hidden="false" customHeight="false" outlineLevel="0" collapsed="false">
      <c r="A2298" s="18"/>
      <c r="B2298" s="62" t="n">
        <v>5689</v>
      </c>
      <c r="C2298" s="81" t="n">
        <v>43769</v>
      </c>
      <c r="D2298" s="115" t="s">
        <v>22</v>
      </c>
      <c r="E2298" s="65" t="s">
        <v>319</v>
      </c>
      <c r="F2298" s="82" t="s">
        <v>320</v>
      </c>
      <c r="G2298" s="65" t="s">
        <v>321</v>
      </c>
      <c r="H2298" s="112" t="s">
        <v>143</v>
      </c>
      <c r="I2298" s="112" t="s">
        <v>25</v>
      </c>
      <c r="J2298" s="83" t="n">
        <v>82.65</v>
      </c>
      <c r="K2298" s="84" t="n">
        <v>880000</v>
      </c>
      <c r="L2298" s="113" t="n">
        <f aca="false">K2298/J2298</f>
        <v>10647.3079249849</v>
      </c>
      <c r="M2298" s="114" t="s">
        <v>3617</v>
      </c>
      <c r="N2298" s="93"/>
      <c r="O2298" s="88" t="n">
        <v>880000</v>
      </c>
      <c r="P2298" s="88" t="n">
        <v>10647.3079249849</v>
      </c>
      <c r="Q2298" s="83" t="s">
        <v>3618</v>
      </c>
      <c r="R2298" s="65" t="s">
        <v>26</v>
      </c>
      <c r="S2298" s="65" t="s">
        <v>29</v>
      </c>
      <c r="T2298" s="65" t="s">
        <v>30</v>
      </c>
      <c r="U2298" s="24" t="s">
        <v>31</v>
      </c>
      <c r="V2298" s="89" t="n">
        <v>43881</v>
      </c>
      <c r="W2298" s="18" t="s">
        <v>3619</v>
      </c>
      <c r="X2298" s="18"/>
    </row>
    <row r="2299" customFormat="false" ht="13.8" hidden="false" customHeight="false" outlineLevel="0" collapsed="false">
      <c r="A2299" s="18"/>
      <c r="B2299" s="65" t="s">
        <v>3620</v>
      </c>
      <c r="C2299" s="81" t="n">
        <v>43769</v>
      </c>
      <c r="D2299" s="115" t="s">
        <v>22</v>
      </c>
      <c r="E2299" s="65" t="s">
        <v>65</v>
      </c>
      <c r="F2299" s="91" t="s">
        <v>3621</v>
      </c>
      <c r="G2299" s="65" t="s">
        <v>49</v>
      </c>
      <c r="H2299" s="65" t="s">
        <v>443</v>
      </c>
      <c r="I2299" s="65" t="s">
        <v>49</v>
      </c>
      <c r="J2299" s="83" t="n">
        <v>53.1</v>
      </c>
      <c r="K2299" s="84" t="n">
        <v>400000</v>
      </c>
      <c r="L2299" s="85" t="n">
        <f aca="false">K2299/J2299</f>
        <v>7532.95668549906</v>
      </c>
      <c r="M2299" s="90"/>
      <c r="N2299" s="87"/>
      <c r="O2299" s="88" t="n">
        <v>400000</v>
      </c>
      <c r="P2299" s="88" t="n">
        <v>7532.95668549906</v>
      </c>
      <c r="Q2299" s="65" t="s">
        <v>997</v>
      </c>
      <c r="R2299" s="65" t="s">
        <v>26</v>
      </c>
      <c r="S2299" s="65" t="s">
        <v>29</v>
      </c>
      <c r="T2299" s="65" t="s">
        <v>30</v>
      </c>
      <c r="U2299" s="24" t="s">
        <v>31</v>
      </c>
      <c r="V2299" s="89" t="n">
        <v>43881</v>
      </c>
      <c r="W2299" s="23" t="s">
        <v>3622</v>
      </c>
      <c r="X2299" s="110"/>
    </row>
    <row r="2300" s="108" customFormat="true" ht="13.8" hidden="false" customHeight="false" outlineLevel="0" collapsed="false">
      <c r="A2300" s="95"/>
      <c r="B2300" s="96" t="s">
        <v>3623</v>
      </c>
      <c r="C2300" s="97" t="n">
        <v>43769</v>
      </c>
      <c r="D2300" s="98" t="s">
        <v>22</v>
      </c>
      <c r="E2300" s="96" t="s">
        <v>118</v>
      </c>
      <c r="F2300" s="99" t="s">
        <v>462</v>
      </c>
      <c r="G2300" s="96" t="s">
        <v>25</v>
      </c>
      <c r="H2300" s="96" t="s">
        <v>275</v>
      </c>
      <c r="I2300" s="96" t="s">
        <v>25</v>
      </c>
      <c r="J2300" s="100" t="n">
        <v>43.06</v>
      </c>
      <c r="K2300" s="101" t="n">
        <v>170000</v>
      </c>
      <c r="L2300" s="102" t="n">
        <f aca="false">K2300/J2300</f>
        <v>3947.97956339991</v>
      </c>
      <c r="M2300" s="135"/>
      <c r="N2300" s="104"/>
      <c r="O2300" s="105" t="n">
        <v>170000</v>
      </c>
      <c r="P2300" s="105" t="n">
        <v>3947.97956339991</v>
      </c>
      <c r="Q2300" s="100" t="s">
        <v>3624</v>
      </c>
      <c r="R2300" s="96" t="s">
        <v>36</v>
      </c>
      <c r="S2300" s="96" t="s">
        <v>29</v>
      </c>
      <c r="T2300" s="96" t="s">
        <v>30</v>
      </c>
      <c r="U2300" s="106" t="s">
        <v>31</v>
      </c>
      <c r="V2300" s="107" t="n">
        <v>43881</v>
      </c>
      <c r="W2300" s="95" t="s">
        <v>3625</v>
      </c>
      <c r="X2300" s="95"/>
      <c r="AMJ2300" s="134"/>
    </row>
    <row r="2301" customFormat="false" ht="13.8" hidden="false" customHeight="false" outlineLevel="0" collapsed="false">
      <c r="A2301" s="18"/>
      <c r="B2301" s="65" t="s">
        <v>3626</v>
      </c>
      <c r="C2301" s="81" t="n">
        <v>43773</v>
      </c>
      <c r="D2301" s="64" t="s">
        <v>22</v>
      </c>
      <c r="E2301" s="65" t="s">
        <v>350</v>
      </c>
      <c r="F2301" s="91" t="s">
        <v>351</v>
      </c>
      <c r="G2301" s="65" t="s">
        <v>27</v>
      </c>
      <c r="H2301" s="65" t="s">
        <v>453</v>
      </c>
      <c r="I2301" s="65" t="s">
        <v>26</v>
      </c>
      <c r="J2301" s="83" t="n">
        <v>55.93</v>
      </c>
      <c r="K2301" s="88" t="n">
        <v>629000</v>
      </c>
      <c r="L2301" s="85" t="n">
        <f aca="false">K2301/J2301</f>
        <v>11246.2006079027</v>
      </c>
      <c r="M2301" s="92"/>
      <c r="N2301" s="93"/>
      <c r="O2301" s="88" t="n">
        <v>629000</v>
      </c>
      <c r="P2301" s="85" t="n">
        <f aca="false">O2301/J2301</f>
        <v>11246.2006079027</v>
      </c>
      <c r="Q2301" s="94" t="s">
        <v>3627</v>
      </c>
      <c r="R2301" s="65" t="s">
        <v>36</v>
      </c>
      <c r="S2301" s="62" t="s">
        <v>29</v>
      </c>
      <c r="T2301" s="62" t="s">
        <v>30</v>
      </c>
      <c r="U2301" s="123" t="s">
        <v>31</v>
      </c>
      <c r="V2301" s="119" t="n">
        <v>43879</v>
      </c>
      <c r="W2301" s="91" t="s">
        <v>3628</v>
      </c>
      <c r="X2301" s="18"/>
    </row>
    <row r="2302" s="108" customFormat="true" ht="13.8" hidden="false" customHeight="false" outlineLevel="0" collapsed="false">
      <c r="A2302" s="95"/>
      <c r="B2302" s="96" t="s">
        <v>3629</v>
      </c>
      <c r="C2302" s="97" t="n">
        <v>43773</v>
      </c>
      <c r="D2302" s="98" t="s">
        <v>22</v>
      </c>
      <c r="E2302" s="96" t="s">
        <v>407</v>
      </c>
      <c r="F2302" s="131" t="s">
        <v>2259</v>
      </c>
      <c r="G2302" s="96" t="s">
        <v>26</v>
      </c>
      <c r="H2302" s="96" t="s">
        <v>57</v>
      </c>
      <c r="I2302" s="96" t="s">
        <v>26</v>
      </c>
      <c r="J2302" s="100" t="n">
        <v>135.87</v>
      </c>
      <c r="K2302" s="105" t="n">
        <v>480000</v>
      </c>
      <c r="L2302" s="102" t="n">
        <f aca="false">K2302/J2302</f>
        <v>3532.78869507618</v>
      </c>
      <c r="M2302" s="136" t="s">
        <v>3630</v>
      </c>
      <c r="N2302" s="129"/>
      <c r="O2302" s="105" t="n">
        <v>480000</v>
      </c>
      <c r="P2302" s="102" t="n">
        <v>3532.78869507618</v>
      </c>
      <c r="Q2302" s="137" t="s">
        <v>3631</v>
      </c>
      <c r="R2302" s="96" t="s">
        <v>57</v>
      </c>
      <c r="S2302" s="96" t="s">
        <v>29</v>
      </c>
      <c r="T2302" s="96" t="s">
        <v>30</v>
      </c>
      <c r="U2302" s="106" t="s">
        <v>31</v>
      </c>
      <c r="V2302" s="107" t="n">
        <v>43881</v>
      </c>
      <c r="W2302" s="131" t="s">
        <v>3632</v>
      </c>
      <c r="X2302" s="95"/>
    </row>
    <row r="2303" customFormat="false" ht="13.8" hidden="false" customHeight="false" outlineLevel="0" collapsed="false">
      <c r="A2303" s="18"/>
      <c r="B2303" s="62" t="n">
        <v>1884</v>
      </c>
      <c r="C2303" s="81" t="n">
        <v>43773</v>
      </c>
      <c r="D2303" s="115" t="s">
        <v>22</v>
      </c>
      <c r="E2303" s="65" t="s">
        <v>399</v>
      </c>
      <c r="F2303" s="82" t="s">
        <v>272</v>
      </c>
      <c r="G2303" s="65" t="s">
        <v>635</v>
      </c>
      <c r="H2303" s="112" t="s">
        <v>730</v>
      </c>
      <c r="I2303" s="112" t="s">
        <v>57</v>
      </c>
      <c r="J2303" s="83" t="n">
        <v>34</v>
      </c>
      <c r="K2303" s="84" t="n">
        <v>460000</v>
      </c>
      <c r="L2303" s="113" t="n">
        <f aca="false">K2303/J2303</f>
        <v>13529.4117647059</v>
      </c>
      <c r="M2303" s="114"/>
      <c r="N2303" s="93"/>
      <c r="O2303" s="88" t="n">
        <v>460000</v>
      </c>
      <c r="P2303" s="88" t="n">
        <v>13529.4117647059</v>
      </c>
      <c r="Q2303" s="83" t="s">
        <v>3633</v>
      </c>
      <c r="R2303" s="65" t="s">
        <v>27</v>
      </c>
      <c r="S2303" s="65" t="s">
        <v>29</v>
      </c>
      <c r="T2303" s="65" t="s">
        <v>30</v>
      </c>
      <c r="U2303" s="24" t="s">
        <v>31</v>
      </c>
      <c r="V2303" s="89" t="n">
        <v>43881</v>
      </c>
      <c r="W2303" s="18" t="s">
        <v>3634</v>
      </c>
      <c r="X2303" s="18"/>
      <c r="AMJ2303" s="138"/>
    </row>
    <row r="2304" customFormat="false" ht="13.8" hidden="false" customHeight="false" outlineLevel="0" collapsed="false">
      <c r="A2304" s="18"/>
      <c r="B2304" s="62" t="n">
        <v>11996</v>
      </c>
      <c r="C2304" s="81" t="n">
        <v>43773</v>
      </c>
      <c r="D2304" s="115" t="s">
        <v>22</v>
      </c>
      <c r="E2304" s="65" t="s">
        <v>190</v>
      </c>
      <c r="F2304" s="82" t="s">
        <v>591</v>
      </c>
      <c r="G2304" s="65" t="s">
        <v>120</v>
      </c>
      <c r="H2304" s="112" t="s">
        <v>3635</v>
      </c>
      <c r="I2304" s="112" t="s">
        <v>200</v>
      </c>
      <c r="J2304" s="83" t="n">
        <v>81.12</v>
      </c>
      <c r="K2304" s="84" t="n">
        <v>874000</v>
      </c>
      <c r="L2304" s="113" t="n">
        <f aca="false">K2304/J2304</f>
        <v>10774.1617357002</v>
      </c>
      <c r="M2304" s="114"/>
      <c r="N2304" s="93"/>
      <c r="O2304" s="88" t="n">
        <v>874000</v>
      </c>
      <c r="P2304" s="88" t="n">
        <v>10774.1617357002</v>
      </c>
      <c r="Q2304" s="83" t="s">
        <v>3636</v>
      </c>
      <c r="R2304" s="65" t="s">
        <v>26</v>
      </c>
      <c r="S2304" s="65" t="s">
        <v>29</v>
      </c>
      <c r="T2304" s="65" t="s">
        <v>30</v>
      </c>
      <c r="U2304" s="24" t="s">
        <v>31</v>
      </c>
      <c r="V2304" s="89" t="n">
        <v>43881</v>
      </c>
      <c r="W2304" s="18" t="s">
        <v>3637</v>
      </c>
      <c r="X2304" s="18" t="s">
        <v>3638</v>
      </c>
    </row>
    <row r="2305" s="69" customFormat="true" ht="13.8" hidden="false" customHeight="false" outlineLevel="0" collapsed="false">
      <c r="A2305" s="61"/>
      <c r="B2305" s="62" t="n">
        <v>3303</v>
      </c>
      <c r="C2305" s="63" t="n">
        <v>43773</v>
      </c>
      <c r="D2305" s="64" t="s">
        <v>22</v>
      </c>
      <c r="E2305" s="65" t="s">
        <v>125</v>
      </c>
      <c r="F2305" s="18" t="s">
        <v>335</v>
      </c>
      <c r="G2305" s="62" t="n">
        <v>27</v>
      </c>
      <c r="H2305" s="62" t="n">
        <v>210</v>
      </c>
      <c r="I2305" s="62" t="n">
        <v>3</v>
      </c>
      <c r="J2305" s="62" t="n">
        <v>88.8</v>
      </c>
      <c r="K2305" s="66" t="n">
        <v>1400000</v>
      </c>
      <c r="L2305" s="66" t="n">
        <f aca="false">K2305/J2305</f>
        <v>15765.7657657658</v>
      </c>
      <c r="M2305" s="18"/>
      <c r="N2305" s="66"/>
      <c r="O2305" s="66" t="n">
        <f aca="false">K2305+N2305</f>
        <v>1400000</v>
      </c>
      <c r="P2305" s="66" t="n">
        <f aca="false">O2305/J2305</f>
        <v>15765.7657657658</v>
      </c>
      <c r="Q2305" s="67" t="s">
        <v>903</v>
      </c>
      <c r="R2305" s="65"/>
      <c r="S2305" s="67" t="s">
        <v>29</v>
      </c>
      <c r="T2305" s="62" t="s">
        <v>30</v>
      </c>
      <c r="U2305" s="68" t="s">
        <v>31</v>
      </c>
      <c r="V2305" s="63" t="n">
        <v>43886</v>
      </c>
      <c r="W2305" s="18" t="s">
        <v>3639</v>
      </c>
      <c r="X2305" s="18"/>
    </row>
    <row r="2306" s="32" customFormat="true" ht="13.8" hidden="false" customHeight="false" outlineLevel="0" collapsed="false">
      <c r="A2306" s="34"/>
      <c r="B2306" s="19" t="n">
        <v>7394</v>
      </c>
      <c r="C2306" s="20" t="n">
        <v>43774</v>
      </c>
      <c r="D2306" s="38" t="s">
        <v>22</v>
      </c>
      <c r="E2306" s="22" t="s">
        <v>203</v>
      </c>
      <c r="F2306" s="23" t="s">
        <v>138</v>
      </c>
      <c r="G2306" s="22" t="s">
        <v>200</v>
      </c>
      <c r="H2306" s="24" t="s">
        <v>3640</v>
      </c>
      <c r="I2306" s="24" t="s">
        <v>55</v>
      </c>
      <c r="J2306" s="25" t="n">
        <v>37.08</v>
      </c>
      <c r="K2306" s="26" t="n">
        <v>460000</v>
      </c>
      <c r="L2306" s="27" t="n">
        <f aca="false">K2306/J2306</f>
        <v>12405.6094929881</v>
      </c>
      <c r="M2306" s="28" t="s">
        <v>3641</v>
      </c>
      <c r="N2306" s="29" t="n">
        <v>30000</v>
      </c>
      <c r="O2306" s="30" t="n">
        <v>490000</v>
      </c>
      <c r="P2306" s="30" t="n">
        <f aca="false">O2306/J2306</f>
        <v>13214.6709816613</v>
      </c>
      <c r="Q2306" s="25" t="s">
        <v>3642</v>
      </c>
      <c r="R2306" s="22" t="s">
        <v>27</v>
      </c>
      <c r="S2306" s="19" t="s">
        <v>29</v>
      </c>
      <c r="T2306" s="19" t="s">
        <v>30</v>
      </c>
      <c r="U2306" s="139" t="s">
        <v>31</v>
      </c>
      <c r="V2306" s="31" t="n">
        <v>43879</v>
      </c>
      <c r="W2306" s="34" t="s">
        <v>3643</v>
      </c>
      <c r="X2306" s="34"/>
    </row>
    <row r="2307" customFormat="false" ht="13.8" hidden="false" customHeight="false" outlineLevel="0" collapsed="false">
      <c r="A2307" s="18"/>
      <c r="B2307" s="62" t="n">
        <v>5583</v>
      </c>
      <c r="C2307" s="81" t="n">
        <v>43774</v>
      </c>
      <c r="D2307" s="64" t="s">
        <v>22</v>
      </c>
      <c r="E2307" s="65" t="s">
        <v>235</v>
      </c>
      <c r="F2307" s="82" t="s">
        <v>854</v>
      </c>
      <c r="G2307" s="65" t="s">
        <v>36</v>
      </c>
      <c r="H2307" s="112" t="s">
        <v>602</v>
      </c>
      <c r="I2307" s="112" t="s">
        <v>25</v>
      </c>
      <c r="J2307" s="83" t="n">
        <v>59.3</v>
      </c>
      <c r="K2307" s="84" t="n">
        <v>690000</v>
      </c>
      <c r="L2307" s="113" t="n">
        <f aca="false">K2307/J2307</f>
        <v>11635.7504215852</v>
      </c>
      <c r="M2307" s="114" t="s">
        <v>3644</v>
      </c>
      <c r="N2307" s="93"/>
      <c r="O2307" s="88" t="n">
        <v>690000</v>
      </c>
      <c r="P2307" s="88" t="n">
        <f aca="false">O2307/J2307</f>
        <v>11635.7504215852</v>
      </c>
      <c r="Q2307" s="83" t="s">
        <v>1340</v>
      </c>
      <c r="R2307" s="65" t="s">
        <v>26</v>
      </c>
      <c r="S2307" s="62" t="s">
        <v>29</v>
      </c>
      <c r="T2307" s="62" t="s">
        <v>30</v>
      </c>
      <c r="U2307" s="123" t="s">
        <v>31</v>
      </c>
      <c r="V2307" s="119" t="n">
        <v>43879</v>
      </c>
      <c r="W2307" s="18" t="s">
        <v>3645</v>
      </c>
      <c r="X2307" s="18"/>
      <c r="AMJ2307" s="133"/>
    </row>
    <row r="2308" customFormat="false" ht="13.8" hidden="false" customHeight="false" outlineLevel="0" collapsed="false">
      <c r="A2308" s="18"/>
      <c r="B2308" s="62" t="n">
        <v>5791</v>
      </c>
      <c r="C2308" s="81" t="n">
        <v>43774</v>
      </c>
      <c r="D2308" s="115" t="s">
        <v>22</v>
      </c>
      <c r="E2308" s="65" t="s">
        <v>644</v>
      </c>
      <c r="F2308" s="82" t="s">
        <v>3646</v>
      </c>
      <c r="G2308" s="65" t="s">
        <v>95</v>
      </c>
      <c r="H2308" s="112" t="s">
        <v>36</v>
      </c>
      <c r="I2308" s="112" t="s">
        <v>36</v>
      </c>
      <c r="J2308" s="83" t="n">
        <v>98.2</v>
      </c>
      <c r="K2308" s="84" t="n">
        <v>2350000</v>
      </c>
      <c r="L2308" s="113" t="n">
        <f aca="false">K2308/J2308</f>
        <v>23930.7535641548</v>
      </c>
      <c r="M2308" s="114"/>
      <c r="N2308" s="93"/>
      <c r="O2308" s="88" t="n">
        <v>2350000</v>
      </c>
      <c r="P2308" s="88" t="n">
        <v>23930.7535641548</v>
      </c>
      <c r="Q2308" s="83" t="s">
        <v>3647</v>
      </c>
      <c r="R2308" s="65" t="s">
        <v>49</v>
      </c>
      <c r="S2308" s="65" t="s">
        <v>29</v>
      </c>
      <c r="T2308" s="65" t="s">
        <v>30</v>
      </c>
      <c r="U2308" s="24" t="s">
        <v>31</v>
      </c>
      <c r="V2308" s="89" t="n">
        <v>43881</v>
      </c>
      <c r="W2308" s="18" t="s">
        <v>3648</v>
      </c>
      <c r="X2308" s="18"/>
    </row>
    <row r="2309" customFormat="false" ht="13.8" hidden="false" customHeight="false" outlineLevel="0" collapsed="false">
      <c r="A2309" s="18"/>
      <c r="B2309" s="65" t="s">
        <v>3649</v>
      </c>
      <c r="C2309" s="81" t="n">
        <v>43774</v>
      </c>
      <c r="D2309" s="115" t="s">
        <v>22</v>
      </c>
      <c r="E2309" s="65" t="s">
        <v>109</v>
      </c>
      <c r="F2309" s="82" t="s">
        <v>603</v>
      </c>
      <c r="G2309" s="65" t="s">
        <v>112</v>
      </c>
      <c r="H2309" s="65" t="s">
        <v>143</v>
      </c>
      <c r="I2309" s="65" t="s">
        <v>49</v>
      </c>
      <c r="J2309" s="83" t="n">
        <v>25.02</v>
      </c>
      <c r="K2309" s="84" t="n">
        <v>215000</v>
      </c>
      <c r="L2309" s="85" t="n">
        <f aca="false">K2309/J2309</f>
        <v>8593.12549960032</v>
      </c>
      <c r="M2309" s="86"/>
      <c r="N2309" s="87"/>
      <c r="O2309" s="88" t="n">
        <v>215000</v>
      </c>
      <c r="P2309" s="88" t="n">
        <v>8593.12549960032</v>
      </c>
      <c r="Q2309" s="83" t="s">
        <v>3633</v>
      </c>
      <c r="R2309" s="65" t="s">
        <v>27</v>
      </c>
      <c r="S2309" s="65" t="s">
        <v>29</v>
      </c>
      <c r="T2309" s="65" t="s">
        <v>30</v>
      </c>
      <c r="U2309" s="24" t="s">
        <v>31</v>
      </c>
      <c r="V2309" s="89" t="n">
        <v>43881</v>
      </c>
      <c r="W2309" s="18" t="s">
        <v>3650</v>
      </c>
      <c r="X2309" s="18"/>
    </row>
    <row r="2310" customFormat="false" ht="13.8" hidden="false" customHeight="false" outlineLevel="0" collapsed="false">
      <c r="A2310" s="18"/>
      <c r="B2310" s="62" t="n">
        <v>6696</v>
      </c>
      <c r="C2310" s="81" t="n">
        <v>43774</v>
      </c>
      <c r="D2310" s="115" t="s">
        <v>22</v>
      </c>
      <c r="E2310" s="65" t="s">
        <v>543</v>
      </c>
      <c r="F2310" s="82" t="s">
        <v>3651</v>
      </c>
      <c r="G2310" s="65" t="s">
        <v>115</v>
      </c>
      <c r="H2310" s="112" t="s">
        <v>200</v>
      </c>
      <c r="I2310" s="112" t="s">
        <v>36</v>
      </c>
      <c r="J2310" s="83" t="n">
        <v>45.25</v>
      </c>
      <c r="K2310" s="84" t="n">
        <v>465000</v>
      </c>
      <c r="L2310" s="113" t="n">
        <f aca="false">K2310/J2310</f>
        <v>10276.2430939227</v>
      </c>
      <c r="M2310" s="114"/>
      <c r="N2310" s="93"/>
      <c r="O2310" s="88" t="n">
        <v>465000</v>
      </c>
      <c r="P2310" s="88" t="n">
        <v>10276.2430939227</v>
      </c>
      <c r="Q2310" s="83" t="s">
        <v>925</v>
      </c>
      <c r="R2310" s="65" t="s">
        <v>36</v>
      </c>
      <c r="S2310" s="65" t="s">
        <v>29</v>
      </c>
      <c r="T2310" s="65" t="s">
        <v>30</v>
      </c>
      <c r="U2310" s="24" t="s">
        <v>31</v>
      </c>
      <c r="V2310" s="89" t="n">
        <v>43881</v>
      </c>
      <c r="W2310" s="18" t="s">
        <v>3652</v>
      </c>
      <c r="X2310" s="18"/>
    </row>
    <row r="2311" customFormat="false" ht="13.8" hidden="false" customHeight="false" outlineLevel="0" collapsed="false">
      <c r="A2311" s="18"/>
      <c r="B2311" s="65" t="s">
        <v>3653</v>
      </c>
      <c r="C2311" s="81" t="n">
        <v>43774</v>
      </c>
      <c r="D2311" s="115" t="s">
        <v>22</v>
      </c>
      <c r="E2311" s="65" t="s">
        <v>125</v>
      </c>
      <c r="F2311" s="82" t="s">
        <v>335</v>
      </c>
      <c r="G2311" s="65" t="s">
        <v>336</v>
      </c>
      <c r="H2311" s="65" t="s">
        <v>3654</v>
      </c>
      <c r="I2311" s="65" t="s">
        <v>101</v>
      </c>
      <c r="J2311" s="83" t="n">
        <v>104.7</v>
      </c>
      <c r="K2311" s="84" t="n">
        <v>1258396.45</v>
      </c>
      <c r="L2311" s="85" t="n">
        <f aca="false">K2311/J2311</f>
        <v>12019.0682903534</v>
      </c>
      <c r="M2311" s="90"/>
      <c r="N2311" s="87"/>
      <c r="O2311" s="88" t="n">
        <v>1258396.45</v>
      </c>
      <c r="P2311" s="88" t="n">
        <v>12019.0682903534</v>
      </c>
      <c r="Q2311" s="83" t="s">
        <v>3655</v>
      </c>
      <c r="R2311" s="65" t="s">
        <v>36</v>
      </c>
      <c r="S2311" s="65" t="s">
        <v>29</v>
      </c>
      <c r="T2311" s="65" t="s">
        <v>30</v>
      </c>
      <c r="U2311" s="24" t="s">
        <v>31</v>
      </c>
      <c r="V2311" s="89" t="n">
        <v>43881</v>
      </c>
      <c r="W2311" s="18" t="s">
        <v>3656</v>
      </c>
      <c r="X2311" s="18" t="s">
        <v>3657</v>
      </c>
    </row>
    <row r="2312" customFormat="false" ht="13.8" hidden="false" customHeight="false" outlineLevel="0" collapsed="false">
      <c r="A2312" s="18"/>
      <c r="B2312" s="65" t="s">
        <v>3653</v>
      </c>
      <c r="C2312" s="81" t="n">
        <v>43774</v>
      </c>
      <c r="D2312" s="115" t="s">
        <v>22</v>
      </c>
      <c r="E2312" s="65" t="s">
        <v>125</v>
      </c>
      <c r="F2312" s="82" t="s">
        <v>335</v>
      </c>
      <c r="G2312" s="65" t="s">
        <v>336</v>
      </c>
      <c r="H2312" s="65" t="s">
        <v>3658</v>
      </c>
      <c r="I2312" s="65" t="s">
        <v>101</v>
      </c>
      <c r="J2312" s="83" t="n">
        <v>125.7</v>
      </c>
      <c r="K2312" s="84" t="n">
        <v>1515129.27</v>
      </c>
      <c r="L2312" s="85" t="n">
        <f aca="false">K2312/J2312</f>
        <v>12053.5343675418</v>
      </c>
      <c r="M2312" s="90"/>
      <c r="N2312" s="87"/>
      <c r="O2312" s="88" t="n">
        <v>1515129.27</v>
      </c>
      <c r="P2312" s="88" t="n">
        <v>12053.5343675418</v>
      </c>
      <c r="Q2312" s="83" t="s">
        <v>3659</v>
      </c>
      <c r="R2312" s="65" t="s">
        <v>36</v>
      </c>
      <c r="S2312" s="65" t="s">
        <v>29</v>
      </c>
      <c r="T2312" s="65" t="s">
        <v>30</v>
      </c>
      <c r="U2312" s="24" t="s">
        <v>31</v>
      </c>
      <c r="V2312" s="89" t="n">
        <v>43881</v>
      </c>
      <c r="W2312" s="18" t="s">
        <v>3660</v>
      </c>
      <c r="X2312" s="18" t="s">
        <v>3657</v>
      </c>
    </row>
    <row r="2313" customFormat="false" ht="13.8" hidden="false" customHeight="false" outlineLevel="0" collapsed="false">
      <c r="A2313" s="18"/>
      <c r="B2313" s="65" t="s">
        <v>3653</v>
      </c>
      <c r="C2313" s="81" t="n">
        <v>43774</v>
      </c>
      <c r="D2313" s="115" t="s">
        <v>22</v>
      </c>
      <c r="E2313" s="65" t="s">
        <v>125</v>
      </c>
      <c r="F2313" s="82" t="s">
        <v>335</v>
      </c>
      <c r="G2313" s="65" t="s">
        <v>336</v>
      </c>
      <c r="H2313" s="65" t="s">
        <v>3661</v>
      </c>
      <c r="I2313" s="65" t="s">
        <v>101</v>
      </c>
      <c r="J2313" s="83" t="n">
        <v>52.4</v>
      </c>
      <c r="K2313" s="84" t="n">
        <v>615994.28</v>
      </c>
      <c r="L2313" s="85" t="n">
        <f aca="false">K2313/J2313</f>
        <v>11755.6160305344</v>
      </c>
      <c r="M2313" s="90"/>
      <c r="N2313" s="87"/>
      <c r="O2313" s="88" t="n">
        <v>615994.28</v>
      </c>
      <c r="P2313" s="88" t="n">
        <v>11755.6160305344</v>
      </c>
      <c r="Q2313" s="83" t="s">
        <v>3662</v>
      </c>
      <c r="R2313" s="65" t="s">
        <v>36</v>
      </c>
      <c r="S2313" s="65" t="s">
        <v>29</v>
      </c>
      <c r="T2313" s="65" t="s">
        <v>30</v>
      </c>
      <c r="U2313" s="24" t="s">
        <v>31</v>
      </c>
      <c r="V2313" s="89" t="n">
        <v>43881</v>
      </c>
      <c r="W2313" s="18" t="s">
        <v>3663</v>
      </c>
      <c r="X2313" s="18" t="s">
        <v>3657</v>
      </c>
    </row>
    <row r="2314" customFormat="false" ht="13.8" hidden="false" customHeight="false" outlineLevel="0" collapsed="false">
      <c r="A2314" s="18"/>
      <c r="B2314" s="65" t="s">
        <v>3664</v>
      </c>
      <c r="C2314" s="81" t="n">
        <v>43775</v>
      </c>
      <c r="D2314" s="64" t="s">
        <v>22</v>
      </c>
      <c r="E2314" s="65" t="s">
        <v>350</v>
      </c>
      <c r="F2314" s="82" t="s">
        <v>351</v>
      </c>
      <c r="G2314" s="65" t="s">
        <v>274</v>
      </c>
      <c r="H2314" s="65" t="s">
        <v>678</v>
      </c>
      <c r="I2314" s="65" t="s">
        <v>49</v>
      </c>
      <c r="J2314" s="83" t="n">
        <v>80.08</v>
      </c>
      <c r="K2314" s="84" t="n">
        <v>870000</v>
      </c>
      <c r="L2314" s="85" t="n">
        <f aca="false">K2314/J2314</f>
        <v>10864.1358641359</v>
      </c>
      <c r="M2314" s="90" t="s">
        <v>3665</v>
      </c>
      <c r="N2314" s="87" t="n">
        <v>60000</v>
      </c>
      <c r="O2314" s="88" t="n">
        <v>930000</v>
      </c>
      <c r="P2314" s="88" t="n">
        <f aca="false">O2314/J2314</f>
        <v>11613.3866133866</v>
      </c>
      <c r="Q2314" s="83" t="s">
        <v>3666</v>
      </c>
      <c r="R2314" s="65" t="s">
        <v>26</v>
      </c>
      <c r="S2314" s="62" t="s">
        <v>29</v>
      </c>
      <c r="T2314" s="62" t="s">
        <v>30</v>
      </c>
      <c r="U2314" s="123" t="s">
        <v>31</v>
      </c>
      <c r="V2314" s="119" t="n">
        <v>43879</v>
      </c>
      <c r="W2314" s="18" t="s">
        <v>3667</v>
      </c>
      <c r="X2314" s="18"/>
    </row>
    <row r="2315" s="108" customFormat="true" ht="13.8" hidden="false" customHeight="false" outlineLevel="0" collapsed="false">
      <c r="A2315" s="95"/>
      <c r="B2315" s="122" t="n">
        <v>23095</v>
      </c>
      <c r="C2315" s="97" t="n">
        <v>43775</v>
      </c>
      <c r="D2315" s="98" t="s">
        <v>22</v>
      </c>
      <c r="E2315" s="96" t="s">
        <v>93</v>
      </c>
      <c r="F2315" s="99" t="s">
        <v>514</v>
      </c>
      <c r="G2315" s="96" t="s">
        <v>818</v>
      </c>
      <c r="H2315" s="126" t="s">
        <v>57</v>
      </c>
      <c r="I2315" s="126" t="s">
        <v>36</v>
      </c>
      <c r="J2315" s="100" t="n">
        <v>52.2</v>
      </c>
      <c r="K2315" s="101"/>
      <c r="L2315" s="127" t="n">
        <f aca="false">K2315/J2315</f>
        <v>0</v>
      </c>
      <c r="M2315" s="128" t="s">
        <v>3668</v>
      </c>
      <c r="N2315" s="129"/>
      <c r="O2315" s="105" t="s">
        <v>1140</v>
      </c>
      <c r="P2315" s="105" t="s">
        <v>1140</v>
      </c>
      <c r="Q2315" s="100" t="s">
        <v>3669</v>
      </c>
      <c r="R2315" s="96" t="s">
        <v>36</v>
      </c>
      <c r="S2315" s="96" t="s">
        <v>29</v>
      </c>
      <c r="T2315" s="96" t="s">
        <v>30</v>
      </c>
      <c r="U2315" s="106" t="s">
        <v>31</v>
      </c>
      <c r="V2315" s="107" t="n">
        <v>43881</v>
      </c>
      <c r="W2315" s="95" t="s">
        <v>3670</v>
      </c>
      <c r="X2315" s="95" t="s">
        <v>3671</v>
      </c>
    </row>
    <row r="2316" customFormat="false" ht="13.8" hidden="false" customHeight="false" outlineLevel="0" collapsed="false">
      <c r="A2316" s="18"/>
      <c r="B2316" s="65" t="s">
        <v>3672</v>
      </c>
      <c r="C2316" s="81" t="n">
        <v>43775</v>
      </c>
      <c r="D2316" s="115" t="s">
        <v>22</v>
      </c>
      <c r="E2316" s="65" t="s">
        <v>118</v>
      </c>
      <c r="F2316" s="91" t="s">
        <v>119</v>
      </c>
      <c r="G2316" s="65" t="s">
        <v>135</v>
      </c>
      <c r="H2316" s="65" t="s">
        <v>280</v>
      </c>
      <c r="I2316" s="65" t="s">
        <v>25</v>
      </c>
      <c r="J2316" s="83" t="n">
        <v>52.53</v>
      </c>
      <c r="K2316" s="88" t="n">
        <v>415000</v>
      </c>
      <c r="L2316" s="85" t="n">
        <f aca="false">K2316/J2316</f>
        <v>7900.24747763183</v>
      </c>
      <c r="M2316" s="92"/>
      <c r="N2316" s="93"/>
      <c r="O2316" s="88" t="n">
        <v>415000</v>
      </c>
      <c r="P2316" s="85" t="n">
        <v>7900.24747763183</v>
      </c>
      <c r="Q2316" s="94" t="s">
        <v>3673</v>
      </c>
      <c r="R2316" s="65" t="s">
        <v>26</v>
      </c>
      <c r="S2316" s="65" t="s">
        <v>29</v>
      </c>
      <c r="T2316" s="65" t="s">
        <v>30</v>
      </c>
      <c r="U2316" s="24" t="s">
        <v>31</v>
      </c>
      <c r="V2316" s="89" t="n">
        <v>43881</v>
      </c>
      <c r="W2316" s="91" t="s">
        <v>3674</v>
      </c>
      <c r="X2316" s="18" t="s">
        <v>3516</v>
      </c>
    </row>
    <row r="2317" customFormat="false" ht="13.8" hidden="false" customHeight="false" outlineLevel="0" collapsed="false">
      <c r="A2317" s="18"/>
      <c r="B2317" s="65" t="s">
        <v>3675</v>
      </c>
      <c r="C2317" s="81" t="n">
        <v>43775</v>
      </c>
      <c r="D2317" s="115" t="s">
        <v>22</v>
      </c>
      <c r="E2317" s="65" t="s">
        <v>175</v>
      </c>
      <c r="F2317" s="82" t="s">
        <v>404</v>
      </c>
      <c r="G2317" s="65" t="s">
        <v>3676</v>
      </c>
      <c r="H2317" s="65" t="s">
        <v>154</v>
      </c>
      <c r="I2317" s="65" t="s">
        <v>57</v>
      </c>
      <c r="J2317" s="83" t="n">
        <v>75.52</v>
      </c>
      <c r="K2317" s="84" t="n">
        <v>600000</v>
      </c>
      <c r="L2317" s="85" t="n">
        <f aca="false">K2317/J2317</f>
        <v>7944.91525423729</v>
      </c>
      <c r="M2317" s="90"/>
      <c r="N2317" s="87"/>
      <c r="O2317" s="88" t="n">
        <v>600000</v>
      </c>
      <c r="P2317" s="88" t="n">
        <v>7944.91525423729</v>
      </c>
      <c r="Q2317" s="83" t="s">
        <v>3677</v>
      </c>
      <c r="R2317" s="65" t="s">
        <v>26</v>
      </c>
      <c r="S2317" s="65" t="s">
        <v>29</v>
      </c>
      <c r="T2317" s="65" t="s">
        <v>30</v>
      </c>
      <c r="U2317" s="24" t="s">
        <v>31</v>
      </c>
      <c r="V2317" s="89" t="n">
        <v>43881</v>
      </c>
      <c r="W2317" s="18" t="s">
        <v>3678</v>
      </c>
      <c r="X2317" s="18"/>
    </row>
    <row r="2318" customFormat="false" ht="13.8" hidden="false" customHeight="false" outlineLevel="0" collapsed="false">
      <c r="A2318" s="18"/>
      <c r="B2318" s="65" t="s">
        <v>3679</v>
      </c>
      <c r="C2318" s="81" t="n">
        <v>43775</v>
      </c>
      <c r="D2318" s="115" t="s">
        <v>22</v>
      </c>
      <c r="E2318" s="65" t="s">
        <v>343</v>
      </c>
      <c r="F2318" s="82" t="s">
        <v>2901</v>
      </c>
      <c r="G2318" s="65" t="s">
        <v>36</v>
      </c>
      <c r="H2318" s="65" t="s">
        <v>336</v>
      </c>
      <c r="I2318" s="65" t="s">
        <v>57</v>
      </c>
      <c r="J2318" s="83" t="n">
        <v>47.46</v>
      </c>
      <c r="K2318" s="84" t="n">
        <v>380000</v>
      </c>
      <c r="L2318" s="85" t="n">
        <f aca="false">K2318/J2318</f>
        <v>8006.74252001686</v>
      </c>
      <c r="M2318" s="90" t="s">
        <v>3680</v>
      </c>
      <c r="N2318" s="87"/>
      <c r="O2318" s="88" t="n">
        <v>380000</v>
      </c>
      <c r="P2318" s="88" t="n">
        <f aca="false">O2318/J2318</f>
        <v>8006.74252001686</v>
      </c>
      <c r="Q2318" s="83" t="s">
        <v>3681</v>
      </c>
      <c r="R2318" s="65" t="s">
        <v>36</v>
      </c>
      <c r="S2318" s="65" t="s">
        <v>29</v>
      </c>
      <c r="T2318" s="65" t="s">
        <v>30</v>
      </c>
      <c r="U2318" s="24" t="s">
        <v>31</v>
      </c>
      <c r="V2318" s="89" t="n">
        <v>43881</v>
      </c>
      <c r="W2318" s="18" t="s">
        <v>3682</v>
      </c>
      <c r="X2318" s="18"/>
      <c r="AMJ2318" s="134"/>
    </row>
    <row r="2319" customFormat="false" ht="13.8" hidden="false" customHeight="false" outlineLevel="0" collapsed="false">
      <c r="A2319" s="18"/>
      <c r="B2319" s="62" t="n">
        <v>6708</v>
      </c>
      <c r="C2319" s="81" t="n">
        <v>43775</v>
      </c>
      <c r="D2319" s="115" t="s">
        <v>22</v>
      </c>
      <c r="E2319" s="65" t="s">
        <v>175</v>
      </c>
      <c r="F2319" s="82" t="s">
        <v>176</v>
      </c>
      <c r="G2319" s="65" t="s">
        <v>587</v>
      </c>
      <c r="H2319" s="112" t="s">
        <v>26</v>
      </c>
      <c r="I2319" s="112" t="s">
        <v>36</v>
      </c>
      <c r="J2319" s="83" t="n">
        <v>67.01</v>
      </c>
      <c r="K2319" s="84" t="n">
        <v>700000</v>
      </c>
      <c r="L2319" s="113" t="n">
        <f aca="false">K2319/J2319</f>
        <v>10446.2020593941</v>
      </c>
      <c r="M2319" s="114"/>
      <c r="N2319" s="93"/>
      <c r="O2319" s="88" t="n">
        <v>700000</v>
      </c>
      <c r="P2319" s="88" t="n">
        <v>10446.2020593941</v>
      </c>
      <c r="Q2319" s="83" t="s">
        <v>925</v>
      </c>
      <c r="R2319" s="65" t="s">
        <v>36</v>
      </c>
      <c r="S2319" s="65" t="s">
        <v>29</v>
      </c>
      <c r="T2319" s="65" t="s">
        <v>30</v>
      </c>
      <c r="U2319" s="24" t="s">
        <v>31</v>
      </c>
      <c r="V2319" s="89" t="n">
        <v>43881</v>
      </c>
      <c r="W2319" s="18" t="s">
        <v>3683</v>
      </c>
      <c r="X2319" s="18"/>
    </row>
    <row r="2320" customFormat="false" ht="13.8" hidden="false" customHeight="false" outlineLevel="0" collapsed="false">
      <c r="A2320" s="18"/>
      <c r="B2320" s="62" t="n">
        <v>4155</v>
      </c>
      <c r="C2320" s="81" t="n">
        <v>43775</v>
      </c>
      <c r="D2320" s="115" t="s">
        <v>22</v>
      </c>
      <c r="E2320" s="65" t="s">
        <v>80</v>
      </c>
      <c r="F2320" s="82" t="s">
        <v>81</v>
      </c>
      <c r="G2320" s="65" t="s">
        <v>111</v>
      </c>
      <c r="H2320" s="112" t="s">
        <v>77</v>
      </c>
      <c r="I2320" s="112" t="s">
        <v>36</v>
      </c>
      <c r="J2320" s="83" t="n">
        <v>54.87</v>
      </c>
      <c r="K2320" s="84" t="n">
        <v>800000</v>
      </c>
      <c r="L2320" s="113" t="n">
        <f aca="false">K2320/J2320</f>
        <v>14579.9161654821</v>
      </c>
      <c r="M2320" s="114" t="s">
        <v>943</v>
      </c>
      <c r="N2320" s="93" t="n">
        <v>40000</v>
      </c>
      <c r="O2320" s="88" t="n">
        <v>840000</v>
      </c>
      <c r="P2320" s="88" t="n">
        <f aca="false">O2320/J2320</f>
        <v>15308.9119737562</v>
      </c>
      <c r="Q2320" s="83" t="s">
        <v>3684</v>
      </c>
      <c r="R2320" s="65" t="s">
        <v>36</v>
      </c>
      <c r="S2320" s="65" t="s">
        <v>29</v>
      </c>
      <c r="T2320" s="65" t="s">
        <v>30</v>
      </c>
      <c r="U2320" s="24" t="s">
        <v>31</v>
      </c>
      <c r="V2320" s="89" t="n">
        <v>43881</v>
      </c>
      <c r="W2320" s="18" t="s">
        <v>3685</v>
      </c>
      <c r="X2320" s="18"/>
    </row>
    <row r="2321" s="69" customFormat="true" ht="13.8" hidden="false" customHeight="false" outlineLevel="0" collapsed="false">
      <c r="A2321" s="61"/>
      <c r="B2321" s="62" t="n">
        <v>6022</v>
      </c>
      <c r="C2321" s="63" t="n">
        <v>43775</v>
      </c>
      <c r="D2321" s="64" t="s">
        <v>22</v>
      </c>
      <c r="E2321" s="65" t="s">
        <v>23</v>
      </c>
      <c r="F2321" s="18" t="s">
        <v>1881</v>
      </c>
      <c r="G2321" s="62" t="n">
        <v>73</v>
      </c>
      <c r="H2321" s="62" t="n">
        <v>77</v>
      </c>
      <c r="I2321" s="62" t="n">
        <v>10</v>
      </c>
      <c r="J2321" s="62" t="n">
        <v>36.7</v>
      </c>
      <c r="K2321" s="66" t="n">
        <v>367000</v>
      </c>
      <c r="L2321" s="66" t="n">
        <f aca="false">K2321/J2321</f>
        <v>10000</v>
      </c>
      <c r="M2321" s="18"/>
      <c r="N2321" s="66"/>
      <c r="O2321" s="66" t="n">
        <f aca="false">K2321+N2321</f>
        <v>367000</v>
      </c>
      <c r="P2321" s="66" t="n">
        <f aca="false">O2321/J2321</f>
        <v>10000</v>
      </c>
      <c r="Q2321" s="67" t="s">
        <v>861</v>
      </c>
      <c r="R2321" s="65"/>
      <c r="S2321" s="67" t="s">
        <v>29</v>
      </c>
      <c r="T2321" s="62" t="s">
        <v>30</v>
      </c>
      <c r="U2321" s="68" t="s">
        <v>31</v>
      </c>
      <c r="V2321" s="63" t="n">
        <v>43886</v>
      </c>
      <c r="W2321" s="18" t="s">
        <v>3686</v>
      </c>
      <c r="X2321" s="18"/>
    </row>
    <row r="2322" customFormat="false" ht="13.8" hidden="false" customHeight="false" outlineLevel="0" collapsed="false">
      <c r="A2322" s="18"/>
      <c r="B2322" s="65" t="s">
        <v>3687</v>
      </c>
      <c r="C2322" s="81" t="n">
        <v>43776</v>
      </c>
      <c r="D2322" s="64" t="s">
        <v>22</v>
      </c>
      <c r="E2322" s="65" t="s">
        <v>543</v>
      </c>
      <c r="F2322" s="91" t="s">
        <v>3688</v>
      </c>
      <c r="G2322" s="65" t="s">
        <v>27</v>
      </c>
      <c r="H2322" s="65" t="s">
        <v>657</v>
      </c>
      <c r="I2322" s="65" t="s">
        <v>25</v>
      </c>
      <c r="J2322" s="83" t="n">
        <v>53.05</v>
      </c>
      <c r="K2322" s="88" t="n">
        <v>463000</v>
      </c>
      <c r="L2322" s="85" t="n">
        <f aca="false">K2322/J2322</f>
        <v>8727.61545711593</v>
      </c>
      <c r="M2322" s="92"/>
      <c r="N2322" s="93"/>
      <c r="O2322" s="88" t="n">
        <v>463000</v>
      </c>
      <c r="P2322" s="85" t="n">
        <f aca="false">O2322/J2322</f>
        <v>8727.61545711593</v>
      </c>
      <c r="Q2322" s="94" t="s">
        <v>1340</v>
      </c>
      <c r="R2322" s="65" t="s">
        <v>26</v>
      </c>
      <c r="S2322" s="62" t="s">
        <v>29</v>
      </c>
      <c r="T2322" s="62" t="s">
        <v>30</v>
      </c>
      <c r="U2322" s="123" t="s">
        <v>31</v>
      </c>
      <c r="V2322" s="119" t="n">
        <v>43879</v>
      </c>
      <c r="W2322" s="18" t="s">
        <v>3689</v>
      </c>
      <c r="X2322" s="18"/>
      <c r="Y2322" s="116"/>
    </row>
    <row r="2323" customFormat="false" ht="13.8" hidden="false" customHeight="false" outlineLevel="0" collapsed="false">
      <c r="A2323" s="18"/>
      <c r="B2323" s="65" t="s">
        <v>3690</v>
      </c>
      <c r="C2323" s="81" t="n">
        <v>43776</v>
      </c>
      <c r="D2323" s="64" t="s">
        <v>22</v>
      </c>
      <c r="E2323" s="65" t="s">
        <v>175</v>
      </c>
      <c r="F2323" s="91" t="s">
        <v>176</v>
      </c>
      <c r="G2323" s="65" t="s">
        <v>636</v>
      </c>
      <c r="H2323" s="65" t="s">
        <v>181</v>
      </c>
      <c r="I2323" s="65" t="s">
        <v>36</v>
      </c>
      <c r="J2323" s="83" t="n">
        <v>47.45</v>
      </c>
      <c r="K2323" s="84" t="n">
        <v>532000</v>
      </c>
      <c r="L2323" s="85" t="n">
        <f aca="false">K2323/J2323</f>
        <v>11211.8018967334</v>
      </c>
      <c r="M2323" s="90"/>
      <c r="N2323" s="87"/>
      <c r="O2323" s="88" t="n">
        <v>532000</v>
      </c>
      <c r="P2323" s="88" t="n">
        <f aca="false">O2323/J2323</f>
        <v>11211.8018967334</v>
      </c>
      <c r="Q2323" s="65" t="s">
        <v>3000</v>
      </c>
      <c r="R2323" s="65" t="s">
        <v>36</v>
      </c>
      <c r="S2323" s="62" t="s">
        <v>29</v>
      </c>
      <c r="T2323" s="62" t="s">
        <v>30</v>
      </c>
      <c r="U2323" s="123" t="s">
        <v>31</v>
      </c>
      <c r="V2323" s="119" t="n">
        <v>43879</v>
      </c>
      <c r="W2323" s="23" t="s">
        <v>3691</v>
      </c>
      <c r="X2323" s="110"/>
    </row>
    <row r="2324" customFormat="false" ht="13.8" hidden="false" customHeight="false" outlineLevel="0" collapsed="false">
      <c r="A2324" s="18"/>
      <c r="B2324" s="65" t="s">
        <v>3692</v>
      </c>
      <c r="C2324" s="81" t="n">
        <v>43776</v>
      </c>
      <c r="D2324" s="115" t="s">
        <v>22</v>
      </c>
      <c r="E2324" s="65" t="s">
        <v>72</v>
      </c>
      <c r="F2324" s="91" t="s">
        <v>46</v>
      </c>
      <c r="G2324" s="65" t="s">
        <v>610</v>
      </c>
      <c r="H2324" s="65" t="s">
        <v>126</v>
      </c>
      <c r="I2324" s="65" t="s">
        <v>26</v>
      </c>
      <c r="J2324" s="83" t="n">
        <v>60.45</v>
      </c>
      <c r="K2324" s="84" t="n">
        <v>650000</v>
      </c>
      <c r="L2324" s="85" t="n">
        <f aca="false">K2324/J2324</f>
        <v>10752.688172043</v>
      </c>
      <c r="M2324" s="92"/>
      <c r="N2324" s="93"/>
      <c r="O2324" s="88" t="n">
        <v>650000</v>
      </c>
      <c r="P2324" s="85" t="n">
        <v>10752.688172043</v>
      </c>
      <c r="Q2324" s="94" t="s">
        <v>3693</v>
      </c>
      <c r="R2324" s="65" t="s">
        <v>36</v>
      </c>
      <c r="S2324" s="65" t="s">
        <v>29</v>
      </c>
      <c r="T2324" s="65" t="s">
        <v>30</v>
      </c>
      <c r="U2324" s="24" t="s">
        <v>31</v>
      </c>
      <c r="V2324" s="89" t="n">
        <v>43881</v>
      </c>
      <c r="W2324" s="18" t="s">
        <v>3694</v>
      </c>
      <c r="X2324" s="18"/>
      <c r="AMJ2324" s="134"/>
    </row>
    <row r="2325" customFormat="false" ht="13.8" hidden="false" customHeight="false" outlineLevel="0" collapsed="false">
      <c r="A2325" s="18"/>
      <c r="B2325" s="65" t="s">
        <v>3695</v>
      </c>
      <c r="C2325" s="81" t="n">
        <v>43776</v>
      </c>
      <c r="D2325" s="115" t="s">
        <v>22</v>
      </c>
      <c r="E2325" s="65" t="s">
        <v>350</v>
      </c>
      <c r="F2325" s="82" t="s">
        <v>323</v>
      </c>
      <c r="G2325" s="65" t="s">
        <v>715</v>
      </c>
      <c r="H2325" s="65" t="s">
        <v>111</v>
      </c>
      <c r="I2325" s="65" t="s">
        <v>26</v>
      </c>
      <c r="J2325" s="83" t="n">
        <v>76.48</v>
      </c>
      <c r="K2325" s="84" t="n">
        <v>815000</v>
      </c>
      <c r="L2325" s="85" t="n">
        <f aca="false">K2325/J2325</f>
        <v>10656.3807531381</v>
      </c>
      <c r="M2325" s="90" t="s">
        <v>3696</v>
      </c>
      <c r="N2325" s="87" t="n">
        <v>35000</v>
      </c>
      <c r="O2325" s="88" t="n">
        <v>850000</v>
      </c>
      <c r="P2325" s="88" t="n">
        <f aca="false">O2325/J2325</f>
        <v>11114.0167364017</v>
      </c>
      <c r="Q2325" s="83" t="s">
        <v>3697</v>
      </c>
      <c r="R2325" s="65" t="s">
        <v>26</v>
      </c>
      <c r="S2325" s="65" t="s">
        <v>29</v>
      </c>
      <c r="T2325" s="65" t="s">
        <v>30</v>
      </c>
      <c r="U2325" s="24" t="s">
        <v>31</v>
      </c>
      <c r="V2325" s="89" t="n">
        <v>43881</v>
      </c>
      <c r="W2325" s="18" t="s">
        <v>3698</v>
      </c>
      <c r="X2325" s="18"/>
    </row>
    <row r="2326" s="108" customFormat="true" ht="13.8" hidden="false" customHeight="false" outlineLevel="0" collapsed="false">
      <c r="A2326" s="95"/>
      <c r="B2326" s="122" t="n">
        <v>6802</v>
      </c>
      <c r="C2326" s="97" t="n">
        <v>43776</v>
      </c>
      <c r="D2326" s="98" t="s">
        <v>22</v>
      </c>
      <c r="E2326" s="96" t="s">
        <v>53</v>
      </c>
      <c r="F2326" s="99" t="s">
        <v>614</v>
      </c>
      <c r="G2326" s="96" t="s">
        <v>82</v>
      </c>
      <c r="H2326" s="126" t="s">
        <v>460</v>
      </c>
      <c r="I2326" s="126" t="s">
        <v>27</v>
      </c>
      <c r="J2326" s="100" t="n">
        <v>47.4</v>
      </c>
      <c r="K2326" s="101" t="n">
        <v>405000</v>
      </c>
      <c r="L2326" s="127" t="n">
        <f aca="false">K2326/J2326</f>
        <v>8544.30379746835</v>
      </c>
      <c r="M2326" s="128"/>
      <c r="N2326" s="129"/>
      <c r="O2326" s="105" t="n">
        <v>405000</v>
      </c>
      <c r="P2326" s="105" t="n">
        <v>8544.30379746835</v>
      </c>
      <c r="Q2326" s="100" t="s">
        <v>3699</v>
      </c>
      <c r="R2326" s="96" t="s">
        <v>36</v>
      </c>
      <c r="S2326" s="96" t="s">
        <v>29</v>
      </c>
      <c r="T2326" s="96" t="s">
        <v>30</v>
      </c>
      <c r="U2326" s="106" t="s">
        <v>31</v>
      </c>
      <c r="V2326" s="107" t="n">
        <v>43881</v>
      </c>
      <c r="W2326" s="95" t="s">
        <v>3700</v>
      </c>
      <c r="X2326" s="95"/>
    </row>
    <row r="2327" customFormat="false" ht="13.8" hidden="false" customHeight="false" outlineLevel="0" collapsed="false">
      <c r="A2327" s="18"/>
      <c r="B2327" s="65" t="s">
        <v>3701</v>
      </c>
      <c r="C2327" s="81" t="n">
        <v>43776</v>
      </c>
      <c r="D2327" s="115" t="s">
        <v>22</v>
      </c>
      <c r="E2327" s="65" t="s">
        <v>42</v>
      </c>
      <c r="F2327" s="91" t="s">
        <v>1028</v>
      </c>
      <c r="G2327" s="65" t="s">
        <v>146</v>
      </c>
      <c r="H2327" s="65" t="s">
        <v>36</v>
      </c>
      <c r="I2327" s="65" t="s">
        <v>27</v>
      </c>
      <c r="J2327" s="83" t="n">
        <v>35.74</v>
      </c>
      <c r="K2327" s="84" t="n">
        <v>357000</v>
      </c>
      <c r="L2327" s="85" t="n">
        <f aca="false">K2327/J2327</f>
        <v>9988.8080581981</v>
      </c>
      <c r="M2327" s="92"/>
      <c r="N2327" s="93"/>
      <c r="O2327" s="88" t="n">
        <v>357000</v>
      </c>
      <c r="P2327" s="85" t="n">
        <v>9988.8080581981</v>
      </c>
      <c r="Q2327" s="65" t="s">
        <v>3702</v>
      </c>
      <c r="R2327" s="65" t="s">
        <v>36</v>
      </c>
      <c r="S2327" s="65" t="s">
        <v>29</v>
      </c>
      <c r="T2327" s="65" t="s">
        <v>30</v>
      </c>
      <c r="U2327" s="24" t="s">
        <v>31</v>
      </c>
      <c r="V2327" s="89" t="n">
        <v>43881</v>
      </c>
      <c r="W2327" s="18" t="s">
        <v>3703</v>
      </c>
      <c r="X2327" s="18"/>
    </row>
    <row r="2328" customFormat="false" ht="13.8" hidden="false" customHeight="false" outlineLevel="0" collapsed="false">
      <c r="A2328" s="18"/>
      <c r="B2328" s="62" t="n">
        <v>815</v>
      </c>
      <c r="C2328" s="81" t="n">
        <v>43776</v>
      </c>
      <c r="D2328" s="115" t="s">
        <v>22</v>
      </c>
      <c r="E2328" s="65" t="s">
        <v>212</v>
      </c>
      <c r="F2328" s="82" t="s">
        <v>955</v>
      </c>
      <c r="G2328" s="65" t="s">
        <v>55</v>
      </c>
      <c r="H2328" s="112" t="s">
        <v>426</v>
      </c>
      <c r="I2328" s="112" t="s">
        <v>55</v>
      </c>
      <c r="J2328" s="83" t="n">
        <v>57.1</v>
      </c>
      <c r="K2328" s="84" t="n">
        <v>530000</v>
      </c>
      <c r="L2328" s="113" t="n">
        <f aca="false">K2328/J2328</f>
        <v>9281.96147110333</v>
      </c>
      <c r="M2328" s="114"/>
      <c r="N2328" s="93"/>
      <c r="O2328" s="88" t="n">
        <v>530000</v>
      </c>
      <c r="P2328" s="88" t="n">
        <v>9281.96147110333</v>
      </c>
      <c r="Q2328" s="83" t="s">
        <v>3704</v>
      </c>
      <c r="R2328" s="65" t="s">
        <v>26</v>
      </c>
      <c r="S2328" s="65" t="s">
        <v>29</v>
      </c>
      <c r="T2328" s="65" t="s">
        <v>30</v>
      </c>
      <c r="U2328" s="24" t="s">
        <v>31</v>
      </c>
      <c r="V2328" s="89" t="n">
        <v>43881</v>
      </c>
      <c r="W2328" s="18" t="s">
        <v>3705</v>
      </c>
      <c r="X2328" s="18"/>
    </row>
    <row r="2329" customFormat="false" ht="13.8" hidden="false" customHeight="false" outlineLevel="0" collapsed="false">
      <c r="A2329" s="18"/>
      <c r="B2329" s="65" t="s">
        <v>3706</v>
      </c>
      <c r="C2329" s="81" t="n">
        <v>43776</v>
      </c>
      <c r="D2329" s="115" t="s">
        <v>22</v>
      </c>
      <c r="E2329" s="65" t="s">
        <v>369</v>
      </c>
      <c r="F2329" s="82" t="s">
        <v>46</v>
      </c>
      <c r="G2329" s="65" t="s">
        <v>3707</v>
      </c>
      <c r="H2329" s="65" t="s">
        <v>193</v>
      </c>
      <c r="I2329" s="65" t="s">
        <v>36</v>
      </c>
      <c r="J2329" s="83" t="n">
        <v>53.34</v>
      </c>
      <c r="K2329" s="84" t="n">
        <v>520000</v>
      </c>
      <c r="L2329" s="85" t="n">
        <f aca="false">K2329/J2329</f>
        <v>9748.78140232471</v>
      </c>
      <c r="M2329" s="90"/>
      <c r="N2329" s="87"/>
      <c r="O2329" s="88" t="n">
        <v>520000</v>
      </c>
      <c r="P2329" s="88" t="n">
        <v>9748.78140232471</v>
      </c>
      <c r="Q2329" s="83" t="s">
        <v>3708</v>
      </c>
      <c r="R2329" s="65" t="s">
        <v>26</v>
      </c>
      <c r="S2329" s="65" t="s">
        <v>29</v>
      </c>
      <c r="T2329" s="65" t="s">
        <v>30</v>
      </c>
      <c r="U2329" s="24" t="s">
        <v>31</v>
      </c>
      <c r="V2329" s="89" t="n">
        <v>43881</v>
      </c>
      <c r="W2329" s="18" t="s">
        <v>3709</v>
      </c>
      <c r="X2329" s="18"/>
    </row>
    <row r="2330" customFormat="false" ht="13.8" hidden="false" customHeight="false" outlineLevel="0" collapsed="false">
      <c r="A2330" s="18"/>
      <c r="B2330" s="65" t="s">
        <v>3710</v>
      </c>
      <c r="C2330" s="81" t="n">
        <v>43776</v>
      </c>
      <c r="D2330" s="115" t="s">
        <v>22</v>
      </c>
      <c r="E2330" s="65" t="s">
        <v>190</v>
      </c>
      <c r="F2330" s="91" t="s">
        <v>108</v>
      </c>
      <c r="G2330" s="65" t="s">
        <v>570</v>
      </c>
      <c r="H2330" s="65" t="s">
        <v>126</v>
      </c>
      <c r="I2330" s="65" t="s">
        <v>49</v>
      </c>
      <c r="J2330" s="83" t="n">
        <v>47.67</v>
      </c>
      <c r="K2330" s="84" t="n">
        <v>478000</v>
      </c>
      <c r="L2330" s="85" t="n">
        <f aca="false">K2330/J2330</f>
        <v>10027.2708202224</v>
      </c>
      <c r="M2330" s="92"/>
      <c r="N2330" s="93"/>
      <c r="O2330" s="88" t="n">
        <v>478000</v>
      </c>
      <c r="P2330" s="85" t="n">
        <v>10027.2708202224</v>
      </c>
      <c r="Q2330" s="65" t="s">
        <v>3711</v>
      </c>
      <c r="R2330" s="65" t="s">
        <v>36</v>
      </c>
      <c r="S2330" s="65" t="s">
        <v>29</v>
      </c>
      <c r="T2330" s="65" t="s">
        <v>30</v>
      </c>
      <c r="U2330" s="24" t="s">
        <v>31</v>
      </c>
      <c r="V2330" s="89" t="n">
        <v>43881</v>
      </c>
      <c r="W2330" s="18" t="s">
        <v>3712</v>
      </c>
      <c r="X2330" s="18"/>
    </row>
    <row r="2331" customFormat="false" ht="13.8" hidden="false" customHeight="false" outlineLevel="0" collapsed="false">
      <c r="A2331" s="18"/>
      <c r="B2331" s="65" t="s">
        <v>3713</v>
      </c>
      <c r="C2331" s="81" t="n">
        <v>43776</v>
      </c>
      <c r="D2331" s="115" t="s">
        <v>22</v>
      </c>
      <c r="E2331" s="65" t="s">
        <v>61</v>
      </c>
      <c r="F2331" s="91" t="s">
        <v>46</v>
      </c>
      <c r="G2331" s="65" t="s">
        <v>596</v>
      </c>
      <c r="H2331" s="65" t="s">
        <v>88</v>
      </c>
      <c r="I2331" s="65" t="s">
        <v>101</v>
      </c>
      <c r="J2331" s="83" t="n">
        <v>30.97</v>
      </c>
      <c r="K2331" s="88" t="n">
        <v>355000</v>
      </c>
      <c r="L2331" s="85" t="n">
        <f aca="false">K2331/J2331</f>
        <v>11462.7058443655</v>
      </c>
      <c r="M2331" s="92"/>
      <c r="N2331" s="93"/>
      <c r="O2331" s="85" t="n">
        <v>355000</v>
      </c>
      <c r="P2331" s="85" t="n">
        <v>11462.7058443655</v>
      </c>
      <c r="Q2331" s="94" t="s">
        <v>3534</v>
      </c>
      <c r="R2331" s="65" t="s">
        <v>27</v>
      </c>
      <c r="S2331" s="65" t="s">
        <v>29</v>
      </c>
      <c r="T2331" s="65" t="s">
        <v>30</v>
      </c>
      <c r="U2331" s="24" t="s">
        <v>31</v>
      </c>
      <c r="V2331" s="89" t="n">
        <v>43881</v>
      </c>
      <c r="W2331" s="18" t="s">
        <v>3714</v>
      </c>
      <c r="X2331" s="18"/>
      <c r="Y2331" s="116"/>
    </row>
    <row r="2332" customFormat="false" ht="13.8" hidden="false" customHeight="false" outlineLevel="0" collapsed="false">
      <c r="A2332" s="18"/>
      <c r="B2332" s="65" t="s">
        <v>3715</v>
      </c>
      <c r="C2332" s="81" t="n">
        <v>43777</v>
      </c>
      <c r="D2332" s="64" t="s">
        <v>22</v>
      </c>
      <c r="E2332" s="65" t="s">
        <v>281</v>
      </c>
      <c r="F2332" s="91" t="s">
        <v>3423</v>
      </c>
      <c r="G2332" s="65" t="s">
        <v>300</v>
      </c>
      <c r="H2332" s="65" t="s">
        <v>3716</v>
      </c>
      <c r="I2332" s="65" t="s">
        <v>26</v>
      </c>
      <c r="J2332" s="83" t="n">
        <v>45.52</v>
      </c>
      <c r="K2332" s="88" t="n">
        <v>625000</v>
      </c>
      <c r="L2332" s="85" t="n">
        <f aca="false">K2332/J2332</f>
        <v>13730.2284710018</v>
      </c>
      <c r="M2332" s="92"/>
      <c r="N2332" s="93"/>
      <c r="O2332" s="85" t="n">
        <v>625000</v>
      </c>
      <c r="P2332" s="85" t="n">
        <f aca="false">O2332/J2332</f>
        <v>13730.2284710018</v>
      </c>
      <c r="Q2332" s="94" t="s">
        <v>2731</v>
      </c>
      <c r="R2332" s="65" t="s">
        <v>27</v>
      </c>
      <c r="S2332" s="62" t="s">
        <v>29</v>
      </c>
      <c r="T2332" s="62" t="s">
        <v>30</v>
      </c>
      <c r="U2332" s="123" t="s">
        <v>31</v>
      </c>
      <c r="V2332" s="119" t="n">
        <v>43879</v>
      </c>
      <c r="W2332" s="18" t="s">
        <v>3717</v>
      </c>
      <c r="X2332" s="18"/>
      <c r="Y2332" s="116"/>
    </row>
    <row r="2333" customFormat="false" ht="13.8" hidden="false" customHeight="false" outlineLevel="0" collapsed="false">
      <c r="A2333" s="18"/>
      <c r="B2333" s="65" t="s">
        <v>3718</v>
      </c>
      <c r="C2333" s="81" t="n">
        <v>43777</v>
      </c>
      <c r="D2333" s="115" t="s">
        <v>22</v>
      </c>
      <c r="E2333" s="65" t="s">
        <v>306</v>
      </c>
      <c r="F2333" s="91" t="s">
        <v>138</v>
      </c>
      <c r="G2333" s="65" t="s">
        <v>36</v>
      </c>
      <c r="H2333" s="65" t="s">
        <v>885</v>
      </c>
      <c r="I2333" s="65" t="s">
        <v>26</v>
      </c>
      <c r="J2333" s="83" t="n">
        <v>74.26</v>
      </c>
      <c r="K2333" s="88" t="n">
        <v>670000</v>
      </c>
      <c r="L2333" s="85" t="n">
        <f aca="false">K2333/J2333</f>
        <v>9022.35389173175</v>
      </c>
      <c r="M2333" s="92" t="s">
        <v>3719</v>
      </c>
      <c r="N2333" s="93" t="n">
        <v>30000</v>
      </c>
      <c r="O2333" s="88" t="n">
        <v>700000</v>
      </c>
      <c r="P2333" s="85" t="n">
        <f aca="false">O2333/J2333</f>
        <v>9426.33988688392</v>
      </c>
      <c r="Q2333" s="94" t="s">
        <v>3720</v>
      </c>
      <c r="R2333" s="65" t="s">
        <v>26</v>
      </c>
      <c r="S2333" s="65" t="s">
        <v>29</v>
      </c>
      <c r="T2333" s="65" t="s">
        <v>30</v>
      </c>
      <c r="U2333" s="24" t="s">
        <v>31</v>
      </c>
      <c r="V2333" s="89" t="n">
        <v>43881</v>
      </c>
      <c r="W2333" s="91" t="s">
        <v>3721</v>
      </c>
      <c r="X2333" s="18" t="s">
        <v>3516</v>
      </c>
    </row>
    <row r="2334" customFormat="false" ht="13.8" hidden="false" customHeight="false" outlineLevel="0" collapsed="false">
      <c r="A2334" s="18"/>
      <c r="B2334" s="62" t="n">
        <v>6785</v>
      </c>
      <c r="C2334" s="81" t="n">
        <v>43777</v>
      </c>
      <c r="D2334" s="115" t="s">
        <v>22</v>
      </c>
      <c r="E2334" s="65" t="s">
        <v>665</v>
      </c>
      <c r="F2334" s="82" t="s">
        <v>666</v>
      </c>
      <c r="G2334" s="65" t="s">
        <v>101</v>
      </c>
      <c r="H2334" s="112" t="s">
        <v>193</v>
      </c>
      <c r="I2334" s="112" t="s">
        <v>36</v>
      </c>
      <c r="J2334" s="83" t="n">
        <v>84.2</v>
      </c>
      <c r="K2334" s="84" t="n">
        <v>1290000</v>
      </c>
      <c r="L2334" s="113" t="n">
        <f aca="false">K2334/J2334</f>
        <v>15320.6650831354</v>
      </c>
      <c r="M2334" s="114" t="s">
        <v>3722</v>
      </c>
      <c r="N2334" s="93" t="n">
        <v>50000</v>
      </c>
      <c r="O2334" s="88" t="n">
        <v>1340000</v>
      </c>
      <c r="P2334" s="88" t="n">
        <f aca="false">O2334/J2334</f>
        <v>15914.4893111639</v>
      </c>
      <c r="Q2334" s="83" t="s">
        <v>3723</v>
      </c>
      <c r="R2334" s="65" t="s">
        <v>26</v>
      </c>
      <c r="S2334" s="65" t="s">
        <v>29</v>
      </c>
      <c r="T2334" s="65" t="s">
        <v>30</v>
      </c>
      <c r="U2334" s="24" t="s">
        <v>31</v>
      </c>
      <c r="V2334" s="89" t="n">
        <v>43881</v>
      </c>
      <c r="W2334" s="18" t="s">
        <v>3724</v>
      </c>
      <c r="X2334" s="18"/>
    </row>
    <row r="2335" customFormat="false" ht="13.8" hidden="false" customHeight="false" outlineLevel="0" collapsed="false">
      <c r="A2335" s="18"/>
      <c r="B2335" s="65" t="s">
        <v>3725</v>
      </c>
      <c r="C2335" s="81" t="n">
        <v>43777</v>
      </c>
      <c r="D2335" s="115" t="s">
        <v>22</v>
      </c>
      <c r="E2335" s="65" t="s">
        <v>399</v>
      </c>
      <c r="F2335" s="82" t="s">
        <v>503</v>
      </c>
      <c r="G2335" s="65" t="s">
        <v>49</v>
      </c>
      <c r="H2335" s="65" t="s">
        <v>246</v>
      </c>
      <c r="I2335" s="65" t="s">
        <v>112</v>
      </c>
      <c r="J2335" s="83" t="n">
        <v>64.98</v>
      </c>
      <c r="K2335" s="84" t="n">
        <v>790000</v>
      </c>
      <c r="L2335" s="85" t="n">
        <f aca="false">K2335/J2335</f>
        <v>12157.5869498307</v>
      </c>
      <c r="M2335" s="90" t="s">
        <v>3726</v>
      </c>
      <c r="N2335" s="87" t="n">
        <v>40000</v>
      </c>
      <c r="O2335" s="88" t="n">
        <v>830000</v>
      </c>
      <c r="P2335" s="88" t="n">
        <f aca="false">O2335/J2335</f>
        <v>12773.160972607</v>
      </c>
      <c r="Q2335" s="83" t="s">
        <v>3727</v>
      </c>
      <c r="R2335" s="65" t="s">
        <v>26</v>
      </c>
      <c r="S2335" s="65" t="s">
        <v>29</v>
      </c>
      <c r="T2335" s="65" t="s">
        <v>30</v>
      </c>
      <c r="U2335" s="24" t="s">
        <v>31</v>
      </c>
      <c r="V2335" s="89" t="n">
        <v>43881</v>
      </c>
      <c r="W2335" s="18" t="s">
        <v>3728</v>
      </c>
      <c r="X2335" s="18"/>
    </row>
    <row r="2336" customFormat="false" ht="13.8" hidden="false" customHeight="false" outlineLevel="0" collapsed="false">
      <c r="A2336" s="18"/>
      <c r="B2336" s="62" t="n">
        <v>13778</v>
      </c>
      <c r="C2336" s="81" t="n">
        <v>43777</v>
      </c>
      <c r="D2336" s="115" t="s">
        <v>22</v>
      </c>
      <c r="E2336" s="65" t="s">
        <v>962</v>
      </c>
      <c r="F2336" s="82" t="s">
        <v>963</v>
      </c>
      <c r="G2336" s="65" t="s">
        <v>26</v>
      </c>
      <c r="H2336" s="112" t="s">
        <v>635</v>
      </c>
      <c r="I2336" s="112" t="s">
        <v>26</v>
      </c>
      <c r="J2336" s="83" t="n">
        <v>62.8</v>
      </c>
      <c r="K2336" s="84" t="n">
        <v>900000</v>
      </c>
      <c r="L2336" s="113" t="n">
        <f aca="false">K2336/J2336</f>
        <v>14331.2101910828</v>
      </c>
      <c r="M2336" s="114" t="s">
        <v>3729</v>
      </c>
      <c r="N2336" s="93"/>
      <c r="O2336" s="88" t="n">
        <v>900000</v>
      </c>
      <c r="P2336" s="88" t="n">
        <v>14331.2101910828</v>
      </c>
      <c r="Q2336" s="83" t="s">
        <v>3730</v>
      </c>
      <c r="R2336" s="65" t="s">
        <v>26</v>
      </c>
      <c r="S2336" s="65" t="s">
        <v>29</v>
      </c>
      <c r="T2336" s="65" t="s">
        <v>30</v>
      </c>
      <c r="U2336" s="24" t="s">
        <v>31</v>
      </c>
      <c r="V2336" s="89" t="n">
        <v>43881</v>
      </c>
      <c r="W2336" s="18" t="s">
        <v>3731</v>
      </c>
      <c r="X2336" s="18"/>
    </row>
    <row r="2337" customFormat="false" ht="13.8" hidden="false" customHeight="false" outlineLevel="0" collapsed="false">
      <c r="A2337" s="18"/>
      <c r="B2337" s="65" t="s">
        <v>3732</v>
      </c>
      <c r="C2337" s="81" t="n">
        <v>43777</v>
      </c>
      <c r="D2337" s="115" t="s">
        <v>22</v>
      </c>
      <c r="E2337" s="65" t="s">
        <v>322</v>
      </c>
      <c r="F2337" s="91" t="s">
        <v>323</v>
      </c>
      <c r="G2337" s="65" t="s">
        <v>384</v>
      </c>
      <c r="H2337" s="65" t="s">
        <v>377</v>
      </c>
      <c r="I2337" s="65" t="s">
        <v>49</v>
      </c>
      <c r="J2337" s="83" t="n">
        <v>32.01</v>
      </c>
      <c r="K2337" s="88" t="n">
        <v>455000</v>
      </c>
      <c r="L2337" s="85" t="n">
        <f aca="false">K2337/J2337</f>
        <v>14214.308028741</v>
      </c>
      <c r="M2337" s="92" t="s">
        <v>3733</v>
      </c>
      <c r="N2337" s="93"/>
      <c r="O2337" s="88" t="n">
        <v>455000</v>
      </c>
      <c r="P2337" s="85" t="n">
        <v>14214.308028741</v>
      </c>
      <c r="Q2337" s="94" t="s">
        <v>3734</v>
      </c>
      <c r="R2337" s="65" t="s">
        <v>27</v>
      </c>
      <c r="S2337" s="65" t="s">
        <v>29</v>
      </c>
      <c r="T2337" s="65" t="s">
        <v>30</v>
      </c>
      <c r="U2337" s="24" t="s">
        <v>31</v>
      </c>
      <c r="V2337" s="89" t="n">
        <v>43881</v>
      </c>
      <c r="W2337" s="18" t="s">
        <v>3735</v>
      </c>
      <c r="X2337" s="18"/>
      <c r="Y2337" s="116"/>
    </row>
    <row r="2338" customFormat="false" ht="13.8" hidden="false" customHeight="false" outlineLevel="0" collapsed="false">
      <c r="A2338" s="18"/>
      <c r="B2338" s="65" t="s">
        <v>3736</v>
      </c>
      <c r="C2338" s="81" t="n">
        <v>43777</v>
      </c>
      <c r="D2338" s="115" t="s">
        <v>22</v>
      </c>
      <c r="E2338" s="65" t="s">
        <v>281</v>
      </c>
      <c r="F2338" s="91" t="s">
        <v>404</v>
      </c>
      <c r="G2338" s="65" t="s">
        <v>3737</v>
      </c>
      <c r="H2338" s="65" t="s">
        <v>57</v>
      </c>
      <c r="I2338" s="65" t="s">
        <v>57</v>
      </c>
      <c r="J2338" s="83" t="n">
        <v>102.32</v>
      </c>
      <c r="K2338" s="88" t="n">
        <v>1543300</v>
      </c>
      <c r="L2338" s="85" t="n">
        <f aca="false">K2338/J2338</f>
        <v>15083.0727130571</v>
      </c>
      <c r="M2338" s="92" t="s">
        <v>943</v>
      </c>
      <c r="N2338" s="93" t="n">
        <v>30000</v>
      </c>
      <c r="O2338" s="88" t="n">
        <v>1573300</v>
      </c>
      <c r="P2338" s="85" t="n">
        <f aca="false">O2338/J2338</f>
        <v>15376.2705238468</v>
      </c>
      <c r="Q2338" s="94" t="s">
        <v>3738</v>
      </c>
      <c r="R2338" s="65" t="s">
        <v>26</v>
      </c>
      <c r="S2338" s="65" t="s">
        <v>29</v>
      </c>
      <c r="T2338" s="65" t="s">
        <v>30</v>
      </c>
      <c r="U2338" s="24" t="s">
        <v>31</v>
      </c>
      <c r="V2338" s="89" t="n">
        <v>43881</v>
      </c>
      <c r="W2338" s="18" t="s">
        <v>3739</v>
      </c>
      <c r="X2338" s="18"/>
      <c r="Y2338" s="116"/>
    </row>
    <row r="2339" s="108" customFormat="true" ht="13.8" hidden="false" customHeight="false" outlineLevel="0" collapsed="false">
      <c r="A2339" s="95"/>
      <c r="B2339" s="122" t="n">
        <v>3182</v>
      </c>
      <c r="C2339" s="97" t="n">
        <v>43777</v>
      </c>
      <c r="D2339" s="98" t="s">
        <v>22</v>
      </c>
      <c r="E2339" s="96" t="s">
        <v>140</v>
      </c>
      <c r="F2339" s="99" t="s">
        <v>273</v>
      </c>
      <c r="G2339" s="96" t="s">
        <v>570</v>
      </c>
      <c r="H2339" s="126" t="s">
        <v>26</v>
      </c>
      <c r="I2339" s="126" t="s">
        <v>27</v>
      </c>
      <c r="J2339" s="100" t="n">
        <v>57.71</v>
      </c>
      <c r="K2339" s="101" t="n">
        <v>100000</v>
      </c>
      <c r="L2339" s="127" t="n">
        <f aca="false">K2339/J2339</f>
        <v>1732.80194073817</v>
      </c>
      <c r="M2339" s="128"/>
      <c r="N2339" s="129"/>
      <c r="O2339" s="105" t="n">
        <v>100000</v>
      </c>
      <c r="P2339" s="105" t="n">
        <v>1732.80194073817</v>
      </c>
      <c r="Q2339" s="100" t="s">
        <v>3740</v>
      </c>
      <c r="R2339" s="96" t="s">
        <v>26</v>
      </c>
      <c r="S2339" s="96" t="s">
        <v>29</v>
      </c>
      <c r="T2339" s="96" t="s">
        <v>30</v>
      </c>
      <c r="U2339" s="106" t="s">
        <v>31</v>
      </c>
      <c r="V2339" s="107" t="n">
        <v>43881</v>
      </c>
      <c r="W2339" s="95" t="s">
        <v>3741</v>
      </c>
      <c r="X2339" s="95"/>
    </row>
    <row r="2340" customFormat="false" ht="13.8" hidden="false" customHeight="false" outlineLevel="0" collapsed="false">
      <c r="A2340" s="18"/>
      <c r="B2340" s="62" t="n">
        <v>8488</v>
      </c>
      <c r="C2340" s="81" t="n">
        <v>43777</v>
      </c>
      <c r="D2340" s="64" t="s">
        <v>22</v>
      </c>
      <c r="E2340" s="65" t="s">
        <v>522</v>
      </c>
      <c r="F2340" s="18" t="s">
        <v>523</v>
      </c>
      <c r="G2340" s="62" t="n">
        <v>9</v>
      </c>
      <c r="H2340" s="62" t="n">
        <v>85</v>
      </c>
      <c r="I2340" s="62" t="n">
        <v>8</v>
      </c>
      <c r="J2340" s="83" t="n">
        <v>100.3</v>
      </c>
      <c r="K2340" s="84" t="n">
        <v>1675000</v>
      </c>
      <c r="L2340" s="113" t="n">
        <f aca="false">K2340/J2340</f>
        <v>16699.9002991027</v>
      </c>
      <c r="M2340" s="114" t="s">
        <v>3742</v>
      </c>
      <c r="N2340" s="93" t="n">
        <v>90000</v>
      </c>
      <c r="O2340" s="88" t="n">
        <v>1765000</v>
      </c>
      <c r="P2340" s="88" t="n">
        <f aca="false">O2340/J2340</f>
        <v>17597.2083748754</v>
      </c>
      <c r="Q2340" s="83" t="s">
        <v>3743</v>
      </c>
      <c r="R2340" s="65" t="s">
        <v>26</v>
      </c>
      <c r="S2340" s="65" t="s">
        <v>29</v>
      </c>
      <c r="T2340" s="65" t="s">
        <v>30</v>
      </c>
      <c r="U2340" s="24" t="s">
        <v>31</v>
      </c>
      <c r="V2340" s="89" t="n">
        <v>43881</v>
      </c>
      <c r="W2340" s="18" t="s">
        <v>3744</v>
      </c>
      <c r="X2340" s="18"/>
    </row>
    <row r="2341" customFormat="false" ht="13.8" hidden="false" customHeight="false" outlineLevel="0" collapsed="false">
      <c r="A2341" s="18"/>
      <c r="B2341" s="62" t="n">
        <v>4673</v>
      </c>
      <c r="C2341" s="81" t="n">
        <v>43777</v>
      </c>
      <c r="D2341" s="115" t="s">
        <v>22</v>
      </c>
      <c r="E2341" s="65" t="s">
        <v>407</v>
      </c>
      <c r="F2341" s="82" t="s">
        <v>230</v>
      </c>
      <c r="G2341" s="65" t="s">
        <v>193</v>
      </c>
      <c r="H2341" s="112" t="s">
        <v>3465</v>
      </c>
      <c r="I2341" s="112" t="s">
        <v>82</v>
      </c>
      <c r="J2341" s="83" t="n">
        <v>86.07</v>
      </c>
      <c r="K2341" s="84" t="n">
        <v>710000</v>
      </c>
      <c r="L2341" s="113" t="n">
        <f aca="false">K2341/J2341</f>
        <v>8249.09957011735</v>
      </c>
      <c r="M2341" s="114" t="s">
        <v>3745</v>
      </c>
      <c r="N2341" s="93"/>
      <c r="O2341" s="88" t="n">
        <v>710000</v>
      </c>
      <c r="P2341" s="88" t="n">
        <v>8249.09957011735</v>
      </c>
      <c r="Q2341" s="83" t="s">
        <v>3746</v>
      </c>
      <c r="R2341" s="65" t="s">
        <v>26</v>
      </c>
      <c r="S2341" s="65" t="s">
        <v>29</v>
      </c>
      <c r="T2341" s="65" t="s">
        <v>30</v>
      </c>
      <c r="U2341" s="24" t="s">
        <v>31</v>
      </c>
      <c r="V2341" s="89" t="n">
        <v>43881</v>
      </c>
      <c r="W2341" s="18" t="s">
        <v>3747</v>
      </c>
      <c r="X2341" s="18"/>
    </row>
    <row r="2342" customFormat="false" ht="13.8" hidden="false" customHeight="false" outlineLevel="0" collapsed="false">
      <c r="A2342" s="18"/>
      <c r="B2342" s="62" t="n">
        <v>892</v>
      </c>
      <c r="C2342" s="81" t="n">
        <v>43777</v>
      </c>
      <c r="D2342" s="115" t="s">
        <v>22</v>
      </c>
      <c r="E2342" s="65" t="s">
        <v>190</v>
      </c>
      <c r="F2342" s="82" t="s">
        <v>191</v>
      </c>
      <c r="G2342" s="65" t="s">
        <v>126</v>
      </c>
      <c r="H2342" s="112" t="s">
        <v>115</v>
      </c>
      <c r="I2342" s="112" t="s">
        <v>27</v>
      </c>
      <c r="J2342" s="83" t="n">
        <v>33.8</v>
      </c>
      <c r="K2342" s="84" t="n">
        <v>301000</v>
      </c>
      <c r="L2342" s="113" t="n">
        <f aca="false">K2342/J2342</f>
        <v>8905.32544378698</v>
      </c>
      <c r="M2342" s="114"/>
      <c r="N2342" s="93"/>
      <c r="O2342" s="88" t="n">
        <v>301000</v>
      </c>
      <c r="P2342" s="88" t="n">
        <v>8905.32544378698</v>
      </c>
      <c r="Q2342" s="83" t="s">
        <v>3748</v>
      </c>
      <c r="R2342" s="65" t="s">
        <v>27</v>
      </c>
      <c r="S2342" s="65" t="s">
        <v>29</v>
      </c>
      <c r="T2342" s="65" t="s">
        <v>30</v>
      </c>
      <c r="U2342" s="24" t="s">
        <v>31</v>
      </c>
      <c r="V2342" s="89" t="n">
        <v>43881</v>
      </c>
      <c r="W2342" s="18" t="s">
        <v>3749</v>
      </c>
      <c r="X2342" s="18"/>
    </row>
    <row r="2343" customFormat="false" ht="13.8" hidden="false" customHeight="false" outlineLevel="0" collapsed="false">
      <c r="A2343" s="18"/>
      <c r="B2343" s="65" t="s">
        <v>3750</v>
      </c>
      <c r="C2343" s="81" t="n">
        <v>43777</v>
      </c>
      <c r="D2343" s="115" t="s">
        <v>22</v>
      </c>
      <c r="E2343" s="65" t="s">
        <v>543</v>
      </c>
      <c r="F2343" s="82" t="s">
        <v>351</v>
      </c>
      <c r="G2343" s="65" t="s">
        <v>200</v>
      </c>
      <c r="H2343" s="65" t="s">
        <v>618</v>
      </c>
      <c r="I2343" s="65" t="s">
        <v>36</v>
      </c>
      <c r="J2343" s="83" t="n">
        <v>48.9</v>
      </c>
      <c r="K2343" s="84" t="n">
        <v>480000</v>
      </c>
      <c r="L2343" s="85" t="n">
        <f aca="false">K2343/J2343</f>
        <v>9815.9509202454</v>
      </c>
      <c r="M2343" s="86"/>
      <c r="N2343" s="87"/>
      <c r="O2343" s="88" t="n">
        <v>480000</v>
      </c>
      <c r="P2343" s="88" t="n">
        <v>9815.9509202454</v>
      </c>
      <c r="Q2343" s="83" t="s">
        <v>3751</v>
      </c>
      <c r="R2343" s="65" t="s">
        <v>36</v>
      </c>
      <c r="S2343" s="65" t="s">
        <v>29</v>
      </c>
      <c r="T2343" s="65" t="s">
        <v>30</v>
      </c>
      <c r="U2343" s="24" t="s">
        <v>31</v>
      </c>
      <c r="V2343" s="89" t="n">
        <v>43881</v>
      </c>
      <c r="W2343" s="18" t="s">
        <v>3752</v>
      </c>
      <c r="X2343" s="18"/>
      <c r="AMJ2343" s="134"/>
    </row>
    <row r="2344" customFormat="false" ht="13.8" hidden="false" customHeight="false" outlineLevel="0" collapsed="false">
      <c r="A2344" s="18"/>
      <c r="B2344" s="65" t="s">
        <v>3753</v>
      </c>
      <c r="C2344" s="81" t="n">
        <v>43781</v>
      </c>
      <c r="D2344" s="115" t="s">
        <v>22</v>
      </c>
      <c r="E2344" s="65" t="s">
        <v>37</v>
      </c>
      <c r="F2344" s="82" t="s">
        <v>152</v>
      </c>
      <c r="G2344" s="65" t="s">
        <v>286</v>
      </c>
      <c r="H2344" s="65" t="s">
        <v>26</v>
      </c>
      <c r="I2344" s="65" t="s">
        <v>36</v>
      </c>
      <c r="J2344" s="83" t="n">
        <v>47.5</v>
      </c>
      <c r="K2344" s="84" t="n">
        <v>585000</v>
      </c>
      <c r="L2344" s="85" t="n">
        <f aca="false">K2344/J2344</f>
        <v>12315.7894736842</v>
      </c>
      <c r="M2344" s="90"/>
      <c r="N2344" s="87"/>
      <c r="O2344" s="88" t="n">
        <v>585000</v>
      </c>
      <c r="P2344" s="88" t="n">
        <v>12315.7894736842</v>
      </c>
      <c r="Q2344" s="83" t="s">
        <v>948</v>
      </c>
      <c r="R2344" s="65" t="s">
        <v>26</v>
      </c>
      <c r="S2344" s="65" t="s">
        <v>29</v>
      </c>
      <c r="T2344" s="65" t="s">
        <v>30</v>
      </c>
      <c r="U2344" s="24" t="s">
        <v>31</v>
      </c>
      <c r="V2344" s="89" t="n">
        <v>43881</v>
      </c>
      <c r="W2344" s="18" t="s">
        <v>3754</v>
      </c>
      <c r="X2344" s="18"/>
    </row>
    <row r="2345" customFormat="false" ht="13.8" hidden="false" customHeight="false" outlineLevel="0" collapsed="false">
      <c r="A2345" s="18"/>
      <c r="B2345" s="65" t="s">
        <v>3755</v>
      </c>
      <c r="C2345" s="81" t="n">
        <v>43781</v>
      </c>
      <c r="D2345" s="115" t="s">
        <v>22</v>
      </c>
      <c r="E2345" s="65" t="s">
        <v>187</v>
      </c>
      <c r="F2345" s="82" t="s">
        <v>429</v>
      </c>
      <c r="G2345" s="65" t="s">
        <v>115</v>
      </c>
      <c r="H2345" s="65" t="s">
        <v>730</v>
      </c>
      <c r="I2345" s="65" t="s">
        <v>49</v>
      </c>
      <c r="J2345" s="83" t="n">
        <v>37.2</v>
      </c>
      <c r="K2345" s="84" t="n">
        <v>450000</v>
      </c>
      <c r="L2345" s="85" t="n">
        <f aca="false">K2345/J2345</f>
        <v>12096.7741935484</v>
      </c>
      <c r="M2345" s="90"/>
      <c r="N2345" s="87"/>
      <c r="O2345" s="88" t="n">
        <v>450000</v>
      </c>
      <c r="P2345" s="88" t="n">
        <v>12096.7741935484</v>
      </c>
      <c r="Q2345" s="83" t="s">
        <v>3756</v>
      </c>
      <c r="R2345" s="65" t="s">
        <v>27</v>
      </c>
      <c r="S2345" s="65" t="s">
        <v>29</v>
      </c>
      <c r="T2345" s="65" t="s">
        <v>30</v>
      </c>
      <c r="U2345" s="24" t="s">
        <v>31</v>
      </c>
      <c r="V2345" s="89" t="n">
        <v>43881</v>
      </c>
      <c r="W2345" s="18" t="s">
        <v>3757</v>
      </c>
      <c r="X2345" s="18"/>
    </row>
    <row r="2346" customFormat="false" ht="13.8" hidden="false" customHeight="false" outlineLevel="0" collapsed="false">
      <c r="A2346" s="18"/>
      <c r="B2346" s="65" t="s">
        <v>3758</v>
      </c>
      <c r="C2346" s="81" t="n">
        <v>43781</v>
      </c>
      <c r="D2346" s="115" t="s">
        <v>22</v>
      </c>
      <c r="E2346" s="65" t="s">
        <v>140</v>
      </c>
      <c r="F2346" s="82" t="s">
        <v>138</v>
      </c>
      <c r="G2346" s="65" t="s">
        <v>417</v>
      </c>
      <c r="H2346" s="65" t="s">
        <v>821</v>
      </c>
      <c r="I2346" s="65" t="s">
        <v>26</v>
      </c>
      <c r="J2346" s="83" t="n">
        <v>159.4</v>
      </c>
      <c r="K2346" s="84" t="n">
        <v>1530000</v>
      </c>
      <c r="L2346" s="85" t="n">
        <f aca="false">K2346/J2346</f>
        <v>9598.49435382685</v>
      </c>
      <c r="M2346" s="90" t="s">
        <v>3759</v>
      </c>
      <c r="N2346" s="87"/>
      <c r="O2346" s="88" t="n">
        <v>1530000</v>
      </c>
      <c r="P2346" s="88" t="n">
        <v>9598.49435382685</v>
      </c>
      <c r="Q2346" s="83" t="s">
        <v>3760</v>
      </c>
      <c r="R2346" s="65" t="s">
        <v>49</v>
      </c>
      <c r="S2346" s="65" t="s">
        <v>29</v>
      </c>
      <c r="T2346" s="65" t="s">
        <v>30</v>
      </c>
      <c r="U2346" s="24" t="s">
        <v>31</v>
      </c>
      <c r="V2346" s="89" t="n">
        <v>43881</v>
      </c>
      <c r="W2346" s="18" t="s">
        <v>3761</v>
      </c>
      <c r="X2346" s="18"/>
    </row>
    <row r="2347" customFormat="false" ht="13.8" hidden="false" customHeight="false" outlineLevel="0" collapsed="false">
      <c r="A2347" s="18"/>
      <c r="B2347" s="65" t="s">
        <v>3762</v>
      </c>
      <c r="C2347" s="81" t="n">
        <v>43781</v>
      </c>
      <c r="D2347" s="115" t="s">
        <v>22</v>
      </c>
      <c r="E2347" s="65" t="s">
        <v>190</v>
      </c>
      <c r="F2347" s="82" t="s">
        <v>38</v>
      </c>
      <c r="G2347" s="65" t="s">
        <v>836</v>
      </c>
      <c r="H2347" s="65" t="s">
        <v>47</v>
      </c>
      <c r="I2347" s="65" t="s">
        <v>49</v>
      </c>
      <c r="J2347" s="83" t="n">
        <v>36.4</v>
      </c>
      <c r="K2347" s="84" t="n">
        <v>0</v>
      </c>
      <c r="L2347" s="85" t="n">
        <f aca="false">K2347/J2347</f>
        <v>0</v>
      </c>
      <c r="M2347" s="90"/>
      <c r="N2347" s="87"/>
      <c r="O2347" s="88" t="n">
        <v>0</v>
      </c>
      <c r="P2347" s="88" t="n">
        <v>0</v>
      </c>
      <c r="Q2347" s="19" t="s">
        <v>2401</v>
      </c>
      <c r="R2347" s="65" t="s">
        <v>36</v>
      </c>
      <c r="S2347" s="65" t="s">
        <v>29</v>
      </c>
      <c r="T2347" s="65" t="s">
        <v>30</v>
      </c>
      <c r="U2347" s="24" t="s">
        <v>31</v>
      </c>
      <c r="V2347" s="89" t="n">
        <v>43881</v>
      </c>
      <c r="W2347" s="18" t="s">
        <v>2402</v>
      </c>
      <c r="X2347" s="18" t="s">
        <v>3671</v>
      </c>
    </row>
    <row r="2348" s="69" customFormat="true" ht="13.8" hidden="false" customHeight="false" outlineLevel="0" collapsed="false">
      <c r="A2348" s="61"/>
      <c r="B2348" s="62" t="n">
        <v>12393</v>
      </c>
      <c r="C2348" s="63" t="n">
        <v>43781</v>
      </c>
      <c r="D2348" s="64" t="s">
        <v>22</v>
      </c>
      <c r="E2348" s="65" t="s">
        <v>37</v>
      </c>
      <c r="F2348" s="18" t="s">
        <v>108</v>
      </c>
      <c r="G2348" s="62" t="n">
        <v>24</v>
      </c>
      <c r="H2348" s="62" t="n">
        <v>53</v>
      </c>
      <c r="I2348" s="62" t="n">
        <v>4</v>
      </c>
      <c r="J2348" s="62" t="n">
        <v>30.7</v>
      </c>
      <c r="K2348" s="66" t="n">
        <v>365000</v>
      </c>
      <c r="L2348" s="66" t="n">
        <f aca="false">K2348/J2348</f>
        <v>11889.2508143322</v>
      </c>
      <c r="M2348" s="18"/>
      <c r="N2348" s="66"/>
      <c r="O2348" s="66" t="n">
        <f aca="false">K2348+N2348</f>
        <v>365000</v>
      </c>
      <c r="P2348" s="66" t="n">
        <f aca="false">O2348/J2348</f>
        <v>11889.2508143322</v>
      </c>
      <c r="Q2348" s="67" t="s">
        <v>1181</v>
      </c>
      <c r="R2348" s="65"/>
      <c r="S2348" s="67" t="s">
        <v>29</v>
      </c>
      <c r="T2348" s="62" t="s">
        <v>30</v>
      </c>
      <c r="U2348" s="68" t="s">
        <v>31</v>
      </c>
      <c r="V2348" s="63" t="n">
        <v>43886</v>
      </c>
      <c r="W2348" s="18" t="s">
        <v>3763</v>
      </c>
      <c r="X2348" s="18"/>
    </row>
    <row r="2349" customFormat="false" ht="13.8" hidden="false" customHeight="false" outlineLevel="0" collapsed="false">
      <c r="A2349" s="18"/>
      <c r="B2349" s="18" t="n">
        <v>4489</v>
      </c>
      <c r="C2349" s="81" t="n">
        <v>43782</v>
      </c>
      <c r="D2349" s="64" t="s">
        <v>22</v>
      </c>
      <c r="E2349" s="65" t="s">
        <v>3085</v>
      </c>
      <c r="F2349" s="82" t="s">
        <v>3086</v>
      </c>
      <c r="G2349" s="65" t="s">
        <v>101</v>
      </c>
      <c r="H2349" s="65" t="s">
        <v>74</v>
      </c>
      <c r="I2349" s="65" t="s">
        <v>25</v>
      </c>
      <c r="J2349" s="83" t="n">
        <v>54.07</v>
      </c>
      <c r="K2349" s="84" t="n">
        <v>612000</v>
      </c>
      <c r="L2349" s="85" t="n">
        <f aca="false">K2349/J2349</f>
        <v>11318.6609950065</v>
      </c>
      <c r="M2349" s="90" t="s">
        <v>3764</v>
      </c>
      <c r="N2349" s="87" t="n">
        <v>28000</v>
      </c>
      <c r="O2349" s="88" t="n">
        <v>640000</v>
      </c>
      <c r="P2349" s="88" t="n">
        <f aca="false">O2349/J2349</f>
        <v>11836.5082300721</v>
      </c>
      <c r="Q2349" s="83" t="s">
        <v>3765</v>
      </c>
      <c r="R2349" s="65" t="s">
        <v>36</v>
      </c>
      <c r="S2349" s="65" t="s">
        <v>29</v>
      </c>
      <c r="T2349" s="65" t="s">
        <v>30</v>
      </c>
      <c r="U2349" s="24" t="s">
        <v>31</v>
      </c>
      <c r="V2349" s="89" t="n">
        <v>43881</v>
      </c>
      <c r="W2349" s="18" t="s">
        <v>3766</v>
      </c>
      <c r="X2349" s="18"/>
    </row>
    <row r="2350" customFormat="false" ht="13.8" hidden="false" customHeight="false" outlineLevel="0" collapsed="false">
      <c r="A2350" s="18"/>
      <c r="B2350" s="62" t="n">
        <v>3046</v>
      </c>
      <c r="C2350" s="81" t="n">
        <v>43782</v>
      </c>
      <c r="D2350" s="115" t="s">
        <v>22</v>
      </c>
      <c r="E2350" s="65" t="s">
        <v>354</v>
      </c>
      <c r="F2350" s="82" t="s">
        <v>565</v>
      </c>
      <c r="G2350" s="65" t="s">
        <v>111</v>
      </c>
      <c r="H2350" s="112" t="s">
        <v>36</v>
      </c>
      <c r="I2350" s="112" t="s">
        <v>36</v>
      </c>
      <c r="J2350" s="83" t="n">
        <v>48.8</v>
      </c>
      <c r="K2350" s="84" t="n">
        <v>500000</v>
      </c>
      <c r="L2350" s="113" t="n">
        <f aca="false">K2350/J2350</f>
        <v>10245.9016393443</v>
      </c>
      <c r="M2350" s="114"/>
      <c r="N2350" s="93"/>
      <c r="O2350" s="88" t="n">
        <v>500000</v>
      </c>
      <c r="P2350" s="88" t="n">
        <v>10245.9016393443</v>
      </c>
      <c r="Q2350" s="83" t="s">
        <v>925</v>
      </c>
      <c r="R2350" s="65" t="s">
        <v>36</v>
      </c>
      <c r="S2350" s="65" t="s">
        <v>29</v>
      </c>
      <c r="T2350" s="65" t="s">
        <v>30</v>
      </c>
      <c r="U2350" s="24" t="s">
        <v>31</v>
      </c>
      <c r="V2350" s="89" t="n">
        <v>43881</v>
      </c>
      <c r="W2350" s="18" t="s">
        <v>3767</v>
      </c>
      <c r="X2350" s="18"/>
      <c r="AMJ2350" s="134"/>
    </row>
    <row r="2351" customFormat="false" ht="13.8" hidden="false" customHeight="false" outlineLevel="0" collapsed="false">
      <c r="A2351" s="18"/>
      <c r="B2351" s="62" t="n">
        <v>8744</v>
      </c>
      <c r="C2351" s="81" t="n">
        <v>43782</v>
      </c>
      <c r="D2351" s="115" t="s">
        <v>22</v>
      </c>
      <c r="E2351" s="65" t="s">
        <v>129</v>
      </c>
      <c r="F2351" s="82" t="s">
        <v>130</v>
      </c>
      <c r="G2351" s="65" t="s">
        <v>49</v>
      </c>
      <c r="H2351" s="112" t="s">
        <v>3768</v>
      </c>
      <c r="I2351" s="112" t="s">
        <v>200</v>
      </c>
      <c r="J2351" s="83" t="n">
        <v>61.11</v>
      </c>
      <c r="K2351" s="84" t="n">
        <v>565000</v>
      </c>
      <c r="L2351" s="113" t="n">
        <f aca="false">K2351/J2351</f>
        <v>9245.6226476845</v>
      </c>
      <c r="M2351" s="114" t="s">
        <v>3769</v>
      </c>
      <c r="N2351" s="93" t="n">
        <v>0</v>
      </c>
      <c r="O2351" s="88" t="n">
        <v>565000</v>
      </c>
      <c r="P2351" s="88" t="n">
        <v>9245.6226476845</v>
      </c>
      <c r="Q2351" s="83" t="s">
        <v>3770</v>
      </c>
      <c r="R2351" s="65" t="s">
        <v>36</v>
      </c>
      <c r="S2351" s="65" t="s">
        <v>29</v>
      </c>
      <c r="T2351" s="65" t="s">
        <v>30</v>
      </c>
      <c r="U2351" s="24" t="s">
        <v>31</v>
      </c>
      <c r="V2351" s="89" t="n">
        <v>43881</v>
      </c>
      <c r="W2351" s="18" t="s">
        <v>3771</v>
      </c>
      <c r="X2351" s="18"/>
    </row>
    <row r="2352" customFormat="false" ht="13.8" hidden="false" customHeight="false" outlineLevel="0" collapsed="false">
      <c r="A2352" s="18"/>
      <c r="B2352" s="65" t="s">
        <v>3772</v>
      </c>
      <c r="C2352" s="81" t="n">
        <v>43782</v>
      </c>
      <c r="D2352" s="115" t="s">
        <v>22</v>
      </c>
      <c r="E2352" s="65" t="s">
        <v>171</v>
      </c>
      <c r="F2352" s="91" t="s">
        <v>315</v>
      </c>
      <c r="G2352" s="65" t="s">
        <v>222</v>
      </c>
      <c r="H2352" s="65" t="s">
        <v>495</v>
      </c>
      <c r="I2352" s="65" t="s">
        <v>200</v>
      </c>
      <c r="J2352" s="83" t="n">
        <v>50.4</v>
      </c>
      <c r="K2352" s="88" t="n">
        <v>420000</v>
      </c>
      <c r="L2352" s="85" t="n">
        <f aca="false">K2352/J2352</f>
        <v>8333.33333333333</v>
      </c>
      <c r="M2352" s="92"/>
      <c r="N2352" s="93"/>
      <c r="O2352" s="88" t="n">
        <v>420000</v>
      </c>
      <c r="P2352" s="85" t="n">
        <v>8333.33333333333</v>
      </c>
      <c r="Q2352" s="94" t="s">
        <v>3773</v>
      </c>
      <c r="R2352" s="65" t="s">
        <v>26</v>
      </c>
      <c r="S2352" s="65" t="s">
        <v>29</v>
      </c>
      <c r="T2352" s="65" t="s">
        <v>30</v>
      </c>
      <c r="U2352" s="24" t="s">
        <v>31</v>
      </c>
      <c r="V2352" s="89" t="n">
        <v>43881</v>
      </c>
      <c r="W2352" s="91" t="s">
        <v>3774</v>
      </c>
      <c r="X2352" s="18"/>
    </row>
    <row r="2353" customFormat="false" ht="13.8" hidden="false" customHeight="false" outlineLevel="0" collapsed="false">
      <c r="A2353" s="18"/>
      <c r="B2353" s="62" t="n">
        <v>15246</v>
      </c>
      <c r="C2353" s="81" t="n">
        <v>43782</v>
      </c>
      <c r="D2353" s="115" t="s">
        <v>22</v>
      </c>
      <c r="E2353" s="65" t="s">
        <v>65</v>
      </c>
      <c r="F2353" s="82" t="s">
        <v>1583</v>
      </c>
      <c r="G2353" s="65" t="s">
        <v>26</v>
      </c>
      <c r="H2353" s="112" t="s">
        <v>250</v>
      </c>
      <c r="I2353" s="112" t="s">
        <v>112</v>
      </c>
      <c r="J2353" s="83" t="n">
        <v>31</v>
      </c>
      <c r="K2353" s="84" t="n">
        <v>278000</v>
      </c>
      <c r="L2353" s="113" t="n">
        <f aca="false">K2353/J2353</f>
        <v>8967.74193548387</v>
      </c>
      <c r="M2353" s="114"/>
      <c r="N2353" s="93"/>
      <c r="O2353" s="88" t="n">
        <v>278000</v>
      </c>
      <c r="P2353" s="88" t="n">
        <v>8967.74193548387</v>
      </c>
      <c r="Q2353" s="83" t="s">
        <v>3633</v>
      </c>
      <c r="R2353" s="65" t="s">
        <v>27</v>
      </c>
      <c r="S2353" s="65" t="s">
        <v>29</v>
      </c>
      <c r="T2353" s="65" t="s">
        <v>30</v>
      </c>
      <c r="U2353" s="24" t="s">
        <v>31</v>
      </c>
      <c r="V2353" s="89" t="n">
        <v>43881</v>
      </c>
      <c r="W2353" s="18" t="s">
        <v>3775</v>
      </c>
      <c r="X2353" s="18"/>
    </row>
    <row r="2354" customFormat="false" ht="13.8" hidden="false" customHeight="false" outlineLevel="0" collapsed="false">
      <c r="A2354" s="18"/>
      <c r="B2354" s="65" t="s">
        <v>3776</v>
      </c>
      <c r="C2354" s="81" t="n">
        <v>43782</v>
      </c>
      <c r="D2354" s="115" t="s">
        <v>22</v>
      </c>
      <c r="E2354" s="65" t="s">
        <v>42</v>
      </c>
      <c r="F2354" s="82" t="s">
        <v>1822</v>
      </c>
      <c r="G2354" s="65" t="s">
        <v>36</v>
      </c>
      <c r="H2354" s="65" t="s">
        <v>408</v>
      </c>
      <c r="I2354" s="65" t="s">
        <v>36</v>
      </c>
      <c r="J2354" s="83" t="n">
        <v>24.3</v>
      </c>
      <c r="K2354" s="84" t="n">
        <v>246000</v>
      </c>
      <c r="L2354" s="85" t="n">
        <f aca="false">K2354/J2354</f>
        <v>10123.4567901235</v>
      </c>
      <c r="M2354" s="111"/>
      <c r="N2354" s="87"/>
      <c r="O2354" s="88" t="n">
        <v>246000</v>
      </c>
      <c r="P2354" s="88" t="n">
        <v>10123.4567901235</v>
      </c>
      <c r="Q2354" s="83" t="s">
        <v>3777</v>
      </c>
      <c r="R2354" s="65" t="s">
        <v>27</v>
      </c>
      <c r="S2354" s="65" t="s">
        <v>29</v>
      </c>
      <c r="T2354" s="65" t="s">
        <v>30</v>
      </c>
      <c r="U2354" s="24" t="s">
        <v>31</v>
      </c>
      <c r="V2354" s="89" t="n">
        <v>43881</v>
      </c>
      <c r="W2354" s="18" t="s">
        <v>3778</v>
      </c>
      <c r="X2354" s="18"/>
    </row>
    <row r="2355" customFormat="false" ht="13.8" hidden="false" customHeight="false" outlineLevel="0" collapsed="false">
      <c r="A2355" s="18"/>
      <c r="B2355" s="65" t="s">
        <v>3779</v>
      </c>
      <c r="C2355" s="81" t="n">
        <v>43782</v>
      </c>
      <c r="D2355" s="115" t="s">
        <v>22</v>
      </c>
      <c r="E2355" s="65" t="s">
        <v>80</v>
      </c>
      <c r="F2355" s="82" t="s">
        <v>81</v>
      </c>
      <c r="G2355" s="65" t="s">
        <v>36</v>
      </c>
      <c r="H2355" s="65" t="s">
        <v>743</v>
      </c>
      <c r="I2355" s="65" t="s">
        <v>27</v>
      </c>
      <c r="J2355" s="83" t="n">
        <v>32.21</v>
      </c>
      <c r="K2355" s="84" t="n">
        <v>451000</v>
      </c>
      <c r="L2355" s="85" t="n">
        <f aca="false">K2355/J2355</f>
        <v>14001.8627755355</v>
      </c>
      <c r="M2355" s="90"/>
      <c r="N2355" s="87"/>
      <c r="O2355" s="88" t="n">
        <v>451000</v>
      </c>
      <c r="P2355" s="88" t="n">
        <v>14001.8627755355</v>
      </c>
      <c r="Q2355" s="83" t="s">
        <v>3780</v>
      </c>
      <c r="R2355" s="65" t="s">
        <v>27</v>
      </c>
      <c r="S2355" s="65" t="s">
        <v>29</v>
      </c>
      <c r="T2355" s="65" t="s">
        <v>30</v>
      </c>
      <c r="U2355" s="24" t="s">
        <v>31</v>
      </c>
      <c r="V2355" s="89" t="n">
        <v>43881</v>
      </c>
      <c r="W2355" s="18" t="s">
        <v>3781</v>
      </c>
      <c r="X2355" s="18"/>
    </row>
    <row r="2356" customFormat="false" ht="13.8" hidden="false" customHeight="false" outlineLevel="0" collapsed="false">
      <c r="A2356" s="18"/>
      <c r="B2356" s="65" t="s">
        <v>3782</v>
      </c>
      <c r="C2356" s="81" t="n">
        <v>43782</v>
      </c>
      <c r="D2356" s="115" t="s">
        <v>22</v>
      </c>
      <c r="E2356" s="65" t="s">
        <v>265</v>
      </c>
      <c r="F2356" s="82" t="s">
        <v>386</v>
      </c>
      <c r="G2356" s="65" t="s">
        <v>755</v>
      </c>
      <c r="H2356" s="65" t="s">
        <v>26</v>
      </c>
      <c r="I2356" s="65" t="s">
        <v>27</v>
      </c>
      <c r="J2356" s="83" t="n">
        <v>62.45</v>
      </c>
      <c r="K2356" s="84" t="n">
        <v>800000</v>
      </c>
      <c r="L2356" s="85" t="n">
        <f aca="false">K2356/J2356</f>
        <v>12810.2481985588</v>
      </c>
      <c r="M2356" s="90"/>
      <c r="N2356" s="87"/>
      <c r="O2356" s="88" t="n">
        <v>800000</v>
      </c>
      <c r="P2356" s="88" t="n">
        <v>12810.2481985588</v>
      </c>
      <c r="Q2356" s="83" t="s">
        <v>3783</v>
      </c>
      <c r="R2356" s="65" t="s">
        <v>36</v>
      </c>
      <c r="S2356" s="65" t="s">
        <v>29</v>
      </c>
      <c r="T2356" s="65" t="s">
        <v>30</v>
      </c>
      <c r="U2356" s="24" t="s">
        <v>31</v>
      </c>
      <c r="V2356" s="89" t="n">
        <v>43881</v>
      </c>
      <c r="W2356" s="18" t="s">
        <v>3784</v>
      </c>
      <c r="X2356" s="18"/>
    </row>
    <row r="2357" s="69" customFormat="true" ht="13.8" hidden="false" customHeight="false" outlineLevel="0" collapsed="false">
      <c r="A2357" s="61"/>
      <c r="B2357" s="62" t="n">
        <v>1571</v>
      </c>
      <c r="C2357" s="63" t="n">
        <v>43782</v>
      </c>
      <c r="D2357" s="64" t="s">
        <v>22</v>
      </c>
      <c r="E2357" s="65" t="s">
        <v>265</v>
      </c>
      <c r="F2357" s="18" t="s">
        <v>386</v>
      </c>
      <c r="G2357" s="62" t="s">
        <v>755</v>
      </c>
      <c r="H2357" s="62" t="n">
        <v>3</v>
      </c>
      <c r="I2357" s="62" t="n">
        <v>1</v>
      </c>
      <c r="J2357" s="62" t="n">
        <v>62.45</v>
      </c>
      <c r="K2357" s="66" t="n">
        <v>800000</v>
      </c>
      <c r="L2357" s="66" t="n">
        <f aca="false">K2357/J2357</f>
        <v>12810.2481985588</v>
      </c>
      <c r="M2357" s="18"/>
      <c r="N2357" s="66"/>
      <c r="O2357" s="66" t="n">
        <f aca="false">K2357+N2357</f>
        <v>800000</v>
      </c>
      <c r="P2357" s="66" t="n">
        <f aca="false">O2357/J2357</f>
        <v>12810.2481985588</v>
      </c>
      <c r="Q2357" s="67" t="s">
        <v>941</v>
      </c>
      <c r="R2357" s="65"/>
      <c r="S2357" s="67" t="s">
        <v>29</v>
      </c>
      <c r="T2357" s="62" t="s">
        <v>30</v>
      </c>
      <c r="U2357" s="68" t="s">
        <v>31</v>
      </c>
      <c r="V2357" s="63" t="n">
        <v>43886</v>
      </c>
      <c r="W2357" s="18" t="s">
        <v>3784</v>
      </c>
      <c r="X2357" s="18"/>
    </row>
    <row r="2358" s="69" customFormat="true" ht="13.8" hidden="false" customHeight="false" outlineLevel="0" collapsed="false">
      <c r="A2358" s="61"/>
      <c r="B2358" s="62" t="n">
        <v>6664</v>
      </c>
      <c r="C2358" s="63" t="n">
        <v>43782</v>
      </c>
      <c r="D2358" s="64" t="s">
        <v>22</v>
      </c>
      <c r="E2358" s="65" t="s">
        <v>372</v>
      </c>
      <c r="F2358" s="18" t="s">
        <v>272</v>
      </c>
      <c r="G2358" s="62" t="s">
        <v>3113</v>
      </c>
      <c r="H2358" s="62" t="n">
        <v>229</v>
      </c>
      <c r="I2358" s="62" t="n">
        <v>12</v>
      </c>
      <c r="J2358" s="62" t="n">
        <v>71.84</v>
      </c>
      <c r="K2358" s="66" t="n">
        <v>900000</v>
      </c>
      <c r="L2358" s="66" t="n">
        <f aca="false">K2358/J2358</f>
        <v>12527.8396436526</v>
      </c>
      <c r="M2358" s="18" t="s">
        <v>3785</v>
      </c>
      <c r="N2358" s="66"/>
      <c r="O2358" s="66" t="n">
        <f aca="false">K2358+N2358</f>
        <v>900000</v>
      </c>
      <c r="P2358" s="66" t="n">
        <f aca="false">O2358/J2358</f>
        <v>12527.8396436526</v>
      </c>
      <c r="Q2358" s="67" t="s">
        <v>3786</v>
      </c>
      <c r="R2358" s="65"/>
      <c r="S2358" s="67" t="s">
        <v>29</v>
      </c>
      <c r="T2358" s="62" t="s">
        <v>30</v>
      </c>
      <c r="U2358" s="68" t="s">
        <v>31</v>
      </c>
      <c r="V2358" s="63" t="n">
        <v>43886</v>
      </c>
      <c r="W2358" s="18" t="s">
        <v>3787</v>
      </c>
      <c r="X2358" s="18"/>
    </row>
    <row r="2359" s="148" customFormat="true" ht="13.8" hidden="false" customHeight="false" outlineLevel="0" collapsed="false">
      <c r="A2359" s="140"/>
      <c r="B2359" s="141" t="n">
        <v>2799</v>
      </c>
      <c r="C2359" s="142" t="n">
        <v>43783</v>
      </c>
      <c r="D2359" s="143" t="s">
        <v>22</v>
      </c>
      <c r="E2359" s="144" t="s">
        <v>178</v>
      </c>
      <c r="F2359" s="82" t="s">
        <v>219</v>
      </c>
      <c r="G2359" s="144" t="s">
        <v>49</v>
      </c>
      <c r="H2359" s="112" t="s">
        <v>101</v>
      </c>
      <c r="I2359" s="112" t="s">
        <v>26</v>
      </c>
      <c r="J2359" s="130" t="n">
        <v>50.8</v>
      </c>
      <c r="K2359" s="145" t="n">
        <v>477000</v>
      </c>
      <c r="L2359" s="113" t="n">
        <f aca="false">K2359/J2359</f>
        <v>9389.76377952756</v>
      </c>
      <c r="M2359" s="146"/>
      <c r="N2359" s="146"/>
      <c r="O2359" s="146" t="n">
        <v>477000</v>
      </c>
      <c r="P2359" s="146" t="n">
        <v>9389.76377952756</v>
      </c>
      <c r="Q2359" s="130" t="s">
        <v>3788</v>
      </c>
      <c r="R2359" s="144" t="s">
        <v>36</v>
      </c>
      <c r="S2359" s="147" t="s">
        <v>29</v>
      </c>
      <c r="T2359" s="130" t="s">
        <v>30</v>
      </c>
      <c r="U2359" s="112" t="s">
        <v>31</v>
      </c>
      <c r="V2359" s="119" t="n">
        <v>43881</v>
      </c>
      <c r="W2359" s="140" t="s">
        <v>3789</v>
      </c>
      <c r="X2359" s="140"/>
    </row>
    <row r="2360" customFormat="false" ht="13.8" hidden="false" customHeight="false" outlineLevel="0" collapsed="false">
      <c r="A2360" s="18"/>
      <c r="B2360" s="65" t="s">
        <v>3790</v>
      </c>
      <c r="C2360" s="81" t="n">
        <v>43783</v>
      </c>
      <c r="D2360" s="115" t="s">
        <v>22</v>
      </c>
      <c r="E2360" s="65" t="s">
        <v>350</v>
      </c>
      <c r="F2360" s="91" t="s">
        <v>323</v>
      </c>
      <c r="G2360" s="65" t="s">
        <v>715</v>
      </c>
      <c r="H2360" s="65" t="s">
        <v>52</v>
      </c>
      <c r="I2360" s="65" t="s">
        <v>57</v>
      </c>
      <c r="J2360" s="83" t="n">
        <v>79.72</v>
      </c>
      <c r="K2360" s="84" t="n">
        <v>925000</v>
      </c>
      <c r="L2360" s="85" t="n">
        <f aca="false">K2360/J2360</f>
        <v>11603.1108881084</v>
      </c>
      <c r="M2360" s="111" t="s">
        <v>3791</v>
      </c>
      <c r="N2360" s="87"/>
      <c r="O2360" s="88" t="n">
        <v>925000</v>
      </c>
      <c r="P2360" s="88" t="n">
        <v>11603.1108881084</v>
      </c>
      <c r="Q2360" s="65" t="s">
        <v>3792</v>
      </c>
      <c r="R2360" s="65" t="s">
        <v>26</v>
      </c>
      <c r="S2360" s="65" t="s">
        <v>29</v>
      </c>
      <c r="T2360" s="65" t="s">
        <v>30</v>
      </c>
      <c r="U2360" s="24" t="s">
        <v>31</v>
      </c>
      <c r="V2360" s="89" t="n">
        <v>43881</v>
      </c>
      <c r="W2360" s="18" t="s">
        <v>3793</v>
      </c>
      <c r="X2360" s="18"/>
    </row>
    <row r="2361" customFormat="false" ht="13.8" hidden="false" customHeight="false" outlineLevel="0" collapsed="false">
      <c r="A2361" s="18"/>
      <c r="B2361" s="65" t="s">
        <v>3794</v>
      </c>
      <c r="C2361" s="81" t="n">
        <v>43783</v>
      </c>
      <c r="D2361" s="115" t="s">
        <v>22</v>
      </c>
      <c r="E2361" s="65" t="s">
        <v>389</v>
      </c>
      <c r="F2361" s="91" t="s">
        <v>46</v>
      </c>
      <c r="G2361" s="65" t="s">
        <v>885</v>
      </c>
      <c r="H2361" s="65" t="s">
        <v>473</v>
      </c>
      <c r="I2361" s="65" t="s">
        <v>57</v>
      </c>
      <c r="J2361" s="83" t="n">
        <v>24.82</v>
      </c>
      <c r="K2361" s="88" t="n">
        <v>275000</v>
      </c>
      <c r="L2361" s="85" t="n">
        <f aca="false">K2361/J2361</f>
        <v>11079.7743755036</v>
      </c>
      <c r="M2361" s="92"/>
      <c r="N2361" s="93"/>
      <c r="O2361" s="88" t="n">
        <v>275000</v>
      </c>
      <c r="P2361" s="85" t="n">
        <v>11079.7743755036</v>
      </c>
      <c r="Q2361" s="94" t="s">
        <v>3795</v>
      </c>
      <c r="R2361" s="65" t="s">
        <v>27</v>
      </c>
      <c r="S2361" s="65" t="s">
        <v>29</v>
      </c>
      <c r="T2361" s="65" t="s">
        <v>30</v>
      </c>
      <c r="U2361" s="24" t="s">
        <v>31</v>
      </c>
      <c r="V2361" s="89" t="n">
        <v>43881</v>
      </c>
      <c r="W2361" s="18" t="s">
        <v>3796</v>
      </c>
      <c r="X2361" s="18"/>
      <c r="Y2361" s="116"/>
    </row>
    <row r="2362" customFormat="false" ht="13.8" hidden="false" customHeight="false" outlineLevel="0" collapsed="false">
      <c r="A2362" s="18"/>
      <c r="B2362" s="65" t="s">
        <v>3797</v>
      </c>
      <c r="C2362" s="81" t="n">
        <v>43783</v>
      </c>
      <c r="D2362" s="115" t="s">
        <v>22</v>
      </c>
      <c r="E2362" s="65" t="s">
        <v>375</v>
      </c>
      <c r="F2362" s="82" t="s">
        <v>955</v>
      </c>
      <c r="G2362" s="65" t="s">
        <v>3798</v>
      </c>
      <c r="H2362" s="65" t="s">
        <v>101</v>
      </c>
      <c r="I2362" s="65" t="s">
        <v>36</v>
      </c>
      <c r="J2362" s="83" t="n">
        <v>73.98</v>
      </c>
      <c r="K2362" s="84" t="n">
        <v>815000</v>
      </c>
      <c r="L2362" s="85" t="n">
        <f aca="false">K2362/J2362</f>
        <v>11016.4909434982</v>
      </c>
      <c r="M2362" s="86"/>
      <c r="N2362" s="87"/>
      <c r="O2362" s="88" t="n">
        <v>815000</v>
      </c>
      <c r="P2362" s="88" t="n">
        <v>11016.4909434982</v>
      </c>
      <c r="Q2362" s="83" t="s">
        <v>3799</v>
      </c>
      <c r="R2362" s="65" t="s">
        <v>36</v>
      </c>
      <c r="S2362" s="65" t="s">
        <v>29</v>
      </c>
      <c r="T2362" s="65" t="s">
        <v>30</v>
      </c>
      <c r="U2362" s="24" t="s">
        <v>31</v>
      </c>
      <c r="V2362" s="89" t="n">
        <v>43881</v>
      </c>
      <c r="W2362" s="18" t="s">
        <v>3800</v>
      </c>
      <c r="X2362" s="18"/>
      <c r="AMJ2362" s="134"/>
    </row>
    <row r="2363" customFormat="false" ht="13.8" hidden="false" customHeight="false" outlineLevel="0" collapsed="false">
      <c r="A2363" s="18"/>
      <c r="B2363" s="62" t="n">
        <v>3595</v>
      </c>
      <c r="C2363" s="81" t="n">
        <v>43783</v>
      </c>
      <c r="D2363" s="115" t="s">
        <v>22</v>
      </c>
      <c r="E2363" s="65" t="s">
        <v>354</v>
      </c>
      <c r="F2363" s="82" t="s">
        <v>565</v>
      </c>
      <c r="G2363" s="65" t="s">
        <v>2880</v>
      </c>
      <c r="H2363" s="112" t="s">
        <v>111</v>
      </c>
      <c r="I2363" s="112" t="s">
        <v>26</v>
      </c>
      <c r="J2363" s="83" t="n">
        <v>40.78</v>
      </c>
      <c r="K2363" s="84" t="n">
        <v>455000</v>
      </c>
      <c r="L2363" s="113" t="n">
        <f aca="false">K2363/J2363</f>
        <v>11157.4301128004</v>
      </c>
      <c r="M2363" s="114"/>
      <c r="N2363" s="93"/>
      <c r="O2363" s="88" t="n">
        <v>455000</v>
      </c>
      <c r="P2363" s="88" t="n">
        <v>11157.4301128004</v>
      </c>
      <c r="Q2363" s="83" t="s">
        <v>3801</v>
      </c>
      <c r="R2363" s="65" t="s">
        <v>36</v>
      </c>
      <c r="S2363" s="65" t="s">
        <v>29</v>
      </c>
      <c r="T2363" s="65" t="s">
        <v>30</v>
      </c>
      <c r="U2363" s="24" t="s">
        <v>31</v>
      </c>
      <c r="V2363" s="89" t="n">
        <v>43881</v>
      </c>
      <c r="W2363" s="18" t="s">
        <v>3802</v>
      </c>
      <c r="X2363" s="18"/>
    </row>
    <row r="2364" customFormat="false" ht="13.8" hidden="false" customHeight="false" outlineLevel="0" collapsed="false">
      <c r="A2364" s="18"/>
      <c r="B2364" s="65" t="s">
        <v>3803</v>
      </c>
      <c r="C2364" s="81" t="n">
        <v>43783</v>
      </c>
      <c r="D2364" s="115" t="s">
        <v>22</v>
      </c>
      <c r="E2364" s="65" t="s">
        <v>190</v>
      </c>
      <c r="F2364" s="91" t="s">
        <v>386</v>
      </c>
      <c r="G2364" s="65" t="s">
        <v>101</v>
      </c>
      <c r="H2364" s="65" t="s">
        <v>200</v>
      </c>
      <c r="I2364" s="65" t="s">
        <v>26</v>
      </c>
      <c r="J2364" s="83" t="n">
        <v>43.69</v>
      </c>
      <c r="K2364" s="88" t="n">
        <v>450000</v>
      </c>
      <c r="L2364" s="85" t="n">
        <f aca="false">K2364/J2364</f>
        <v>10299.8397802701</v>
      </c>
      <c r="M2364" s="92"/>
      <c r="N2364" s="93"/>
      <c r="O2364" s="88" t="n">
        <v>450000</v>
      </c>
      <c r="P2364" s="85" t="n">
        <v>10299.8397802701</v>
      </c>
      <c r="Q2364" s="94" t="s">
        <v>3804</v>
      </c>
      <c r="R2364" s="65" t="s">
        <v>36</v>
      </c>
      <c r="S2364" s="65" t="s">
        <v>29</v>
      </c>
      <c r="T2364" s="65" t="s">
        <v>30</v>
      </c>
      <c r="U2364" s="24" t="s">
        <v>31</v>
      </c>
      <c r="V2364" s="89" t="n">
        <v>43881</v>
      </c>
      <c r="W2364" s="18" t="s">
        <v>3805</v>
      </c>
      <c r="X2364" s="18"/>
      <c r="Y2364" s="116"/>
    </row>
    <row r="2365" customFormat="false" ht="13.8" hidden="false" customHeight="false" outlineLevel="0" collapsed="false">
      <c r="A2365" s="18"/>
      <c r="B2365" s="65" t="s">
        <v>3806</v>
      </c>
      <c r="C2365" s="81" t="n">
        <v>43783</v>
      </c>
      <c r="D2365" s="115" t="s">
        <v>22</v>
      </c>
      <c r="E2365" s="65" t="s">
        <v>171</v>
      </c>
      <c r="F2365" s="82" t="s">
        <v>172</v>
      </c>
      <c r="G2365" s="65" t="s">
        <v>173</v>
      </c>
      <c r="H2365" s="65" t="s">
        <v>618</v>
      </c>
      <c r="I2365" s="65" t="s">
        <v>49</v>
      </c>
      <c r="J2365" s="83" t="n">
        <v>41.8</v>
      </c>
      <c r="K2365" s="84" t="n">
        <v>485000</v>
      </c>
      <c r="L2365" s="85" t="n">
        <f aca="false">K2365/J2365</f>
        <v>11602.8708133971</v>
      </c>
      <c r="M2365" s="86"/>
      <c r="N2365" s="87"/>
      <c r="O2365" s="88" t="n">
        <v>485000</v>
      </c>
      <c r="P2365" s="88" t="n">
        <v>11602.8708133971</v>
      </c>
      <c r="Q2365" s="83" t="s">
        <v>3693</v>
      </c>
      <c r="R2365" s="65" t="s">
        <v>36</v>
      </c>
      <c r="S2365" s="65" t="s">
        <v>29</v>
      </c>
      <c r="T2365" s="65" t="s">
        <v>30</v>
      </c>
      <c r="U2365" s="24" t="s">
        <v>31</v>
      </c>
      <c r="V2365" s="89" t="n">
        <v>43881</v>
      </c>
      <c r="W2365" s="18" t="s">
        <v>3807</v>
      </c>
      <c r="X2365" s="18"/>
    </row>
    <row r="2366" customFormat="false" ht="13.8" hidden="false" customHeight="false" outlineLevel="0" collapsed="false">
      <c r="A2366" s="18"/>
      <c r="B2366" s="62" t="n">
        <v>13442</v>
      </c>
      <c r="C2366" s="81" t="n">
        <v>43783</v>
      </c>
      <c r="D2366" s="115" t="s">
        <v>22</v>
      </c>
      <c r="E2366" s="65" t="s">
        <v>156</v>
      </c>
      <c r="F2366" s="82" t="s">
        <v>392</v>
      </c>
      <c r="G2366" s="65" t="s">
        <v>1311</v>
      </c>
      <c r="H2366" s="65" t="s">
        <v>36</v>
      </c>
      <c r="I2366" s="65" t="s">
        <v>27</v>
      </c>
      <c r="J2366" s="83" t="n">
        <v>56.16</v>
      </c>
      <c r="K2366" s="84" t="n">
        <v>550000</v>
      </c>
      <c r="L2366" s="85" t="n">
        <f aca="false">K2366/J2366</f>
        <v>9793.44729344729</v>
      </c>
      <c r="M2366" s="90" t="s">
        <v>3808</v>
      </c>
      <c r="N2366" s="87" t="n">
        <v>25000</v>
      </c>
      <c r="O2366" s="88" t="n">
        <v>575000</v>
      </c>
      <c r="P2366" s="88" t="n">
        <f aca="false">O2366/J2366</f>
        <v>10238.603988604</v>
      </c>
      <c r="Q2366" s="83" t="s">
        <v>3809</v>
      </c>
      <c r="R2366" s="65" t="s">
        <v>36</v>
      </c>
      <c r="S2366" s="65" t="s">
        <v>29</v>
      </c>
      <c r="T2366" s="65" t="s">
        <v>30</v>
      </c>
      <c r="U2366" s="24" t="s">
        <v>31</v>
      </c>
      <c r="V2366" s="89" t="n">
        <v>43881</v>
      </c>
      <c r="W2366" s="18" t="s">
        <v>3810</v>
      </c>
      <c r="X2366" s="18"/>
    </row>
    <row r="2367" customFormat="false" ht="13.8" hidden="false" customHeight="false" outlineLevel="0" collapsed="false">
      <c r="A2367" s="18"/>
      <c r="B2367" s="65" t="s">
        <v>3797</v>
      </c>
      <c r="C2367" s="81" t="n">
        <v>43783</v>
      </c>
      <c r="D2367" s="115" t="s">
        <v>22</v>
      </c>
      <c r="E2367" s="65" t="s">
        <v>375</v>
      </c>
      <c r="F2367" s="82" t="s">
        <v>955</v>
      </c>
      <c r="G2367" s="65" t="s">
        <v>3798</v>
      </c>
      <c r="H2367" s="65" t="s">
        <v>101</v>
      </c>
      <c r="I2367" s="65" t="s">
        <v>36</v>
      </c>
      <c r="J2367" s="83" t="n">
        <v>73.98</v>
      </c>
      <c r="K2367" s="84" t="n">
        <v>815000</v>
      </c>
      <c r="L2367" s="85" t="n">
        <f aca="false">K2367/J2367</f>
        <v>11016.4909434982</v>
      </c>
      <c r="M2367" s="90"/>
      <c r="N2367" s="87"/>
      <c r="O2367" s="88" t="n">
        <v>815000</v>
      </c>
      <c r="P2367" s="88" t="n">
        <v>11016.4909434982</v>
      </c>
      <c r="Q2367" s="83" t="s">
        <v>3799</v>
      </c>
      <c r="R2367" s="65" t="s">
        <v>36</v>
      </c>
      <c r="S2367" s="65" t="s">
        <v>29</v>
      </c>
      <c r="T2367" s="65" t="s">
        <v>30</v>
      </c>
      <c r="U2367" s="24" t="s">
        <v>31</v>
      </c>
      <c r="V2367" s="89" t="n">
        <v>43881</v>
      </c>
      <c r="W2367" s="18" t="s">
        <v>3800</v>
      </c>
      <c r="X2367" s="18"/>
    </row>
    <row r="2368" s="69" customFormat="true" ht="13.8" hidden="false" customHeight="false" outlineLevel="0" collapsed="false">
      <c r="A2368" s="61"/>
      <c r="B2368" s="62" t="n">
        <v>4713</v>
      </c>
      <c r="C2368" s="81" t="n">
        <v>43783</v>
      </c>
      <c r="D2368" s="64" t="s">
        <v>22</v>
      </c>
      <c r="E2368" s="65" t="s">
        <v>308</v>
      </c>
      <c r="F2368" s="18" t="s">
        <v>788</v>
      </c>
      <c r="G2368" s="62" t="n">
        <v>17</v>
      </c>
      <c r="H2368" s="62" t="n">
        <v>10</v>
      </c>
      <c r="I2368" s="62" t="n">
        <v>3</v>
      </c>
      <c r="J2368" s="62" t="n">
        <v>62.97</v>
      </c>
      <c r="K2368" s="66" t="n">
        <v>700000</v>
      </c>
      <c r="L2368" s="66" t="n">
        <f aca="false">K2368/J2368</f>
        <v>11116.4046371288</v>
      </c>
      <c r="M2368" s="18"/>
      <c r="N2368" s="66"/>
      <c r="O2368" s="66" t="n">
        <f aca="false">K2368+N2368</f>
        <v>700000</v>
      </c>
      <c r="P2368" s="66" t="n">
        <f aca="false">O2368/J2368</f>
        <v>11116.4046371288</v>
      </c>
      <c r="Q2368" s="67" t="s">
        <v>903</v>
      </c>
      <c r="R2368" s="65"/>
      <c r="S2368" s="67" t="s">
        <v>29</v>
      </c>
      <c r="T2368" s="62" t="s">
        <v>30</v>
      </c>
      <c r="U2368" s="68" t="s">
        <v>31</v>
      </c>
      <c r="V2368" s="63" t="n">
        <v>43886</v>
      </c>
      <c r="W2368" s="18" t="s">
        <v>3811</v>
      </c>
      <c r="X2368" s="18"/>
    </row>
    <row r="2369" customFormat="false" ht="13.8" hidden="false" customHeight="false" outlineLevel="0" collapsed="false">
      <c r="A2369" s="18"/>
      <c r="B2369" s="65" t="s">
        <v>3812</v>
      </c>
      <c r="C2369" s="81" t="n">
        <v>43784</v>
      </c>
      <c r="D2369" s="115" t="s">
        <v>22</v>
      </c>
      <c r="E2369" s="65" t="s">
        <v>354</v>
      </c>
      <c r="F2369" s="82" t="s">
        <v>386</v>
      </c>
      <c r="G2369" s="65" t="s">
        <v>55</v>
      </c>
      <c r="H2369" s="65" t="s">
        <v>426</v>
      </c>
      <c r="I2369" s="65" t="s">
        <v>82</v>
      </c>
      <c r="J2369" s="83" t="n">
        <v>30.28</v>
      </c>
      <c r="K2369" s="84" t="n">
        <v>425000</v>
      </c>
      <c r="L2369" s="85" t="n">
        <f aca="false">K2369/J2369</f>
        <v>14035.6671070013</v>
      </c>
      <c r="M2369" s="90"/>
      <c r="N2369" s="87"/>
      <c r="O2369" s="88" t="n">
        <v>425000</v>
      </c>
      <c r="P2369" s="88" t="n">
        <v>14035.6671070013</v>
      </c>
      <c r="Q2369" s="83" t="s">
        <v>3813</v>
      </c>
      <c r="R2369" s="65" t="s">
        <v>27</v>
      </c>
      <c r="S2369" s="65" t="s">
        <v>29</v>
      </c>
      <c r="T2369" s="65" t="s">
        <v>30</v>
      </c>
      <c r="U2369" s="24" t="s">
        <v>31</v>
      </c>
      <c r="V2369" s="89" t="n">
        <v>43881</v>
      </c>
      <c r="W2369" s="18" t="s">
        <v>3814</v>
      </c>
      <c r="X2369" s="18"/>
    </row>
    <row r="2370" s="148" customFormat="true" ht="13.8" hidden="false" customHeight="false" outlineLevel="0" collapsed="false">
      <c r="A2370" s="140"/>
      <c r="B2370" s="144" t="s">
        <v>3815</v>
      </c>
      <c r="C2370" s="81" t="n">
        <v>43784</v>
      </c>
      <c r="D2370" s="143" t="s">
        <v>22</v>
      </c>
      <c r="E2370" s="144" t="s">
        <v>440</v>
      </c>
      <c r="F2370" s="82" t="s">
        <v>544</v>
      </c>
      <c r="G2370" s="144" t="s">
        <v>674</v>
      </c>
      <c r="H2370" s="144" t="s">
        <v>408</v>
      </c>
      <c r="I2370" s="144" t="s">
        <v>25</v>
      </c>
      <c r="J2370" s="130" t="n">
        <v>45.67</v>
      </c>
      <c r="K2370" s="145" t="n">
        <v>435000</v>
      </c>
      <c r="L2370" s="85" t="n">
        <f aca="false">K2370/J2370</f>
        <v>9524.8522005693</v>
      </c>
      <c r="M2370" s="149"/>
      <c r="N2370" s="87"/>
      <c r="O2370" s="146" t="n">
        <v>435000</v>
      </c>
      <c r="P2370" s="146" t="n">
        <v>9524.8522005693</v>
      </c>
      <c r="Q2370" s="130" t="s">
        <v>3788</v>
      </c>
      <c r="R2370" s="144" t="s">
        <v>36</v>
      </c>
      <c r="S2370" s="65" t="s">
        <v>29</v>
      </c>
      <c r="T2370" s="65" t="s">
        <v>30</v>
      </c>
      <c r="U2370" s="24" t="s">
        <v>31</v>
      </c>
      <c r="V2370" s="89" t="n">
        <v>43881</v>
      </c>
      <c r="W2370" s="140" t="s">
        <v>3816</v>
      </c>
      <c r="X2370" s="140"/>
    </row>
    <row r="2371" customFormat="false" ht="13.8" hidden="false" customHeight="false" outlineLevel="0" collapsed="false">
      <c r="A2371" s="18"/>
      <c r="B2371" s="65" t="s">
        <v>3817</v>
      </c>
      <c r="C2371" s="81" t="n">
        <v>43784</v>
      </c>
      <c r="D2371" s="115" t="s">
        <v>22</v>
      </c>
      <c r="E2371" s="65" t="s">
        <v>623</v>
      </c>
      <c r="F2371" s="82" t="s">
        <v>434</v>
      </c>
      <c r="G2371" s="65" t="s">
        <v>3818</v>
      </c>
      <c r="H2371" s="65" t="s">
        <v>210</v>
      </c>
      <c r="I2371" s="65" t="s">
        <v>36</v>
      </c>
      <c r="J2371" s="83" t="n">
        <v>52.07</v>
      </c>
      <c r="K2371" s="84" t="n">
        <v>630000</v>
      </c>
      <c r="L2371" s="85" t="n">
        <f aca="false">K2371/J2371</f>
        <v>12099.0973689264</v>
      </c>
      <c r="M2371" s="90" t="s">
        <v>3819</v>
      </c>
      <c r="N2371" s="87"/>
      <c r="O2371" s="88" t="n">
        <v>630000</v>
      </c>
      <c r="P2371" s="88" t="n">
        <v>12099.0973689264</v>
      </c>
      <c r="Q2371" s="83" t="s">
        <v>3820</v>
      </c>
      <c r="R2371" s="65" t="s">
        <v>36</v>
      </c>
      <c r="S2371" s="65" t="s">
        <v>29</v>
      </c>
      <c r="T2371" s="65" t="s">
        <v>30</v>
      </c>
      <c r="U2371" s="24" t="s">
        <v>31</v>
      </c>
      <c r="V2371" s="89" t="n">
        <v>43881</v>
      </c>
      <c r="W2371" s="18" t="s">
        <v>3821</v>
      </c>
      <c r="X2371" s="18"/>
    </row>
    <row r="2372" customFormat="false" ht="13.8" hidden="false" customHeight="false" outlineLevel="0" collapsed="false">
      <c r="A2372" s="18"/>
      <c r="B2372" s="62" t="n">
        <v>2582</v>
      </c>
      <c r="C2372" s="81" t="n">
        <v>43784</v>
      </c>
      <c r="D2372" s="115" t="s">
        <v>22</v>
      </c>
      <c r="E2372" s="65" t="s">
        <v>399</v>
      </c>
      <c r="F2372" s="82" t="s">
        <v>3822</v>
      </c>
      <c r="G2372" s="65" t="s">
        <v>36</v>
      </c>
      <c r="H2372" s="112" t="s">
        <v>57</v>
      </c>
      <c r="I2372" s="112" t="s">
        <v>36</v>
      </c>
      <c r="J2372" s="83" t="n">
        <v>131.86</v>
      </c>
      <c r="K2372" s="84"/>
      <c r="L2372" s="113" t="n">
        <f aca="false">K2372/J2372</f>
        <v>0</v>
      </c>
      <c r="M2372" s="114" t="s">
        <v>3823</v>
      </c>
      <c r="N2372" s="93"/>
      <c r="O2372" s="88" t="s">
        <v>1140</v>
      </c>
      <c r="P2372" s="88" t="s">
        <v>1140</v>
      </c>
      <c r="Q2372" s="83" t="s">
        <v>3824</v>
      </c>
      <c r="R2372" s="65" t="s">
        <v>49</v>
      </c>
      <c r="S2372" s="65" t="s">
        <v>29</v>
      </c>
      <c r="T2372" s="65" t="s">
        <v>30</v>
      </c>
      <c r="U2372" s="24" t="s">
        <v>31</v>
      </c>
      <c r="V2372" s="89" t="n">
        <v>43881</v>
      </c>
      <c r="W2372" s="18" t="s">
        <v>3825</v>
      </c>
      <c r="X2372" s="18" t="s">
        <v>3671</v>
      </c>
    </row>
    <row r="2373" customFormat="false" ht="13.8" hidden="false" customHeight="false" outlineLevel="0" collapsed="false">
      <c r="A2373" s="18"/>
      <c r="B2373" s="65" t="s">
        <v>3826</v>
      </c>
      <c r="C2373" s="81" t="n">
        <v>43784</v>
      </c>
      <c r="D2373" s="115" t="s">
        <v>22</v>
      </c>
      <c r="E2373" s="65" t="s">
        <v>389</v>
      </c>
      <c r="F2373" s="91" t="s">
        <v>582</v>
      </c>
      <c r="G2373" s="65" t="s">
        <v>226</v>
      </c>
      <c r="H2373" s="65" t="s">
        <v>154</v>
      </c>
      <c r="I2373" s="65" t="s">
        <v>49</v>
      </c>
      <c r="J2373" s="83" t="n">
        <v>82.32</v>
      </c>
      <c r="K2373" s="88" t="n">
        <v>949000</v>
      </c>
      <c r="L2373" s="85" t="n">
        <f aca="false">K2373/J2373</f>
        <v>11528.1827016521</v>
      </c>
      <c r="M2373" s="92" t="s">
        <v>3827</v>
      </c>
      <c r="N2373" s="93" t="n">
        <v>1000</v>
      </c>
      <c r="O2373" s="88" t="n">
        <v>950000</v>
      </c>
      <c r="P2373" s="85" t="n">
        <f aca="false">O2373/J2373</f>
        <v>11540.3304178814</v>
      </c>
      <c r="Q2373" s="94" t="s">
        <v>3828</v>
      </c>
      <c r="R2373" s="65" t="s">
        <v>26</v>
      </c>
      <c r="S2373" s="65" t="s">
        <v>29</v>
      </c>
      <c r="T2373" s="65" t="s">
        <v>30</v>
      </c>
      <c r="U2373" s="24" t="s">
        <v>31</v>
      </c>
      <c r="V2373" s="89" t="n">
        <v>43881</v>
      </c>
      <c r="W2373" s="91" t="s">
        <v>3829</v>
      </c>
      <c r="X2373" s="18"/>
    </row>
    <row r="2374" customFormat="false" ht="13.8" hidden="false" customHeight="false" outlineLevel="0" collapsed="false">
      <c r="A2374" s="18"/>
      <c r="B2374" s="65" t="s">
        <v>3830</v>
      </c>
      <c r="C2374" s="81" t="n">
        <v>43784</v>
      </c>
      <c r="D2374" s="115" t="s">
        <v>22</v>
      </c>
      <c r="E2374" s="65" t="s">
        <v>175</v>
      </c>
      <c r="F2374" s="91" t="s">
        <v>176</v>
      </c>
      <c r="G2374" s="65" t="s">
        <v>266</v>
      </c>
      <c r="H2374" s="65" t="s">
        <v>269</v>
      </c>
      <c r="I2374" s="65" t="s">
        <v>26</v>
      </c>
      <c r="J2374" s="83" t="n">
        <v>71.42</v>
      </c>
      <c r="K2374" s="84" t="n">
        <v>820000</v>
      </c>
      <c r="L2374" s="85" t="n">
        <f aca="false">K2374/J2374</f>
        <v>11481.3777653318</v>
      </c>
      <c r="M2374" s="90"/>
      <c r="N2374" s="87"/>
      <c r="O2374" s="88" t="n">
        <v>820000</v>
      </c>
      <c r="P2374" s="88" t="n">
        <v>11481.3777653318</v>
      </c>
      <c r="Q2374" s="65" t="s">
        <v>3831</v>
      </c>
      <c r="R2374" s="65" t="s">
        <v>36</v>
      </c>
      <c r="S2374" s="65" t="s">
        <v>29</v>
      </c>
      <c r="T2374" s="65" t="s">
        <v>30</v>
      </c>
      <c r="U2374" s="24" t="s">
        <v>31</v>
      </c>
      <c r="V2374" s="89" t="n">
        <v>43881</v>
      </c>
      <c r="W2374" s="23" t="s">
        <v>3832</v>
      </c>
      <c r="X2374" s="110"/>
    </row>
    <row r="2375" customFormat="false" ht="13.8" hidden="false" customHeight="false" outlineLevel="0" collapsed="false">
      <c r="A2375" s="18"/>
      <c r="B2375" s="65" t="s">
        <v>3833</v>
      </c>
      <c r="C2375" s="81" t="n">
        <v>43784</v>
      </c>
      <c r="D2375" s="115" t="s">
        <v>22</v>
      </c>
      <c r="E2375" s="65" t="s">
        <v>2151</v>
      </c>
      <c r="F2375" s="82" t="s">
        <v>2152</v>
      </c>
      <c r="G2375" s="65" t="s">
        <v>49</v>
      </c>
      <c r="H2375" s="65" t="s">
        <v>3834</v>
      </c>
      <c r="I2375" s="65" t="s">
        <v>111</v>
      </c>
      <c r="J2375" s="83" t="n">
        <v>34.7</v>
      </c>
      <c r="K2375" s="84" t="n">
        <v>300000</v>
      </c>
      <c r="L2375" s="85" t="n">
        <f aca="false">K2375/J2375</f>
        <v>8645.53314121037</v>
      </c>
      <c r="M2375" s="86"/>
      <c r="N2375" s="87"/>
      <c r="O2375" s="88" t="n">
        <v>300000</v>
      </c>
      <c r="P2375" s="88" t="n">
        <v>8645.53314121037</v>
      </c>
      <c r="Q2375" s="83" t="s">
        <v>3835</v>
      </c>
      <c r="R2375" s="65" t="s">
        <v>27</v>
      </c>
      <c r="S2375" s="65" t="s">
        <v>29</v>
      </c>
      <c r="T2375" s="65" t="s">
        <v>30</v>
      </c>
      <c r="U2375" s="24" t="s">
        <v>31</v>
      </c>
      <c r="V2375" s="89" t="n">
        <v>43881</v>
      </c>
      <c r="W2375" s="18" t="s">
        <v>3836</v>
      </c>
      <c r="X2375" s="18" t="s">
        <v>3837</v>
      </c>
    </row>
    <row r="2376" customFormat="false" ht="13.8" hidden="false" customHeight="false" outlineLevel="0" collapsed="false">
      <c r="A2376" s="18"/>
      <c r="B2376" s="65" t="s">
        <v>3838</v>
      </c>
      <c r="C2376" s="81" t="n">
        <v>43784</v>
      </c>
      <c r="D2376" s="115" t="s">
        <v>22</v>
      </c>
      <c r="E2376" s="65" t="s">
        <v>284</v>
      </c>
      <c r="F2376" s="82" t="s">
        <v>404</v>
      </c>
      <c r="G2376" s="65" t="s">
        <v>2348</v>
      </c>
      <c r="H2376" s="65" t="s">
        <v>27</v>
      </c>
      <c r="I2376" s="65" t="s">
        <v>27</v>
      </c>
      <c r="J2376" s="83" t="n">
        <v>33.56</v>
      </c>
      <c r="K2376" s="84" t="n">
        <v>260000</v>
      </c>
      <c r="L2376" s="85" t="n">
        <f aca="false">K2376/J2376</f>
        <v>7747.31823599523</v>
      </c>
      <c r="M2376" s="90"/>
      <c r="N2376" s="87"/>
      <c r="O2376" s="88" t="n">
        <v>260000</v>
      </c>
      <c r="P2376" s="88" t="n">
        <v>7747.31823599523</v>
      </c>
      <c r="Q2376" s="83" t="s">
        <v>3795</v>
      </c>
      <c r="R2376" s="65" t="s">
        <v>27</v>
      </c>
      <c r="S2376" s="65" t="s">
        <v>29</v>
      </c>
      <c r="T2376" s="65" t="s">
        <v>30</v>
      </c>
      <c r="U2376" s="24" t="s">
        <v>31</v>
      </c>
      <c r="V2376" s="89" t="n">
        <v>43881</v>
      </c>
      <c r="W2376" s="18" t="s">
        <v>3839</v>
      </c>
      <c r="X2376" s="18"/>
    </row>
    <row r="2377" customFormat="false" ht="13.8" hidden="false" customHeight="false" outlineLevel="0" collapsed="false">
      <c r="A2377" s="18"/>
      <c r="B2377" s="65" t="s">
        <v>3840</v>
      </c>
      <c r="C2377" s="81" t="n">
        <v>43784</v>
      </c>
      <c r="D2377" s="115" t="s">
        <v>22</v>
      </c>
      <c r="E2377" s="65" t="s">
        <v>23</v>
      </c>
      <c r="F2377" s="82" t="s">
        <v>955</v>
      </c>
      <c r="G2377" s="65" t="s">
        <v>1297</v>
      </c>
      <c r="H2377" s="65" t="s">
        <v>200</v>
      </c>
      <c r="I2377" s="65" t="s">
        <v>26</v>
      </c>
      <c r="J2377" s="83" t="n">
        <v>62</v>
      </c>
      <c r="K2377" s="84" t="n">
        <v>785000</v>
      </c>
      <c r="L2377" s="85" t="n">
        <f aca="false">K2377/J2377</f>
        <v>12661.2903225806</v>
      </c>
      <c r="M2377" s="90"/>
      <c r="N2377" s="87"/>
      <c r="O2377" s="88" t="n">
        <v>785000</v>
      </c>
      <c r="P2377" s="88" t="n">
        <v>12661.2903225806</v>
      </c>
      <c r="Q2377" s="83" t="s">
        <v>3841</v>
      </c>
      <c r="R2377" s="65" t="s">
        <v>26</v>
      </c>
      <c r="S2377" s="65" t="s">
        <v>29</v>
      </c>
      <c r="T2377" s="65" t="s">
        <v>30</v>
      </c>
      <c r="U2377" s="24" t="s">
        <v>31</v>
      </c>
      <c r="V2377" s="89" t="n">
        <v>43881</v>
      </c>
      <c r="W2377" s="18" t="s">
        <v>3842</v>
      </c>
      <c r="X2377" s="18"/>
    </row>
    <row r="2378" s="69" customFormat="true" ht="13.8" hidden="false" customHeight="false" outlineLevel="0" collapsed="false">
      <c r="A2378" s="61"/>
      <c r="B2378" s="62" t="n">
        <v>4161</v>
      </c>
      <c r="C2378" s="81" t="n">
        <v>43784</v>
      </c>
      <c r="D2378" s="64" t="s">
        <v>22</v>
      </c>
      <c r="E2378" s="65" t="s">
        <v>1217</v>
      </c>
      <c r="F2378" s="18" t="s">
        <v>565</v>
      </c>
      <c r="G2378" s="62" t="n">
        <v>5</v>
      </c>
      <c r="H2378" s="62" t="n">
        <v>7</v>
      </c>
      <c r="I2378" s="62" t="n">
        <v>3</v>
      </c>
      <c r="J2378" s="62" t="n">
        <v>59.57</v>
      </c>
      <c r="K2378" s="66" t="n">
        <v>669000</v>
      </c>
      <c r="L2378" s="66" t="n">
        <f aca="false">K2378/J2378</f>
        <v>11230.4851435286</v>
      </c>
      <c r="M2378" s="18"/>
      <c r="N2378" s="66"/>
      <c r="O2378" s="66" t="n">
        <f aca="false">K2378+N2378</f>
        <v>669000</v>
      </c>
      <c r="P2378" s="66" t="n">
        <f aca="false">O2378/J2378</f>
        <v>11230.4851435286</v>
      </c>
      <c r="Q2378" s="67" t="s">
        <v>861</v>
      </c>
      <c r="R2378" s="65"/>
      <c r="S2378" s="67" t="s">
        <v>29</v>
      </c>
      <c r="T2378" s="62" t="s">
        <v>30</v>
      </c>
      <c r="U2378" s="68" t="s">
        <v>31</v>
      </c>
      <c r="V2378" s="63" t="n">
        <v>43886</v>
      </c>
      <c r="W2378" s="18" t="s">
        <v>3843</v>
      </c>
      <c r="X2378" s="18"/>
    </row>
    <row r="2379" s="69" customFormat="true" ht="13.8" hidden="false" customHeight="false" outlineLevel="0" collapsed="false">
      <c r="A2379" s="61"/>
      <c r="B2379" s="62" t="n">
        <v>3854</v>
      </c>
      <c r="C2379" s="81" t="n">
        <v>43784</v>
      </c>
      <c r="D2379" s="64" t="s">
        <v>22</v>
      </c>
      <c r="E2379" s="65" t="s">
        <v>354</v>
      </c>
      <c r="F2379" s="18" t="s">
        <v>456</v>
      </c>
      <c r="G2379" s="62" t="n">
        <v>4</v>
      </c>
      <c r="H2379" s="62" t="n">
        <v>59</v>
      </c>
      <c r="I2379" s="62" t="n">
        <v>3</v>
      </c>
      <c r="J2379" s="62" t="n">
        <v>48</v>
      </c>
      <c r="K2379" s="66" t="n">
        <v>565000</v>
      </c>
      <c r="L2379" s="66" t="n">
        <f aca="false">K2379/J2379</f>
        <v>11770.8333333333</v>
      </c>
      <c r="M2379" s="18"/>
      <c r="N2379" s="66"/>
      <c r="O2379" s="66" t="n">
        <f aca="false">K2379+N2379</f>
        <v>565000</v>
      </c>
      <c r="P2379" s="66" t="n">
        <f aca="false">O2379/J2379</f>
        <v>11770.8333333333</v>
      </c>
      <c r="Q2379" s="67" t="s">
        <v>903</v>
      </c>
      <c r="R2379" s="65"/>
      <c r="S2379" s="67" t="s">
        <v>29</v>
      </c>
      <c r="T2379" s="62" t="s">
        <v>30</v>
      </c>
      <c r="U2379" s="68" t="s">
        <v>31</v>
      </c>
      <c r="V2379" s="63" t="n">
        <v>43886</v>
      </c>
      <c r="W2379" s="18" t="s">
        <v>3844</v>
      </c>
      <c r="X2379" s="18"/>
    </row>
    <row r="2380" s="69" customFormat="true" ht="13.8" hidden="false" customHeight="false" outlineLevel="0" collapsed="false">
      <c r="A2380" s="61"/>
      <c r="B2380" s="62" t="n">
        <v>4622</v>
      </c>
      <c r="C2380" s="81" t="n">
        <v>43785</v>
      </c>
      <c r="D2380" s="64" t="s">
        <v>22</v>
      </c>
      <c r="E2380" s="65" t="s">
        <v>80</v>
      </c>
      <c r="F2380" s="18" t="s">
        <v>81</v>
      </c>
      <c r="G2380" s="62" t="n">
        <v>3</v>
      </c>
      <c r="H2380" s="62" t="n">
        <v>109</v>
      </c>
      <c r="I2380" s="62" t="n">
        <v>2</v>
      </c>
      <c r="J2380" s="62" t="n">
        <v>102.93</v>
      </c>
      <c r="K2380" s="66" t="n">
        <v>1450000</v>
      </c>
      <c r="L2380" s="66" t="n">
        <f aca="false">K2380/J2380</f>
        <v>14087.2437578937</v>
      </c>
      <c r="M2380" s="18" t="s">
        <v>3845</v>
      </c>
      <c r="N2380" s="66" t="n">
        <v>30000</v>
      </c>
      <c r="O2380" s="66" t="n">
        <f aca="false">K2380+N2380</f>
        <v>1480000</v>
      </c>
      <c r="P2380" s="66" t="n">
        <f aca="false">O2380/J2380</f>
        <v>14378.7039735743</v>
      </c>
      <c r="Q2380" s="67" t="s">
        <v>1908</v>
      </c>
      <c r="R2380" s="65"/>
      <c r="S2380" s="67" t="s">
        <v>29</v>
      </c>
      <c r="T2380" s="62" t="s">
        <v>30</v>
      </c>
      <c r="U2380" s="68" t="s">
        <v>31</v>
      </c>
      <c r="V2380" s="63" t="n">
        <v>43886</v>
      </c>
      <c r="W2380" s="18" t="s">
        <v>3846</v>
      </c>
      <c r="X2380" s="18"/>
    </row>
    <row r="2381" customFormat="false" ht="13.8" hidden="false" customHeight="false" outlineLevel="0" collapsed="false">
      <c r="A2381" s="18"/>
      <c r="B2381" s="65" t="s">
        <v>3847</v>
      </c>
      <c r="C2381" s="81" t="n">
        <v>43787</v>
      </c>
      <c r="D2381" s="115" t="s">
        <v>22</v>
      </c>
      <c r="E2381" s="65" t="s">
        <v>93</v>
      </c>
      <c r="F2381" s="91" t="s">
        <v>402</v>
      </c>
      <c r="G2381" s="65" t="s">
        <v>154</v>
      </c>
      <c r="H2381" s="65" t="s">
        <v>515</v>
      </c>
      <c r="I2381" s="65" t="s">
        <v>112</v>
      </c>
      <c r="J2381" s="83" t="n">
        <v>31.6</v>
      </c>
      <c r="K2381" s="84" t="n">
        <v>330000</v>
      </c>
      <c r="L2381" s="85" t="n">
        <f aca="false">K2381/J2381</f>
        <v>10443.0379746835</v>
      </c>
      <c r="M2381" s="90"/>
      <c r="N2381" s="87"/>
      <c r="O2381" s="88" t="n">
        <v>330000</v>
      </c>
      <c r="P2381" s="88" t="n">
        <v>10443.0379746835</v>
      </c>
      <c r="Q2381" s="65" t="s">
        <v>3633</v>
      </c>
      <c r="R2381" s="65" t="s">
        <v>27</v>
      </c>
      <c r="S2381" s="65" t="s">
        <v>29</v>
      </c>
      <c r="T2381" s="65" t="s">
        <v>30</v>
      </c>
      <c r="U2381" s="24" t="s">
        <v>31</v>
      </c>
      <c r="V2381" s="89" t="n">
        <v>43881</v>
      </c>
      <c r="W2381" s="23" t="s">
        <v>3848</v>
      </c>
      <c r="X2381" s="110"/>
    </row>
    <row r="2382" customFormat="false" ht="13.8" hidden="false" customHeight="false" outlineLevel="0" collapsed="false">
      <c r="A2382" s="18"/>
      <c r="B2382" s="62" t="n">
        <v>1052</v>
      </c>
      <c r="C2382" s="81" t="n">
        <v>43787</v>
      </c>
      <c r="D2382" s="115" t="s">
        <v>22</v>
      </c>
      <c r="E2382" s="65" t="s">
        <v>144</v>
      </c>
      <c r="F2382" s="82" t="s">
        <v>46</v>
      </c>
      <c r="G2382" s="65" t="s">
        <v>396</v>
      </c>
      <c r="H2382" s="112" t="s">
        <v>36</v>
      </c>
      <c r="I2382" s="112" t="s">
        <v>36</v>
      </c>
      <c r="J2382" s="83" t="n">
        <v>51.56</v>
      </c>
      <c r="K2382" s="84" t="n">
        <v>542500</v>
      </c>
      <c r="L2382" s="113" t="n">
        <f aca="false">K2382/J2382</f>
        <v>10521.722265322</v>
      </c>
      <c r="M2382" s="114"/>
      <c r="N2382" s="93"/>
      <c r="O2382" s="88" t="n">
        <v>542500</v>
      </c>
      <c r="P2382" s="88" t="n">
        <v>10521.722265322</v>
      </c>
      <c r="Q2382" s="83" t="s">
        <v>3849</v>
      </c>
      <c r="R2382" s="65" t="s">
        <v>36</v>
      </c>
      <c r="S2382" s="65" t="s">
        <v>29</v>
      </c>
      <c r="T2382" s="65" t="s">
        <v>30</v>
      </c>
      <c r="U2382" s="24" t="s">
        <v>31</v>
      </c>
      <c r="V2382" s="89" t="n">
        <v>43881</v>
      </c>
      <c r="W2382" s="18" t="s">
        <v>3850</v>
      </c>
      <c r="X2382" s="18" t="s">
        <v>3516</v>
      </c>
    </row>
    <row r="2383" s="69" customFormat="true" ht="13.8" hidden="false" customHeight="false" outlineLevel="0" collapsed="false">
      <c r="A2383" s="61"/>
      <c r="B2383" s="62" t="n">
        <v>2778</v>
      </c>
      <c r="C2383" s="81" t="n">
        <v>43787</v>
      </c>
      <c r="D2383" s="64" t="s">
        <v>22</v>
      </c>
      <c r="E2383" s="65" t="s">
        <v>343</v>
      </c>
      <c r="F2383" s="18" t="s">
        <v>344</v>
      </c>
      <c r="G2383" s="62" t="n">
        <v>20</v>
      </c>
      <c r="H2383" s="62" t="n">
        <v>68</v>
      </c>
      <c r="I2383" s="62" t="n">
        <v>8</v>
      </c>
      <c r="J2383" s="62" t="n">
        <v>58.4</v>
      </c>
      <c r="K2383" s="66" t="n">
        <f aca="false">167123.4+389954.6</f>
        <v>557078</v>
      </c>
      <c r="L2383" s="66" t="n">
        <f aca="false">K2383/J2383</f>
        <v>9539.00684931507</v>
      </c>
      <c r="M2383" s="18" t="s">
        <v>3851</v>
      </c>
      <c r="N2383" s="66" t="n">
        <v>24000</v>
      </c>
      <c r="O2383" s="66" t="n">
        <f aca="false">K2383+N2383</f>
        <v>581078</v>
      </c>
      <c r="P2383" s="66" t="n">
        <f aca="false">O2383/J2383</f>
        <v>9949.96575342466</v>
      </c>
      <c r="Q2383" s="67" t="s">
        <v>903</v>
      </c>
      <c r="R2383" s="65"/>
      <c r="S2383" s="67" t="s">
        <v>29</v>
      </c>
      <c r="T2383" s="62" t="s">
        <v>30</v>
      </c>
      <c r="U2383" s="68" t="s">
        <v>31</v>
      </c>
      <c r="V2383" s="63" t="n">
        <v>43886</v>
      </c>
      <c r="W2383" s="18" t="s">
        <v>3852</v>
      </c>
      <c r="X2383" s="18"/>
    </row>
    <row r="2384" s="69" customFormat="true" ht="13.8" hidden="false" customHeight="false" outlineLevel="0" collapsed="false">
      <c r="A2384" s="61"/>
      <c r="B2384" s="62" t="n">
        <v>32791</v>
      </c>
      <c r="C2384" s="81" t="n">
        <v>43787</v>
      </c>
      <c r="D2384" s="64" t="s">
        <v>22</v>
      </c>
      <c r="E2384" s="65" t="s">
        <v>203</v>
      </c>
      <c r="F2384" s="18" t="s">
        <v>138</v>
      </c>
      <c r="G2384" s="62" t="n">
        <v>12</v>
      </c>
      <c r="H2384" s="62" t="n">
        <v>1103</v>
      </c>
      <c r="I2384" s="62" t="n">
        <v>12</v>
      </c>
      <c r="J2384" s="62" t="n">
        <v>77.7</v>
      </c>
      <c r="K2384" s="66" t="n">
        <v>700000</v>
      </c>
      <c r="L2384" s="66" t="n">
        <f aca="false">K2384/J2384</f>
        <v>9009.00900900901</v>
      </c>
      <c r="M2384" s="18"/>
      <c r="N2384" s="66" t="n">
        <v>30000</v>
      </c>
      <c r="O2384" s="66" t="n">
        <f aca="false">K2384+N2384</f>
        <v>730000</v>
      </c>
      <c r="P2384" s="66" t="n">
        <f aca="false">O2384/J2384</f>
        <v>9395.1093951094</v>
      </c>
      <c r="Q2384" s="67" t="s">
        <v>3853</v>
      </c>
      <c r="R2384" s="65"/>
      <c r="S2384" s="67" t="s">
        <v>29</v>
      </c>
      <c r="T2384" s="62" t="s">
        <v>30</v>
      </c>
      <c r="U2384" s="68" t="s">
        <v>31</v>
      </c>
      <c r="V2384" s="63" t="n">
        <v>43886</v>
      </c>
      <c r="W2384" s="18" t="s">
        <v>3854</v>
      </c>
      <c r="X2384" s="18"/>
    </row>
    <row r="2385" s="69" customFormat="true" ht="13.8" hidden="false" customHeight="false" outlineLevel="0" collapsed="false">
      <c r="A2385" s="61"/>
      <c r="B2385" s="62" t="n">
        <v>9428</v>
      </c>
      <c r="C2385" s="81" t="n">
        <v>43787</v>
      </c>
      <c r="D2385" s="64" t="s">
        <v>22</v>
      </c>
      <c r="E2385" s="65" t="s">
        <v>527</v>
      </c>
      <c r="F2385" s="18" t="s">
        <v>240</v>
      </c>
      <c r="G2385" s="62" t="n">
        <v>102</v>
      </c>
      <c r="H2385" s="62" t="n">
        <v>20</v>
      </c>
      <c r="I2385" s="62" t="s">
        <v>3855</v>
      </c>
      <c r="J2385" s="62" t="n">
        <f aca="false">95.9-13.6</f>
        <v>82.3</v>
      </c>
      <c r="K2385" s="66" t="n">
        <f aca="false">350000*2</f>
        <v>700000</v>
      </c>
      <c r="L2385" s="66" t="n">
        <f aca="false">K2385/J2385</f>
        <v>8505.46780072904</v>
      </c>
      <c r="M2385" s="18"/>
      <c r="N2385" s="66"/>
      <c r="O2385" s="66" t="n">
        <f aca="false">K2385+N2385</f>
        <v>700000</v>
      </c>
      <c r="P2385" s="66" t="n">
        <f aca="false">O2385/J2385</f>
        <v>8505.46780072904</v>
      </c>
      <c r="Q2385" s="67" t="s">
        <v>3856</v>
      </c>
      <c r="R2385" s="65"/>
      <c r="S2385" s="67" t="s">
        <v>29</v>
      </c>
      <c r="T2385" s="62" t="s">
        <v>30</v>
      </c>
      <c r="U2385" s="68" t="s">
        <v>31</v>
      </c>
      <c r="V2385" s="63" t="n">
        <v>43886</v>
      </c>
      <c r="W2385" s="18" t="s">
        <v>3857</v>
      </c>
      <c r="X2385" s="18" t="s">
        <v>3858</v>
      </c>
    </row>
    <row r="2386" customFormat="false" ht="13.8" hidden="false" customHeight="false" outlineLevel="0" collapsed="false">
      <c r="A2386" s="18"/>
      <c r="B2386" s="62" t="n">
        <v>7570</v>
      </c>
      <c r="C2386" s="81" t="n">
        <v>43788</v>
      </c>
      <c r="D2386" s="115" t="s">
        <v>22</v>
      </c>
      <c r="E2386" s="65" t="s">
        <v>42</v>
      </c>
      <c r="F2386" s="82" t="s">
        <v>569</v>
      </c>
      <c r="G2386" s="65" t="s">
        <v>181</v>
      </c>
      <c r="H2386" s="112" t="s">
        <v>27</v>
      </c>
      <c r="I2386" s="112" t="s">
        <v>27</v>
      </c>
      <c r="J2386" s="83" t="n">
        <v>38.9</v>
      </c>
      <c r="K2386" s="84" t="n">
        <v>445000</v>
      </c>
      <c r="L2386" s="113" t="n">
        <f aca="false">K2386/J2386</f>
        <v>11439.588688946</v>
      </c>
      <c r="M2386" s="114"/>
      <c r="N2386" s="93"/>
      <c r="O2386" s="88" t="n">
        <v>445000</v>
      </c>
      <c r="P2386" s="88" t="n">
        <v>11439.588688946</v>
      </c>
      <c r="Q2386" s="83" t="s">
        <v>3693</v>
      </c>
      <c r="R2386" s="65" t="s">
        <v>36</v>
      </c>
      <c r="S2386" s="118" t="s">
        <v>29</v>
      </c>
      <c r="T2386" s="83" t="s">
        <v>30</v>
      </c>
      <c r="U2386" s="24" t="s">
        <v>31</v>
      </c>
      <c r="V2386" s="119" t="n">
        <v>43881</v>
      </c>
      <c r="W2386" s="18" t="s">
        <v>3859</v>
      </c>
      <c r="X2386" s="18"/>
      <c r="AMJ2386" s="134"/>
    </row>
    <row r="2387" customFormat="false" ht="13.8" hidden="false" customHeight="false" outlineLevel="0" collapsed="false">
      <c r="A2387" s="18"/>
      <c r="B2387" s="65" t="s">
        <v>3860</v>
      </c>
      <c r="C2387" s="81" t="n">
        <v>43788</v>
      </c>
      <c r="D2387" s="115" t="s">
        <v>22</v>
      </c>
      <c r="E2387" s="65" t="s">
        <v>717</v>
      </c>
      <c r="F2387" s="91" t="s">
        <v>392</v>
      </c>
      <c r="G2387" s="65" t="s">
        <v>269</v>
      </c>
      <c r="H2387" s="65" t="s">
        <v>49</v>
      </c>
      <c r="I2387" s="65" t="s">
        <v>27</v>
      </c>
      <c r="J2387" s="83" t="n">
        <v>65.58</v>
      </c>
      <c r="K2387" s="84" t="n">
        <v>730000</v>
      </c>
      <c r="L2387" s="85" t="n">
        <f aca="false">K2387/J2387</f>
        <v>11131.4425129613</v>
      </c>
      <c r="M2387" s="90" t="s">
        <v>3582</v>
      </c>
      <c r="N2387" s="87" t="n">
        <v>20000</v>
      </c>
      <c r="O2387" s="88" t="n">
        <v>750000</v>
      </c>
      <c r="P2387" s="85" t="n">
        <v>9185.80375782881</v>
      </c>
      <c r="Q2387" s="65" t="s">
        <v>3861</v>
      </c>
      <c r="R2387" s="65" t="s">
        <v>26</v>
      </c>
      <c r="S2387" s="118" t="s">
        <v>29</v>
      </c>
      <c r="T2387" s="83" t="s">
        <v>30</v>
      </c>
      <c r="U2387" s="24" t="s">
        <v>31</v>
      </c>
      <c r="V2387" s="119" t="n">
        <v>43881</v>
      </c>
      <c r="W2387" s="23" t="s">
        <v>3862</v>
      </c>
      <c r="X2387" s="110"/>
    </row>
    <row r="2388" customFormat="false" ht="13.8" hidden="false" customHeight="false" outlineLevel="0" collapsed="false">
      <c r="A2388" s="18"/>
      <c r="B2388" s="62" t="n">
        <v>5421</v>
      </c>
      <c r="C2388" s="81" t="n">
        <v>43788</v>
      </c>
      <c r="D2388" s="115" t="s">
        <v>22</v>
      </c>
      <c r="E2388" s="65" t="s">
        <v>319</v>
      </c>
      <c r="F2388" s="82" t="s">
        <v>320</v>
      </c>
      <c r="G2388" s="65" t="s">
        <v>26</v>
      </c>
      <c r="H2388" s="112" t="s">
        <v>3863</v>
      </c>
      <c r="I2388" s="112" t="s">
        <v>57</v>
      </c>
      <c r="J2388" s="83" t="n">
        <v>60.29</v>
      </c>
      <c r="K2388" s="84" t="n">
        <v>600000</v>
      </c>
      <c r="L2388" s="113" t="n">
        <f aca="false">K2388/J2388</f>
        <v>9951.89915408857</v>
      </c>
      <c r="M2388" s="114" t="s">
        <v>3864</v>
      </c>
      <c r="N2388" s="93" t="n">
        <v>30000</v>
      </c>
      <c r="O2388" s="88" t="n">
        <v>630000</v>
      </c>
      <c r="P2388" s="88" t="n">
        <f aca="false">O2388/J2388</f>
        <v>10449.494111793</v>
      </c>
      <c r="Q2388" s="83" t="s">
        <v>3865</v>
      </c>
      <c r="R2388" s="65" t="s">
        <v>36</v>
      </c>
      <c r="S2388" s="65" t="s">
        <v>29</v>
      </c>
      <c r="T2388" s="65" t="s">
        <v>30</v>
      </c>
      <c r="U2388" s="24" t="s">
        <v>31</v>
      </c>
      <c r="V2388" s="89" t="n">
        <v>43881</v>
      </c>
      <c r="W2388" s="18" t="s">
        <v>3866</v>
      </c>
      <c r="X2388" s="18"/>
    </row>
    <row r="2389" s="108" customFormat="true" ht="13.8" hidden="false" customHeight="false" outlineLevel="0" collapsed="false">
      <c r="A2389" s="95"/>
      <c r="B2389" s="122" t="n">
        <v>7474</v>
      </c>
      <c r="C2389" s="81" t="n">
        <v>43788</v>
      </c>
      <c r="D2389" s="98" t="s">
        <v>22</v>
      </c>
      <c r="E2389" s="96" t="s">
        <v>331</v>
      </c>
      <c r="F2389" s="99" t="s">
        <v>332</v>
      </c>
      <c r="G2389" s="96" t="s">
        <v>545</v>
      </c>
      <c r="H2389" s="126" t="s">
        <v>143</v>
      </c>
      <c r="I2389" s="126" t="s">
        <v>49</v>
      </c>
      <c r="J2389" s="100" t="n">
        <v>80.13</v>
      </c>
      <c r="K2389" s="101" t="n">
        <v>400000</v>
      </c>
      <c r="L2389" s="127" t="n">
        <f aca="false">K2389/J2389</f>
        <v>4991.88818170473</v>
      </c>
      <c r="M2389" s="128" t="s">
        <v>3867</v>
      </c>
      <c r="N2389" s="129" t="n">
        <v>40000</v>
      </c>
      <c r="O2389" s="105" t="n">
        <v>440000</v>
      </c>
      <c r="P2389" s="105" t="n">
        <f aca="false">O2389/J2389</f>
        <v>5491.0769998752</v>
      </c>
      <c r="Q2389" s="100" t="s">
        <v>3868</v>
      </c>
      <c r="R2389" s="96" t="s">
        <v>26</v>
      </c>
      <c r="S2389" s="96" t="s">
        <v>29</v>
      </c>
      <c r="T2389" s="96" t="s">
        <v>30</v>
      </c>
      <c r="U2389" s="106" t="s">
        <v>31</v>
      </c>
      <c r="V2389" s="107" t="n">
        <v>43881</v>
      </c>
      <c r="W2389" s="95" t="s">
        <v>3869</v>
      </c>
      <c r="X2389" s="95"/>
    </row>
    <row r="2390" s="150" customFormat="true" ht="13.8" hidden="false" customHeight="false" outlineLevel="0" collapsed="false">
      <c r="A2390" s="61"/>
      <c r="B2390" s="62" t="n">
        <v>20551</v>
      </c>
      <c r="C2390" s="81" t="n">
        <v>43788</v>
      </c>
      <c r="D2390" s="64" t="s">
        <v>22</v>
      </c>
      <c r="E2390" s="65" t="s">
        <v>322</v>
      </c>
      <c r="F2390" s="18" t="s">
        <v>323</v>
      </c>
      <c r="G2390" s="62" t="s">
        <v>1245</v>
      </c>
      <c r="H2390" s="62" t="n">
        <v>22</v>
      </c>
      <c r="I2390" s="62" t="n">
        <v>6</v>
      </c>
      <c r="J2390" s="62" t="n">
        <v>49.7</v>
      </c>
      <c r="K2390" s="66" t="n">
        <v>580000</v>
      </c>
      <c r="L2390" s="66" t="n">
        <f aca="false">K2390/J2390</f>
        <v>11670.0201207243</v>
      </c>
      <c r="M2390" s="18" t="s">
        <v>940</v>
      </c>
      <c r="N2390" s="66" t="n">
        <v>35000</v>
      </c>
      <c r="O2390" s="66" t="n">
        <f aca="false">K2390+N2390</f>
        <v>615000</v>
      </c>
      <c r="P2390" s="66" t="n">
        <f aca="false">O2390/J2390</f>
        <v>12374.245472837</v>
      </c>
      <c r="Q2390" s="67" t="s">
        <v>903</v>
      </c>
      <c r="R2390" s="65"/>
      <c r="S2390" s="67" t="s">
        <v>29</v>
      </c>
      <c r="T2390" s="62" t="s">
        <v>30</v>
      </c>
      <c r="U2390" s="68" t="s">
        <v>31</v>
      </c>
      <c r="V2390" s="63" t="n">
        <v>43886</v>
      </c>
      <c r="W2390" s="18" t="s">
        <v>3870</v>
      </c>
      <c r="X2390" s="18"/>
      <c r="AMJ2390" s="151"/>
    </row>
    <row r="2391" s="150" customFormat="true" ht="13.8" hidden="false" customHeight="false" outlineLevel="0" collapsed="false">
      <c r="A2391" s="61"/>
      <c r="B2391" s="62" t="n">
        <v>71324</v>
      </c>
      <c r="C2391" s="81" t="n">
        <v>43788</v>
      </c>
      <c r="D2391" s="64" t="s">
        <v>22</v>
      </c>
      <c r="E2391" s="65" t="s">
        <v>187</v>
      </c>
      <c r="F2391" s="18" t="s">
        <v>1041</v>
      </c>
      <c r="G2391" s="62" t="n">
        <v>86</v>
      </c>
      <c r="H2391" s="62" t="n">
        <v>86</v>
      </c>
      <c r="I2391" s="62" t="n">
        <v>11</v>
      </c>
      <c r="J2391" s="62" t="n">
        <v>41</v>
      </c>
      <c r="K2391" s="66" t="n">
        <v>410000</v>
      </c>
      <c r="L2391" s="66" t="n">
        <f aca="false">K2391/J2391</f>
        <v>10000</v>
      </c>
      <c r="M2391" s="18"/>
      <c r="N2391" s="66"/>
      <c r="O2391" s="66" t="n">
        <f aca="false">K2391+N2391</f>
        <v>410000</v>
      </c>
      <c r="P2391" s="66" t="n">
        <f aca="false">O2391/J2391</f>
        <v>10000</v>
      </c>
      <c r="Q2391" s="67" t="s">
        <v>903</v>
      </c>
      <c r="R2391" s="65"/>
      <c r="S2391" s="67" t="s">
        <v>3871</v>
      </c>
      <c r="T2391" s="62" t="s">
        <v>30</v>
      </c>
      <c r="U2391" s="68" t="s">
        <v>31</v>
      </c>
      <c r="V2391" s="63" t="n">
        <v>43886</v>
      </c>
      <c r="W2391" s="18" t="s">
        <v>3872</v>
      </c>
      <c r="X2391" s="18"/>
      <c r="AMJ2391" s="151"/>
    </row>
    <row r="2392" s="150" customFormat="true" ht="13.8" hidden="false" customHeight="false" outlineLevel="0" collapsed="false">
      <c r="A2392" s="61"/>
      <c r="B2392" s="62" t="n">
        <v>5431</v>
      </c>
      <c r="C2392" s="81" t="n">
        <v>43788</v>
      </c>
      <c r="D2392" s="64" t="s">
        <v>22</v>
      </c>
      <c r="E2392" s="65" t="s">
        <v>109</v>
      </c>
      <c r="F2392" s="18" t="s">
        <v>1303</v>
      </c>
      <c r="G2392" s="62" t="s">
        <v>3873</v>
      </c>
      <c r="H2392" s="62" t="n">
        <v>10</v>
      </c>
      <c r="I2392" s="62" t="n">
        <v>1</v>
      </c>
      <c r="J2392" s="62" t="n">
        <v>48.9</v>
      </c>
      <c r="K2392" s="66" t="n">
        <v>640000</v>
      </c>
      <c r="L2392" s="66" t="n">
        <f aca="false">K2392/J2392</f>
        <v>13087.9345603272</v>
      </c>
      <c r="M2392" s="18" t="s">
        <v>3874</v>
      </c>
      <c r="N2392" s="66"/>
      <c r="O2392" s="66" t="n">
        <f aca="false">K2392+N2392</f>
        <v>640000</v>
      </c>
      <c r="P2392" s="66" t="n">
        <f aca="false">O2392/J2392</f>
        <v>13087.9345603272</v>
      </c>
      <c r="Q2392" s="67" t="s">
        <v>903</v>
      </c>
      <c r="R2392" s="65"/>
      <c r="S2392" s="67" t="s">
        <v>29</v>
      </c>
      <c r="T2392" s="62" t="s">
        <v>30</v>
      </c>
      <c r="U2392" s="68" t="s">
        <v>31</v>
      </c>
      <c r="V2392" s="63" t="n">
        <v>43886</v>
      </c>
      <c r="W2392" s="18" t="s">
        <v>2566</v>
      </c>
      <c r="X2392" s="18"/>
      <c r="AMJ2392" s="151"/>
    </row>
    <row r="2393" s="150" customFormat="true" ht="14.15" hidden="false" customHeight="false" outlineLevel="0" collapsed="false">
      <c r="A2393" s="61"/>
      <c r="B2393" s="62" t="n">
        <v>5894</v>
      </c>
      <c r="C2393" s="81" t="n">
        <v>43788</v>
      </c>
      <c r="D2393" s="64" t="s">
        <v>22</v>
      </c>
      <c r="E2393" s="65" t="s">
        <v>72</v>
      </c>
      <c r="F2393" s="18" t="s">
        <v>46</v>
      </c>
      <c r="G2393" s="62" t="s">
        <v>786</v>
      </c>
      <c r="H2393" s="62" t="n">
        <v>50</v>
      </c>
      <c r="I2393" s="62" t="n">
        <v>2</v>
      </c>
      <c r="J2393" s="62" t="n">
        <v>55.25</v>
      </c>
      <c r="K2393" s="66" t="n">
        <v>655000</v>
      </c>
      <c r="L2393" s="66" t="n">
        <f aca="false">K2393/J2393</f>
        <v>11855.2036199095</v>
      </c>
      <c r="M2393" s="18"/>
      <c r="N2393" s="66"/>
      <c r="O2393" s="66" t="n">
        <f aca="false">K2393+N2393</f>
        <v>655000</v>
      </c>
      <c r="P2393" s="66" t="n">
        <f aca="false">O2393/J2393</f>
        <v>11855.2036199095</v>
      </c>
      <c r="Q2393" s="67" t="s">
        <v>903</v>
      </c>
      <c r="R2393" s="65" t="s">
        <v>36</v>
      </c>
      <c r="S2393" s="67" t="s">
        <v>29</v>
      </c>
      <c r="T2393" s="62" t="s">
        <v>30</v>
      </c>
      <c r="U2393" s="68" t="s">
        <v>31</v>
      </c>
      <c r="V2393" s="63" t="n">
        <v>43886</v>
      </c>
      <c r="W2393" s="18" t="s">
        <v>3875</v>
      </c>
      <c r="X2393" s="18"/>
      <c r="AMJ2393" s="151"/>
    </row>
    <row r="2394" s="151" customFormat="true" ht="13.8" hidden="false" customHeight="false" outlineLevel="0" collapsed="false">
      <c r="A2394" s="18"/>
      <c r="B2394" s="62" t="n">
        <v>1710</v>
      </c>
      <c r="C2394" s="81" t="n">
        <v>43789</v>
      </c>
      <c r="D2394" s="115" t="s">
        <v>22</v>
      </c>
      <c r="E2394" s="65" t="s">
        <v>665</v>
      </c>
      <c r="F2394" s="82" t="s">
        <v>666</v>
      </c>
      <c r="G2394" s="65" t="s">
        <v>101</v>
      </c>
      <c r="H2394" s="112" t="s">
        <v>3876</v>
      </c>
      <c r="I2394" s="112" t="s">
        <v>36</v>
      </c>
      <c r="J2394" s="83" t="n">
        <v>85</v>
      </c>
      <c r="K2394" s="84" t="n">
        <v>1375000</v>
      </c>
      <c r="L2394" s="113" t="n">
        <f aca="false">K2394/J2394</f>
        <v>16176.4705882353</v>
      </c>
      <c r="M2394" s="114" t="s">
        <v>3877</v>
      </c>
      <c r="N2394" s="93" t="n">
        <v>50000</v>
      </c>
      <c r="O2394" s="88" t="n">
        <v>1375000</v>
      </c>
      <c r="P2394" s="88" t="n">
        <v>16176.4705882353</v>
      </c>
      <c r="Q2394" s="83" t="s">
        <v>3878</v>
      </c>
      <c r="R2394" s="65" t="s">
        <v>26</v>
      </c>
      <c r="S2394" s="118" t="s">
        <v>29</v>
      </c>
      <c r="T2394" s="83" t="s">
        <v>30</v>
      </c>
      <c r="U2394" s="24" t="s">
        <v>31</v>
      </c>
      <c r="V2394" s="119" t="n">
        <v>43881</v>
      </c>
      <c r="W2394" s="18" t="s">
        <v>3879</v>
      </c>
      <c r="X2394" s="18"/>
    </row>
    <row r="2395" s="151" customFormat="true" ht="13.8" hidden="false" customHeight="false" outlineLevel="0" collapsed="false">
      <c r="A2395" s="18"/>
      <c r="B2395" s="65" t="s">
        <v>3880</v>
      </c>
      <c r="C2395" s="81" t="n">
        <v>43789</v>
      </c>
      <c r="D2395" s="115" t="s">
        <v>22</v>
      </c>
      <c r="E2395" s="65" t="s">
        <v>42</v>
      </c>
      <c r="F2395" s="82" t="s">
        <v>1028</v>
      </c>
      <c r="G2395" s="65" t="s">
        <v>111</v>
      </c>
      <c r="H2395" s="65" t="s">
        <v>49</v>
      </c>
      <c r="I2395" s="65" t="s">
        <v>27</v>
      </c>
      <c r="J2395" s="83" t="n">
        <v>38.6</v>
      </c>
      <c r="K2395" s="84" t="n">
        <v>320000</v>
      </c>
      <c r="L2395" s="85" t="n">
        <f aca="false">K2395/J2395</f>
        <v>8290.15544041451</v>
      </c>
      <c r="M2395" s="86"/>
      <c r="N2395" s="87"/>
      <c r="O2395" s="88" t="n">
        <v>320000</v>
      </c>
      <c r="P2395" s="88" t="n">
        <v>8290.15544041451</v>
      </c>
      <c r="Q2395" s="83" t="s">
        <v>3693</v>
      </c>
      <c r="R2395" s="65" t="s">
        <v>36</v>
      </c>
      <c r="S2395" s="65" t="s">
        <v>29</v>
      </c>
      <c r="T2395" s="65" t="s">
        <v>30</v>
      </c>
      <c r="U2395" s="24" t="s">
        <v>31</v>
      </c>
      <c r="V2395" s="89" t="n">
        <v>43881</v>
      </c>
      <c r="W2395" s="18" t="s">
        <v>3881</v>
      </c>
      <c r="X2395" s="18"/>
    </row>
    <row r="2396" s="151" customFormat="true" ht="13.8" hidden="false" customHeight="false" outlineLevel="0" collapsed="false">
      <c r="A2396" s="18"/>
      <c r="B2396" s="62" t="n">
        <v>5615</v>
      </c>
      <c r="C2396" s="81" t="n">
        <v>43789</v>
      </c>
      <c r="D2396" s="64" t="s">
        <v>22</v>
      </c>
      <c r="E2396" s="65" t="s">
        <v>276</v>
      </c>
      <c r="F2396" s="82" t="s">
        <v>2535</v>
      </c>
      <c r="G2396" s="65" t="s">
        <v>25</v>
      </c>
      <c r="H2396" s="112" t="s">
        <v>112</v>
      </c>
      <c r="I2396" s="112" t="s">
        <v>26</v>
      </c>
      <c r="J2396" s="83" t="n">
        <v>78.39</v>
      </c>
      <c r="K2396" s="84" t="n">
        <v>699000</v>
      </c>
      <c r="L2396" s="113" t="n">
        <f aca="false">K2396/J2396</f>
        <v>8916.9536930731</v>
      </c>
      <c r="M2396" s="114"/>
      <c r="N2396" s="93"/>
      <c r="O2396" s="88" t="n">
        <v>699000</v>
      </c>
      <c r="P2396" s="88" t="n">
        <v>8916.9536930731</v>
      </c>
      <c r="Q2396" s="83" t="s">
        <v>3882</v>
      </c>
      <c r="R2396" s="65" t="s">
        <v>26</v>
      </c>
      <c r="S2396" s="65" t="s">
        <v>29</v>
      </c>
      <c r="T2396" s="65" t="s">
        <v>30</v>
      </c>
      <c r="U2396" s="24" t="s">
        <v>31</v>
      </c>
      <c r="V2396" s="89" t="n">
        <v>43881</v>
      </c>
      <c r="W2396" s="18" t="s">
        <v>3883</v>
      </c>
      <c r="X2396" s="18"/>
    </row>
    <row r="2397" s="151" customFormat="true" ht="13.8" hidden="false" customHeight="false" outlineLevel="0" collapsed="false">
      <c r="A2397" s="61"/>
      <c r="B2397" s="62" t="n">
        <v>6438</v>
      </c>
      <c r="C2397" s="81" t="n">
        <v>43789</v>
      </c>
      <c r="D2397" s="64" t="s">
        <v>22</v>
      </c>
      <c r="E2397" s="65" t="s">
        <v>212</v>
      </c>
      <c r="F2397" s="18" t="s">
        <v>3884</v>
      </c>
      <c r="G2397" s="62" t="n">
        <v>366</v>
      </c>
      <c r="H2397" s="62" t="n">
        <v>37</v>
      </c>
      <c r="I2397" s="62" t="n">
        <v>7</v>
      </c>
      <c r="J2397" s="62" t="n">
        <v>57.4</v>
      </c>
      <c r="K2397" s="66" t="n">
        <v>525000</v>
      </c>
      <c r="L2397" s="66" t="n">
        <f aca="false">K2397/J2397</f>
        <v>9146.34146341463</v>
      </c>
      <c r="M2397" s="18"/>
      <c r="N2397" s="66"/>
      <c r="O2397" s="66" t="n">
        <f aca="false">K2397+N2397</f>
        <v>525000</v>
      </c>
      <c r="P2397" s="66" t="n">
        <f aca="false">O2397/J2397</f>
        <v>9146.34146341463</v>
      </c>
      <c r="Q2397" s="67" t="s">
        <v>861</v>
      </c>
      <c r="R2397" s="65" t="s">
        <v>49</v>
      </c>
      <c r="S2397" s="67" t="s">
        <v>29</v>
      </c>
      <c r="T2397" s="62" t="s">
        <v>30</v>
      </c>
      <c r="U2397" s="68" t="s">
        <v>31</v>
      </c>
      <c r="V2397" s="63" t="n">
        <v>43886</v>
      </c>
      <c r="W2397" s="18" t="s">
        <v>3885</v>
      </c>
      <c r="X2397" s="18"/>
      <c r="Y2397" s="150"/>
      <c r="Z2397" s="150"/>
      <c r="AA2397" s="150"/>
      <c r="AB2397" s="150"/>
      <c r="AC2397" s="150"/>
      <c r="AD2397" s="150"/>
      <c r="AE2397" s="150"/>
      <c r="AF2397" s="150"/>
      <c r="AG2397" s="150"/>
      <c r="AH2397" s="150"/>
      <c r="AI2397" s="150"/>
      <c r="AJ2397" s="150"/>
      <c r="AK2397" s="150"/>
      <c r="AL2397" s="150"/>
      <c r="AM2397" s="150"/>
      <c r="AN2397" s="150"/>
      <c r="AO2397" s="150"/>
      <c r="AP2397" s="150"/>
      <c r="AQ2397" s="150"/>
      <c r="AR2397" s="150"/>
      <c r="AS2397" s="150"/>
      <c r="AT2397" s="150"/>
      <c r="AU2397" s="150"/>
      <c r="AV2397" s="150"/>
      <c r="AW2397" s="150"/>
      <c r="AX2397" s="150"/>
      <c r="AY2397" s="150"/>
      <c r="AZ2397" s="150"/>
      <c r="BA2397" s="150"/>
      <c r="BB2397" s="150"/>
      <c r="BC2397" s="150"/>
      <c r="BD2397" s="150"/>
      <c r="BE2397" s="150"/>
      <c r="BF2397" s="150"/>
    </row>
    <row r="2398" s="150" customFormat="true" ht="13.8" hidden="false" customHeight="false" outlineLevel="0" collapsed="false">
      <c r="A2398" s="61"/>
      <c r="B2398" s="62" t="n">
        <v>7506</v>
      </c>
      <c r="C2398" s="81" t="n">
        <v>43789</v>
      </c>
      <c r="D2398" s="64" t="s">
        <v>22</v>
      </c>
      <c r="E2398" s="65" t="s">
        <v>118</v>
      </c>
      <c r="F2398" s="18" t="s">
        <v>1029</v>
      </c>
      <c r="G2398" s="62" t="n">
        <v>34</v>
      </c>
      <c r="H2398" s="62" t="n">
        <v>13</v>
      </c>
      <c r="I2398" s="62" t="n">
        <v>4</v>
      </c>
      <c r="J2398" s="62" t="n">
        <v>26.73</v>
      </c>
      <c r="K2398" s="66" t="n">
        <v>330000</v>
      </c>
      <c r="L2398" s="66" t="n">
        <f aca="false">K2398/J2398</f>
        <v>12345.6790123457</v>
      </c>
      <c r="M2398" s="18" t="s">
        <v>3886</v>
      </c>
      <c r="N2398" s="66"/>
      <c r="O2398" s="66" t="n">
        <f aca="false">K2398+N2398</f>
        <v>330000</v>
      </c>
      <c r="P2398" s="66" t="n">
        <f aca="false">O2398/J2398</f>
        <v>12345.6790123457</v>
      </c>
      <c r="Q2398" s="67" t="s">
        <v>1181</v>
      </c>
      <c r="R2398" s="65"/>
      <c r="S2398" s="67" t="s">
        <v>29</v>
      </c>
      <c r="T2398" s="62" t="s">
        <v>30</v>
      </c>
      <c r="U2398" s="68" t="s">
        <v>31</v>
      </c>
      <c r="V2398" s="63" t="n">
        <v>43886</v>
      </c>
      <c r="W2398" s="18" t="s">
        <v>3887</v>
      </c>
      <c r="X2398" s="18"/>
    </row>
    <row r="2399" s="150" customFormat="true" ht="13.8" hidden="false" customHeight="false" outlineLevel="0" collapsed="false">
      <c r="A2399" s="61"/>
      <c r="B2399" s="62" t="n">
        <v>3250</v>
      </c>
      <c r="C2399" s="81" t="n">
        <v>43789</v>
      </c>
      <c r="D2399" s="64" t="s">
        <v>22</v>
      </c>
      <c r="E2399" s="65" t="s">
        <v>284</v>
      </c>
      <c r="F2399" s="18" t="s">
        <v>744</v>
      </c>
      <c r="G2399" s="152" t="s">
        <v>3888</v>
      </c>
      <c r="H2399" s="62" t="n">
        <v>23</v>
      </c>
      <c r="I2399" s="62" t="n">
        <v>4</v>
      </c>
      <c r="J2399" s="62" t="n">
        <v>82</v>
      </c>
      <c r="K2399" s="66" t="n">
        <f aca="false">21000/2%</f>
        <v>1050000</v>
      </c>
      <c r="L2399" s="66" t="n">
        <f aca="false">K2399/J2399</f>
        <v>12804.8780487805</v>
      </c>
      <c r="M2399" s="18"/>
      <c r="N2399" s="66"/>
      <c r="O2399" s="66" t="n">
        <f aca="false">K2399+N2399</f>
        <v>1050000</v>
      </c>
      <c r="P2399" s="66" t="n">
        <f aca="false">O2399/J2399</f>
        <v>12804.8780487805</v>
      </c>
      <c r="Q2399" s="67" t="s">
        <v>3208</v>
      </c>
      <c r="R2399" s="65"/>
      <c r="S2399" s="67" t="s">
        <v>29</v>
      </c>
      <c r="T2399" s="62" t="s">
        <v>30</v>
      </c>
      <c r="U2399" s="68" t="s">
        <v>31</v>
      </c>
      <c r="V2399" s="63" t="n">
        <v>43886</v>
      </c>
      <c r="W2399" s="18" t="s">
        <v>3889</v>
      </c>
      <c r="X2399" s="18"/>
    </row>
    <row r="2400" s="150" customFormat="true" ht="13.8" hidden="false" customHeight="false" outlineLevel="0" collapsed="false">
      <c r="A2400" s="61"/>
      <c r="B2400" s="62" t="n">
        <v>6898</v>
      </c>
      <c r="C2400" s="81" t="n">
        <v>43789</v>
      </c>
      <c r="D2400" s="64" t="s">
        <v>22</v>
      </c>
      <c r="E2400" s="65" t="s">
        <v>1774</v>
      </c>
      <c r="F2400" s="18" t="s">
        <v>1775</v>
      </c>
      <c r="G2400" s="62" t="n">
        <v>12</v>
      </c>
      <c r="H2400" s="62" t="n">
        <v>7</v>
      </c>
      <c r="I2400" s="62" t="n">
        <v>2</v>
      </c>
      <c r="J2400" s="62" t="n">
        <v>66.41</v>
      </c>
      <c r="K2400" s="66" t="n">
        <v>680000</v>
      </c>
      <c r="L2400" s="66" t="n">
        <f aca="false">K2400/J2400</f>
        <v>10239.4217738292</v>
      </c>
      <c r="M2400" s="18" t="s">
        <v>3890</v>
      </c>
      <c r="N2400" s="66"/>
      <c r="O2400" s="66" t="n">
        <f aca="false">K2400+N2400</f>
        <v>680000</v>
      </c>
      <c r="P2400" s="66" t="n">
        <f aca="false">O2400/J2400</f>
        <v>10239.4217738292</v>
      </c>
      <c r="Q2400" s="67" t="s">
        <v>861</v>
      </c>
      <c r="R2400" s="65"/>
      <c r="S2400" s="67" t="s">
        <v>29</v>
      </c>
      <c r="T2400" s="62" t="s">
        <v>30</v>
      </c>
      <c r="U2400" s="68" t="s">
        <v>31</v>
      </c>
      <c r="V2400" s="63" t="n">
        <v>43886</v>
      </c>
      <c r="W2400" s="18" t="s">
        <v>3891</v>
      </c>
      <c r="X2400" s="18"/>
    </row>
    <row r="2401" s="150" customFormat="true" ht="13.8" hidden="false" customHeight="false" outlineLevel="0" collapsed="false">
      <c r="A2401" s="61"/>
      <c r="B2401" s="62" t="n">
        <v>4231</v>
      </c>
      <c r="C2401" s="81" t="n">
        <v>43790</v>
      </c>
      <c r="D2401" s="64" t="s">
        <v>22</v>
      </c>
      <c r="E2401" s="65" t="s">
        <v>572</v>
      </c>
      <c r="F2401" s="18" t="s">
        <v>366</v>
      </c>
      <c r="G2401" s="62" t="n">
        <v>10</v>
      </c>
      <c r="H2401" s="62" t="n">
        <v>218</v>
      </c>
      <c r="I2401" s="62" t="n">
        <v>2</v>
      </c>
      <c r="J2401" s="62" t="n">
        <v>56.7</v>
      </c>
      <c r="K2401" s="66" t="n">
        <v>440000</v>
      </c>
      <c r="L2401" s="66" t="n">
        <f aca="false">K2401/J2401</f>
        <v>7760.14109347443</v>
      </c>
      <c r="M2401" s="18" t="s">
        <v>3892</v>
      </c>
      <c r="N2401" s="66"/>
      <c r="O2401" s="66" t="n">
        <f aca="false">K2401+N2401</f>
        <v>440000</v>
      </c>
      <c r="P2401" s="66" t="n">
        <f aca="false">O2401/J2401</f>
        <v>7760.14109347443</v>
      </c>
      <c r="Q2401" s="67" t="s">
        <v>3893</v>
      </c>
      <c r="R2401" s="65"/>
      <c r="S2401" s="67" t="s">
        <v>29</v>
      </c>
      <c r="T2401" s="62" t="s">
        <v>30</v>
      </c>
      <c r="U2401" s="68" t="s">
        <v>31</v>
      </c>
      <c r="V2401" s="63" t="n">
        <v>43886</v>
      </c>
      <c r="W2401" s="18" t="s">
        <v>3894</v>
      </c>
      <c r="X2401" s="18" t="s">
        <v>1390</v>
      </c>
    </row>
    <row r="2402" s="150" customFormat="true" ht="13.8" hidden="false" customHeight="false" outlineLevel="0" collapsed="false">
      <c r="A2402" s="61"/>
      <c r="B2402" s="62" t="n">
        <v>5505</v>
      </c>
      <c r="C2402" s="81" t="n">
        <v>43790</v>
      </c>
      <c r="D2402" s="64" t="s">
        <v>22</v>
      </c>
      <c r="E2402" s="65" t="s">
        <v>53</v>
      </c>
      <c r="F2402" s="18" t="s">
        <v>366</v>
      </c>
      <c r="G2402" s="62" t="n">
        <v>22</v>
      </c>
      <c r="H2402" s="62" t="n">
        <v>121</v>
      </c>
      <c r="I2402" s="62" t="n">
        <v>1</v>
      </c>
      <c r="J2402" s="62" t="n">
        <v>32.9</v>
      </c>
      <c r="K2402" s="66" t="n">
        <v>305000</v>
      </c>
      <c r="L2402" s="66" t="n">
        <f aca="false">K2402/J2402</f>
        <v>9270.51671732523</v>
      </c>
      <c r="M2402" s="18"/>
      <c r="N2402" s="66"/>
      <c r="O2402" s="66" t="n">
        <f aca="false">K2402+N2402</f>
        <v>305000</v>
      </c>
      <c r="P2402" s="66" t="n">
        <f aca="false">O2402/J2402</f>
        <v>9270.51671732523</v>
      </c>
      <c r="Q2402" s="67" t="s">
        <v>1181</v>
      </c>
      <c r="R2402" s="65"/>
      <c r="S2402" s="67" t="s">
        <v>29</v>
      </c>
      <c r="T2402" s="62" t="s">
        <v>30</v>
      </c>
      <c r="U2402" s="68" t="s">
        <v>31</v>
      </c>
      <c r="V2402" s="63" t="n">
        <v>43886</v>
      </c>
      <c r="W2402" s="18" t="s">
        <v>3895</v>
      </c>
      <c r="X2402" s="18"/>
    </row>
    <row r="2403" s="150" customFormat="true" ht="13.8" hidden="false" customHeight="false" outlineLevel="0" collapsed="false">
      <c r="A2403" s="61"/>
      <c r="B2403" s="62" t="n">
        <v>71925</v>
      </c>
      <c r="C2403" s="81" t="n">
        <v>43790</v>
      </c>
      <c r="D2403" s="64" t="s">
        <v>22</v>
      </c>
      <c r="E2403" s="65" t="s">
        <v>23</v>
      </c>
      <c r="F2403" s="18" t="s">
        <v>3896</v>
      </c>
      <c r="G2403" s="62" t="s">
        <v>262</v>
      </c>
      <c r="H2403" s="62" t="n">
        <v>1</v>
      </c>
      <c r="I2403" s="62" t="n">
        <v>1</v>
      </c>
      <c r="J2403" s="62" t="n">
        <v>48.8</v>
      </c>
      <c r="K2403" s="66" t="n">
        <v>460000</v>
      </c>
      <c r="L2403" s="66" t="n">
        <f aca="false">K2403/J2403</f>
        <v>9426.22950819672</v>
      </c>
      <c r="M2403" s="18" t="s">
        <v>3897</v>
      </c>
      <c r="N2403" s="66"/>
      <c r="O2403" s="66" t="n">
        <f aca="false">K2403+N2403</f>
        <v>460000</v>
      </c>
      <c r="P2403" s="66" t="n">
        <f aca="false">O2403/J2403</f>
        <v>9426.22950819672</v>
      </c>
      <c r="Q2403" s="67" t="s">
        <v>861</v>
      </c>
      <c r="R2403" s="65"/>
      <c r="S2403" s="67" t="s">
        <v>29</v>
      </c>
      <c r="T2403" s="62" t="s">
        <v>30</v>
      </c>
      <c r="U2403" s="68" t="s">
        <v>31</v>
      </c>
      <c r="V2403" s="63" t="n">
        <v>43886</v>
      </c>
      <c r="W2403" s="18" t="s">
        <v>3898</v>
      </c>
      <c r="X2403" s="18"/>
    </row>
    <row r="2404" s="150" customFormat="true" ht="13.8" hidden="false" customHeight="false" outlineLevel="0" collapsed="false">
      <c r="A2404" s="61"/>
      <c r="B2404" s="62" t="n">
        <v>4382</v>
      </c>
      <c r="C2404" s="81" t="n">
        <v>43790</v>
      </c>
      <c r="D2404" s="64" t="s">
        <v>22</v>
      </c>
      <c r="E2404" s="65" t="s">
        <v>122</v>
      </c>
      <c r="F2404" s="18" t="s">
        <v>723</v>
      </c>
      <c r="G2404" s="62" t="n">
        <v>90</v>
      </c>
      <c r="H2404" s="62" t="n">
        <v>111</v>
      </c>
      <c r="I2404" s="62" t="s">
        <v>3899</v>
      </c>
      <c r="J2404" s="62" t="n">
        <v>157</v>
      </c>
      <c r="K2404" s="66" t="n">
        <v>1620000</v>
      </c>
      <c r="L2404" s="66" t="n">
        <f aca="false">K2404/J2404</f>
        <v>10318.4713375796</v>
      </c>
      <c r="M2404" s="18"/>
      <c r="N2404" s="66"/>
      <c r="O2404" s="66" t="n">
        <f aca="false">K2404+N2404</f>
        <v>1620000</v>
      </c>
      <c r="P2404" s="66" t="n">
        <f aca="false">O2404/J2404</f>
        <v>10318.4713375796</v>
      </c>
      <c r="Q2404" s="67" t="s">
        <v>3900</v>
      </c>
      <c r="R2404" s="65"/>
      <c r="S2404" s="67" t="s">
        <v>29</v>
      </c>
      <c r="T2404" s="62" t="s">
        <v>30</v>
      </c>
      <c r="U2404" s="68" t="s">
        <v>31</v>
      </c>
      <c r="V2404" s="63" t="n">
        <v>43886</v>
      </c>
      <c r="W2404" s="18" t="s">
        <v>3901</v>
      </c>
      <c r="X2404" s="18"/>
    </row>
    <row r="2405" s="150" customFormat="true" ht="13.8" hidden="false" customHeight="false" outlineLevel="0" collapsed="false">
      <c r="A2405" s="61"/>
      <c r="B2405" s="62" t="n">
        <v>5992</v>
      </c>
      <c r="C2405" s="81" t="n">
        <v>43790</v>
      </c>
      <c r="D2405" s="64" t="s">
        <v>22</v>
      </c>
      <c r="E2405" s="65" t="s">
        <v>235</v>
      </c>
      <c r="F2405" s="18" t="s">
        <v>1614</v>
      </c>
      <c r="G2405" s="152" t="s">
        <v>3902</v>
      </c>
      <c r="H2405" s="62" t="n">
        <v>19</v>
      </c>
      <c r="I2405" s="62" t="n">
        <v>6</v>
      </c>
      <c r="J2405" s="62" t="n">
        <v>71.84</v>
      </c>
      <c r="K2405" s="66" t="n">
        <v>1020000</v>
      </c>
      <c r="L2405" s="66" t="n">
        <f aca="false">K2405/J2405</f>
        <v>14198.2182628062</v>
      </c>
      <c r="M2405" s="18" t="s">
        <v>3903</v>
      </c>
      <c r="N2405" s="66" t="n">
        <v>80000</v>
      </c>
      <c r="O2405" s="66" t="n">
        <f aca="false">K2405+N2405</f>
        <v>1100000</v>
      </c>
      <c r="P2405" s="66" t="n">
        <f aca="false">O2405/J2405</f>
        <v>15311.8040089087</v>
      </c>
      <c r="Q2405" s="67" t="s">
        <v>3904</v>
      </c>
      <c r="R2405" s="65" t="s">
        <v>27</v>
      </c>
      <c r="S2405" s="67" t="s">
        <v>29</v>
      </c>
      <c r="T2405" s="62" t="s">
        <v>30</v>
      </c>
      <c r="U2405" s="68" t="s">
        <v>31</v>
      </c>
      <c r="V2405" s="63" t="n">
        <v>43886</v>
      </c>
      <c r="W2405" s="18" t="s">
        <v>3905</v>
      </c>
      <c r="X2405" s="18"/>
    </row>
    <row r="2406" s="150" customFormat="true" ht="13.8" hidden="false" customHeight="false" outlineLevel="0" collapsed="false">
      <c r="A2406" s="61"/>
      <c r="B2406" s="62" t="n">
        <v>11514</v>
      </c>
      <c r="C2406" s="81" t="n">
        <v>43790</v>
      </c>
      <c r="D2406" s="64" t="s">
        <v>22</v>
      </c>
      <c r="E2406" s="65" t="s">
        <v>372</v>
      </c>
      <c r="F2406" s="18" t="s">
        <v>272</v>
      </c>
      <c r="G2406" s="62" t="n">
        <v>78</v>
      </c>
      <c r="H2406" s="62" t="n">
        <v>143</v>
      </c>
      <c r="I2406" s="62" t="n">
        <v>5</v>
      </c>
      <c r="J2406" s="62" t="n">
        <v>114</v>
      </c>
      <c r="K2406" s="66" t="n">
        <v>1108000</v>
      </c>
      <c r="L2406" s="66" t="n">
        <f aca="false">K2406/J2406</f>
        <v>9719.29824561403</v>
      </c>
      <c r="M2406" s="18" t="s">
        <v>3906</v>
      </c>
      <c r="N2406" s="66"/>
      <c r="O2406" s="66" t="n">
        <f aca="false">K2406+N2406</f>
        <v>1108000</v>
      </c>
      <c r="P2406" s="66" t="n">
        <f aca="false">O2406/J2406</f>
        <v>9719.29824561403</v>
      </c>
      <c r="Q2406" s="67" t="s">
        <v>3907</v>
      </c>
      <c r="R2406" s="65"/>
      <c r="S2406" s="67" t="s">
        <v>29</v>
      </c>
      <c r="T2406" s="62" t="s">
        <v>30</v>
      </c>
      <c r="U2406" s="68" t="s">
        <v>31</v>
      </c>
      <c r="V2406" s="63" t="n">
        <v>43886</v>
      </c>
      <c r="W2406" s="18" t="s">
        <v>3908</v>
      </c>
      <c r="X2406" s="18"/>
    </row>
    <row r="2407" s="151" customFormat="true" ht="13.8" hidden="false" customHeight="false" outlineLevel="0" collapsed="false">
      <c r="A2407" s="18"/>
      <c r="B2407" s="65" t="s">
        <v>3909</v>
      </c>
      <c r="C2407" s="81" t="n">
        <v>43791</v>
      </c>
      <c r="D2407" s="115" t="s">
        <v>22</v>
      </c>
      <c r="E2407" s="65" t="s">
        <v>229</v>
      </c>
      <c r="F2407" s="82" t="s">
        <v>230</v>
      </c>
      <c r="G2407" s="65" t="s">
        <v>3498</v>
      </c>
      <c r="H2407" s="65" t="s">
        <v>120</v>
      </c>
      <c r="I2407" s="65" t="s">
        <v>26</v>
      </c>
      <c r="J2407" s="83" t="n">
        <v>86.59</v>
      </c>
      <c r="K2407" s="84" t="n">
        <v>1390000</v>
      </c>
      <c r="L2407" s="85" t="n">
        <f aca="false">K2407/J2407</f>
        <v>16052.6619702044</v>
      </c>
      <c r="M2407" s="90" t="s">
        <v>3910</v>
      </c>
      <c r="N2407" s="87"/>
      <c r="O2407" s="88" t="n">
        <v>1390000</v>
      </c>
      <c r="P2407" s="88" t="n">
        <v>16052.6619702044</v>
      </c>
      <c r="Q2407" s="83" t="s">
        <v>3911</v>
      </c>
      <c r="R2407" s="65" t="s">
        <v>49</v>
      </c>
      <c r="S2407" s="65" t="s">
        <v>29</v>
      </c>
      <c r="T2407" s="65" t="s">
        <v>30</v>
      </c>
      <c r="U2407" s="24" t="s">
        <v>31</v>
      </c>
      <c r="V2407" s="89" t="n">
        <v>43881</v>
      </c>
      <c r="W2407" s="18" t="s">
        <v>3912</v>
      </c>
      <c r="X2407" s="18"/>
    </row>
    <row r="2408" s="151" customFormat="true" ht="13.8" hidden="false" customHeight="false" outlineLevel="0" collapsed="false">
      <c r="A2408" s="18"/>
      <c r="B2408" s="62" t="n">
        <v>5988</v>
      </c>
      <c r="C2408" s="81" t="n">
        <v>43791</v>
      </c>
      <c r="D2408" s="115" t="s">
        <v>22</v>
      </c>
      <c r="E2408" s="65" t="s">
        <v>350</v>
      </c>
      <c r="F2408" s="82" t="s">
        <v>351</v>
      </c>
      <c r="G2408" s="65" t="s">
        <v>27</v>
      </c>
      <c r="H2408" s="65" t="s">
        <v>3913</v>
      </c>
      <c r="I2408" s="65" t="s">
        <v>57</v>
      </c>
      <c r="J2408" s="83" t="n">
        <v>96.09</v>
      </c>
      <c r="K2408" s="84" t="n">
        <v>1115000</v>
      </c>
      <c r="L2408" s="85" t="n">
        <f aca="false">K2408/J2408</f>
        <v>11603.7048600271</v>
      </c>
      <c r="M2408" s="90" t="s">
        <v>3914</v>
      </c>
      <c r="N2408" s="87" t="n">
        <v>70000</v>
      </c>
      <c r="O2408" s="88" t="n">
        <v>1185000</v>
      </c>
      <c r="P2408" s="88" t="n">
        <f aca="false">O2408/J2408</f>
        <v>12332.1885732126</v>
      </c>
      <c r="Q2408" s="83" t="s">
        <v>3915</v>
      </c>
      <c r="R2408" s="65" t="s">
        <v>26</v>
      </c>
      <c r="S2408" s="65" t="s">
        <v>29</v>
      </c>
      <c r="T2408" s="65" t="s">
        <v>30</v>
      </c>
      <c r="U2408" s="24" t="s">
        <v>31</v>
      </c>
      <c r="V2408" s="89" t="n">
        <v>43881</v>
      </c>
      <c r="W2408" s="18" t="s">
        <v>3916</v>
      </c>
      <c r="X2408" s="18"/>
    </row>
    <row r="2409" s="151" customFormat="true" ht="13.8" hidden="false" customHeight="false" outlineLevel="0" collapsed="false">
      <c r="A2409" s="18"/>
      <c r="B2409" s="62" t="n">
        <v>20314</v>
      </c>
      <c r="C2409" s="81" t="n">
        <v>43791</v>
      </c>
      <c r="D2409" s="115" t="s">
        <v>22</v>
      </c>
      <c r="E2409" s="65" t="s">
        <v>122</v>
      </c>
      <c r="F2409" s="82" t="s">
        <v>46</v>
      </c>
      <c r="G2409" s="65" t="s">
        <v>123</v>
      </c>
      <c r="H2409" s="112" t="s">
        <v>77</v>
      </c>
      <c r="I2409" s="112" t="s">
        <v>26</v>
      </c>
      <c r="J2409" s="83" t="n">
        <v>63.57</v>
      </c>
      <c r="K2409" s="84" t="n">
        <v>700000</v>
      </c>
      <c r="L2409" s="113" t="n">
        <f aca="false">K2409/J2409</f>
        <v>11011.4834041214</v>
      </c>
      <c r="M2409" s="114"/>
      <c r="N2409" s="54"/>
      <c r="O2409" s="88" t="n">
        <v>700000</v>
      </c>
      <c r="P2409" s="88" t="n">
        <v>11011.4834041214</v>
      </c>
      <c r="Q2409" s="83" t="s">
        <v>3917</v>
      </c>
      <c r="R2409" s="65" t="s">
        <v>26</v>
      </c>
      <c r="S2409" s="65" t="s">
        <v>29</v>
      </c>
      <c r="T2409" s="65" t="s">
        <v>30</v>
      </c>
      <c r="U2409" s="24" t="s">
        <v>31</v>
      </c>
      <c r="V2409" s="89" t="n">
        <v>43881</v>
      </c>
      <c r="W2409" s="18" t="s">
        <v>3918</v>
      </c>
      <c r="X2409" s="18"/>
    </row>
    <row r="2410" s="151" customFormat="true" ht="13.8" hidden="false" customHeight="false" outlineLevel="0" collapsed="false">
      <c r="A2410" s="18"/>
      <c r="B2410" s="65" t="s">
        <v>3919</v>
      </c>
      <c r="C2410" s="81" t="n">
        <v>43791</v>
      </c>
      <c r="D2410" s="115" t="s">
        <v>22</v>
      </c>
      <c r="E2410" s="65" t="s">
        <v>45</v>
      </c>
      <c r="F2410" s="82" t="s">
        <v>485</v>
      </c>
      <c r="G2410" s="65" t="s">
        <v>49</v>
      </c>
      <c r="H2410" s="65" t="s">
        <v>143</v>
      </c>
      <c r="I2410" s="65" t="s">
        <v>26</v>
      </c>
      <c r="J2410" s="83" t="n">
        <v>47.1</v>
      </c>
      <c r="K2410" s="84" t="n">
        <v>620000</v>
      </c>
      <c r="L2410" s="85" t="n">
        <f aca="false">K2410/J2410</f>
        <v>13163.4819532909</v>
      </c>
      <c r="M2410" s="90"/>
      <c r="N2410" s="87"/>
      <c r="O2410" s="88" t="n">
        <v>620000</v>
      </c>
      <c r="P2410" s="88" t="n">
        <v>13163.4819532909</v>
      </c>
      <c r="Q2410" s="83" t="s">
        <v>3920</v>
      </c>
      <c r="R2410" s="65" t="s">
        <v>36</v>
      </c>
      <c r="S2410" s="65" t="s">
        <v>29</v>
      </c>
      <c r="T2410" s="65" t="s">
        <v>30</v>
      </c>
      <c r="U2410" s="24" t="s">
        <v>31</v>
      </c>
      <c r="V2410" s="89" t="n">
        <v>43881</v>
      </c>
      <c r="W2410" s="18" t="s">
        <v>3921</v>
      </c>
      <c r="X2410" s="18"/>
    </row>
    <row r="2411" s="151" customFormat="true" ht="13.8" hidden="false" customHeight="false" outlineLevel="0" collapsed="false">
      <c r="A2411" s="61"/>
      <c r="B2411" s="62" t="n">
        <v>3163</v>
      </c>
      <c r="C2411" s="81" t="n">
        <v>43791</v>
      </c>
      <c r="D2411" s="64" t="s">
        <v>22</v>
      </c>
      <c r="E2411" s="65" t="s">
        <v>75</v>
      </c>
      <c r="F2411" s="18" t="s">
        <v>1594</v>
      </c>
      <c r="G2411" s="62" t="n">
        <v>87</v>
      </c>
      <c r="H2411" s="62" t="n">
        <v>30</v>
      </c>
      <c r="I2411" s="62" t="n">
        <v>4</v>
      </c>
      <c r="J2411" s="62" t="n">
        <v>87.4</v>
      </c>
      <c r="K2411" s="66" t="n">
        <v>900000</v>
      </c>
      <c r="L2411" s="66" t="n">
        <f aca="false">K2411/J2411</f>
        <v>10297.4828375286</v>
      </c>
      <c r="M2411" s="18" t="s">
        <v>3922</v>
      </c>
      <c r="N2411" s="66"/>
      <c r="O2411" s="66" t="n">
        <f aca="false">K2411+N2411</f>
        <v>900000</v>
      </c>
      <c r="P2411" s="66" t="n">
        <f aca="false">O2411/J2411</f>
        <v>10297.4828375286</v>
      </c>
      <c r="Q2411" s="67" t="s">
        <v>3893</v>
      </c>
      <c r="R2411" s="65"/>
      <c r="S2411" s="67" t="s">
        <v>29</v>
      </c>
      <c r="T2411" s="62" t="s">
        <v>30</v>
      </c>
      <c r="U2411" s="68" t="s">
        <v>31</v>
      </c>
      <c r="V2411" s="63" t="n">
        <v>43886</v>
      </c>
      <c r="W2411" s="18" t="s">
        <v>3923</v>
      </c>
      <c r="X2411" s="18"/>
      <c r="Y2411" s="150"/>
      <c r="Z2411" s="150"/>
      <c r="AA2411" s="150"/>
      <c r="AB2411" s="150"/>
      <c r="AC2411" s="150"/>
      <c r="AD2411" s="150"/>
      <c r="AE2411" s="150"/>
      <c r="AF2411" s="150"/>
      <c r="AG2411" s="150"/>
      <c r="AH2411" s="150"/>
      <c r="AI2411" s="150"/>
      <c r="AJ2411" s="150"/>
      <c r="AK2411" s="150"/>
      <c r="AL2411" s="150"/>
      <c r="AM2411" s="150"/>
      <c r="AN2411" s="150"/>
      <c r="AO2411" s="150"/>
      <c r="AP2411" s="150"/>
      <c r="AQ2411" s="150"/>
      <c r="AR2411" s="150"/>
      <c r="AS2411" s="150"/>
      <c r="AT2411" s="150"/>
      <c r="AU2411" s="150"/>
      <c r="AV2411" s="150"/>
      <c r="AW2411" s="150"/>
      <c r="AX2411" s="150"/>
      <c r="AY2411" s="150"/>
      <c r="AZ2411" s="150"/>
      <c r="BA2411" s="150"/>
      <c r="BB2411" s="150"/>
      <c r="BC2411" s="150"/>
      <c r="BD2411" s="150"/>
      <c r="BE2411" s="150"/>
      <c r="BF2411" s="150"/>
    </row>
    <row r="2412" s="150" customFormat="true" ht="13.8" hidden="false" customHeight="false" outlineLevel="0" collapsed="false">
      <c r="A2412" s="61"/>
      <c r="B2412" s="62" t="n">
        <v>6123</v>
      </c>
      <c r="C2412" s="81" t="n">
        <v>43791</v>
      </c>
      <c r="D2412" s="64" t="s">
        <v>22</v>
      </c>
      <c r="E2412" s="65" t="s">
        <v>37</v>
      </c>
      <c r="F2412" s="18" t="s">
        <v>108</v>
      </c>
      <c r="G2412" s="62" t="n">
        <v>38</v>
      </c>
      <c r="H2412" s="62" t="n">
        <v>22</v>
      </c>
      <c r="I2412" s="62" t="n">
        <v>3</v>
      </c>
      <c r="J2412" s="62" t="n">
        <v>48.8</v>
      </c>
      <c r="K2412" s="66" t="n">
        <v>200000</v>
      </c>
      <c r="L2412" s="66" t="n">
        <f aca="false">K2412/J2412</f>
        <v>4098.36065573771</v>
      </c>
      <c r="M2412" s="18"/>
      <c r="N2412" s="66"/>
      <c r="O2412" s="66" t="n">
        <f aca="false">K2412+N2412</f>
        <v>200000</v>
      </c>
      <c r="P2412" s="66" t="n">
        <f aca="false">O2412/J2412</f>
        <v>4098.36065573771</v>
      </c>
      <c r="Q2412" s="67" t="s">
        <v>903</v>
      </c>
      <c r="R2412" s="65"/>
      <c r="S2412" s="67" t="s">
        <v>29</v>
      </c>
      <c r="T2412" s="62" t="s">
        <v>30</v>
      </c>
      <c r="U2412" s="68" t="s">
        <v>31</v>
      </c>
      <c r="V2412" s="63" t="n">
        <v>43886</v>
      </c>
      <c r="W2412" s="18" t="s">
        <v>3924</v>
      </c>
      <c r="X2412" s="18"/>
    </row>
    <row r="2413" s="150" customFormat="true" ht="13.8" hidden="false" customHeight="false" outlineLevel="0" collapsed="false">
      <c r="A2413" s="61"/>
      <c r="B2413" s="62" t="n">
        <v>583</v>
      </c>
      <c r="C2413" s="81" t="n">
        <v>43791</v>
      </c>
      <c r="D2413" s="64" t="s">
        <v>22</v>
      </c>
      <c r="E2413" s="65" t="s">
        <v>547</v>
      </c>
      <c r="F2413" s="18" t="s">
        <v>548</v>
      </c>
      <c r="G2413" s="62" t="n">
        <v>1</v>
      </c>
      <c r="H2413" s="62" t="n">
        <v>23</v>
      </c>
      <c r="I2413" s="62" t="n">
        <v>6</v>
      </c>
      <c r="J2413" s="62" t="n">
        <v>83.71</v>
      </c>
      <c r="K2413" s="66" t="n">
        <v>857450</v>
      </c>
      <c r="L2413" s="66" t="n">
        <f aca="false">K2413/J2413</f>
        <v>10243.1011826544</v>
      </c>
      <c r="M2413" s="18"/>
      <c r="N2413" s="66"/>
      <c r="O2413" s="66" t="n">
        <f aca="false">K2413+N2413</f>
        <v>857450</v>
      </c>
      <c r="P2413" s="66" t="n">
        <f aca="false">O2413/J2413</f>
        <v>10243.1011826544</v>
      </c>
      <c r="Q2413" s="67" t="s">
        <v>1772</v>
      </c>
      <c r="R2413" s="65"/>
      <c r="S2413" s="67" t="s">
        <v>29</v>
      </c>
      <c r="T2413" s="62" t="s">
        <v>30</v>
      </c>
      <c r="U2413" s="68" t="s">
        <v>31</v>
      </c>
      <c r="V2413" s="63" t="n">
        <v>43886</v>
      </c>
      <c r="W2413" s="18" t="s">
        <v>3925</v>
      </c>
      <c r="X2413" s="18"/>
    </row>
    <row r="2414" s="150" customFormat="true" ht="13.8" hidden="false" customHeight="false" outlineLevel="0" collapsed="false">
      <c r="A2414" s="61"/>
      <c r="B2414" s="62" t="n">
        <v>7200</v>
      </c>
      <c r="C2414" s="81" t="n">
        <v>43792</v>
      </c>
      <c r="D2414" s="64" t="s">
        <v>22</v>
      </c>
      <c r="E2414" s="65" t="s">
        <v>235</v>
      </c>
      <c r="F2414" s="18" t="s">
        <v>236</v>
      </c>
      <c r="G2414" s="62" t="s">
        <v>3926</v>
      </c>
      <c r="H2414" s="62" t="n">
        <v>61</v>
      </c>
      <c r="I2414" s="62" t="n">
        <v>2</v>
      </c>
      <c r="J2414" s="62" t="n">
        <v>45</v>
      </c>
      <c r="K2414" s="66" t="n">
        <f aca="false">3*165333.34</f>
        <v>496000.02</v>
      </c>
      <c r="L2414" s="66" t="n">
        <f aca="false">K2414/J2414</f>
        <v>11022.2226666667</v>
      </c>
      <c r="M2414" s="18"/>
      <c r="N2414" s="66"/>
      <c r="O2414" s="66" t="n">
        <f aca="false">K2414+N2414</f>
        <v>496000.02</v>
      </c>
      <c r="P2414" s="66" t="n">
        <f aca="false">O2414/J2414</f>
        <v>11022.2226666667</v>
      </c>
      <c r="Q2414" s="67" t="s">
        <v>903</v>
      </c>
      <c r="R2414" s="65"/>
      <c r="S2414" s="67" t="s">
        <v>29</v>
      </c>
      <c r="T2414" s="62" t="s">
        <v>30</v>
      </c>
      <c r="U2414" s="68" t="s">
        <v>31</v>
      </c>
      <c r="V2414" s="63" t="n">
        <v>43886</v>
      </c>
      <c r="W2414" s="18" t="s">
        <v>3927</v>
      </c>
      <c r="X2414" s="18"/>
    </row>
    <row r="2415" s="151" customFormat="true" ht="13.8" hidden="false" customHeight="false" outlineLevel="0" collapsed="false">
      <c r="A2415" s="18"/>
      <c r="B2415" s="65" t="s">
        <v>3928</v>
      </c>
      <c r="C2415" s="81" t="n">
        <v>43794</v>
      </c>
      <c r="D2415" s="115" t="s">
        <v>22</v>
      </c>
      <c r="E2415" s="65" t="s">
        <v>45</v>
      </c>
      <c r="F2415" s="91" t="s">
        <v>544</v>
      </c>
      <c r="G2415" s="65" t="s">
        <v>57</v>
      </c>
      <c r="H2415" s="65" t="s">
        <v>82</v>
      </c>
      <c r="I2415" s="65" t="s">
        <v>36</v>
      </c>
      <c r="J2415" s="83" t="n">
        <v>54.59</v>
      </c>
      <c r="K2415" s="88" t="n">
        <v>606000</v>
      </c>
      <c r="L2415" s="85" t="n">
        <f aca="false">K2415/J2415</f>
        <v>11100.9342370398</v>
      </c>
      <c r="M2415" s="92"/>
      <c r="N2415" s="93"/>
      <c r="O2415" s="88" t="n">
        <v>606000</v>
      </c>
      <c r="P2415" s="85" t="n">
        <v>11100.9342370398</v>
      </c>
      <c r="Q2415" s="94" t="s">
        <v>3929</v>
      </c>
      <c r="R2415" s="65" t="s">
        <v>26</v>
      </c>
      <c r="S2415" s="118" t="s">
        <v>29</v>
      </c>
      <c r="T2415" s="83" t="s">
        <v>30</v>
      </c>
      <c r="U2415" s="24" t="s">
        <v>31</v>
      </c>
      <c r="V2415" s="119" t="n">
        <v>43881</v>
      </c>
      <c r="W2415" s="18" t="s">
        <v>3930</v>
      </c>
      <c r="X2415" s="18"/>
      <c r="Y2415" s="153"/>
    </row>
    <row r="2416" s="151" customFormat="true" ht="13.8" hidden="false" customHeight="false" outlineLevel="0" collapsed="false">
      <c r="A2416" s="18"/>
      <c r="B2416" s="65" t="s">
        <v>3931</v>
      </c>
      <c r="C2416" s="81" t="n">
        <v>43794</v>
      </c>
      <c r="D2416" s="115" t="s">
        <v>22</v>
      </c>
      <c r="E2416" s="65" t="s">
        <v>122</v>
      </c>
      <c r="F2416" s="82" t="s">
        <v>805</v>
      </c>
      <c r="G2416" s="65" t="s">
        <v>473</v>
      </c>
      <c r="H2416" s="65" t="s">
        <v>3932</v>
      </c>
      <c r="I2416" s="65" t="s">
        <v>82</v>
      </c>
      <c r="J2416" s="83" t="n">
        <v>70.37</v>
      </c>
      <c r="K2416" s="84" t="n">
        <v>720000</v>
      </c>
      <c r="L2416" s="85" t="n">
        <f aca="false">K2416/J2416</f>
        <v>10231.6327980674</v>
      </c>
      <c r="M2416" s="90" t="s">
        <v>3933</v>
      </c>
      <c r="N2416" s="87" t="n">
        <v>50000</v>
      </c>
      <c r="O2416" s="88" t="n">
        <v>770000</v>
      </c>
      <c r="P2416" s="88" t="n">
        <f aca="false">O2416/J2416</f>
        <v>10942.1628534887</v>
      </c>
      <c r="Q2416" s="83" t="s">
        <v>3934</v>
      </c>
      <c r="R2416" s="65" t="s">
        <v>36</v>
      </c>
      <c r="S2416" s="65" t="s">
        <v>29</v>
      </c>
      <c r="T2416" s="65" t="s">
        <v>30</v>
      </c>
      <c r="U2416" s="24" t="s">
        <v>31</v>
      </c>
      <c r="V2416" s="89" t="n">
        <v>43881</v>
      </c>
      <c r="W2416" s="18" t="s">
        <v>3935</v>
      </c>
      <c r="X2416" s="18"/>
    </row>
    <row r="2417" s="150" customFormat="true" ht="13.8" hidden="false" customHeight="false" outlineLevel="0" collapsed="false">
      <c r="A2417" s="61"/>
      <c r="B2417" s="62" t="n">
        <v>5685</v>
      </c>
      <c r="C2417" s="81" t="n">
        <v>43794</v>
      </c>
      <c r="D2417" s="64" t="s">
        <v>22</v>
      </c>
      <c r="E2417" s="65" t="s">
        <v>3147</v>
      </c>
      <c r="F2417" s="18" t="s">
        <v>3936</v>
      </c>
      <c r="G2417" s="62" t="n">
        <v>127</v>
      </c>
      <c r="H2417" s="62" t="n">
        <v>168</v>
      </c>
      <c r="I2417" s="62" t="n">
        <v>2</v>
      </c>
      <c r="J2417" s="62" t="n">
        <v>45.65</v>
      </c>
      <c r="K2417" s="66" t="n">
        <v>454000</v>
      </c>
      <c r="L2417" s="66" t="n">
        <f aca="false">K2417/J2417</f>
        <v>9945.23548740416</v>
      </c>
      <c r="M2417" s="18"/>
      <c r="N2417" s="66"/>
      <c r="O2417" s="66" t="n">
        <f aca="false">K2417+N2417</f>
        <v>454000</v>
      </c>
      <c r="P2417" s="66" t="n">
        <f aca="false">O2417/J2417</f>
        <v>9945.23548740416</v>
      </c>
      <c r="Q2417" s="67" t="s">
        <v>903</v>
      </c>
      <c r="R2417" s="65"/>
      <c r="S2417" s="67" t="s">
        <v>29</v>
      </c>
      <c r="T2417" s="62" t="s">
        <v>30</v>
      </c>
      <c r="U2417" s="68" t="s">
        <v>31</v>
      </c>
      <c r="V2417" s="63" t="n">
        <v>43886</v>
      </c>
      <c r="W2417" s="18" t="s">
        <v>3937</v>
      </c>
      <c r="X2417" s="18"/>
    </row>
    <row r="2418" s="150" customFormat="true" ht="13.8" hidden="false" customHeight="false" outlineLevel="0" collapsed="false">
      <c r="A2418" s="61"/>
      <c r="B2418" s="62" t="n">
        <v>6923</v>
      </c>
      <c r="C2418" s="81" t="n">
        <v>43794</v>
      </c>
      <c r="D2418" s="64" t="s">
        <v>22</v>
      </c>
      <c r="E2418" s="65" t="s">
        <v>178</v>
      </c>
      <c r="F2418" s="18" t="s">
        <v>387</v>
      </c>
      <c r="G2418" s="62" t="n">
        <v>69</v>
      </c>
      <c r="H2418" s="62" t="n">
        <v>46</v>
      </c>
      <c r="I2418" s="62" t="n">
        <v>4</v>
      </c>
      <c r="J2418" s="62" t="n">
        <v>48.42</v>
      </c>
      <c r="K2418" s="66" t="n">
        <v>440000</v>
      </c>
      <c r="L2418" s="66" t="n">
        <f aca="false">K2418/J2418</f>
        <v>9087.15406856671</v>
      </c>
      <c r="M2418" s="18"/>
      <c r="N2418" s="66"/>
      <c r="O2418" s="66" t="n">
        <f aca="false">K2418+N2418</f>
        <v>440000</v>
      </c>
      <c r="P2418" s="66" t="n">
        <f aca="false">O2418/J2418</f>
        <v>9087.15406856671</v>
      </c>
      <c r="Q2418" s="67" t="s">
        <v>903</v>
      </c>
      <c r="R2418" s="65"/>
      <c r="S2418" s="67" t="s">
        <v>29</v>
      </c>
      <c r="T2418" s="62" t="s">
        <v>30</v>
      </c>
      <c r="U2418" s="68" t="s">
        <v>31</v>
      </c>
      <c r="V2418" s="63" t="n">
        <v>43886</v>
      </c>
      <c r="W2418" s="18" t="s">
        <v>3938</v>
      </c>
      <c r="X2418" s="18"/>
    </row>
    <row r="2419" s="150" customFormat="true" ht="13.8" hidden="false" customHeight="false" outlineLevel="0" collapsed="false">
      <c r="A2419" s="61"/>
      <c r="B2419" s="62" t="n">
        <v>2765</v>
      </c>
      <c r="C2419" s="81" t="n">
        <v>43794</v>
      </c>
      <c r="D2419" s="64" t="s">
        <v>22</v>
      </c>
      <c r="E2419" s="65" t="s">
        <v>122</v>
      </c>
      <c r="F2419" s="18" t="s">
        <v>805</v>
      </c>
      <c r="G2419" s="62" t="n">
        <v>44</v>
      </c>
      <c r="H2419" s="62" t="n">
        <v>17</v>
      </c>
      <c r="I2419" s="62" t="n">
        <v>3</v>
      </c>
      <c r="J2419" s="62" t="n">
        <v>43.35</v>
      </c>
      <c r="K2419" s="66" t="n">
        <v>413000</v>
      </c>
      <c r="L2419" s="66" t="n">
        <f aca="false">K2419/J2419</f>
        <v>9527.10495963091</v>
      </c>
      <c r="M2419" s="18"/>
      <c r="N2419" s="66"/>
      <c r="O2419" s="66" t="n">
        <f aca="false">K2419+N2419</f>
        <v>413000</v>
      </c>
      <c r="P2419" s="66" t="n">
        <f aca="false">O2419/J2419</f>
        <v>9527.10495963091</v>
      </c>
      <c r="Q2419" s="67" t="s">
        <v>903</v>
      </c>
      <c r="R2419" s="65" t="s">
        <v>36</v>
      </c>
      <c r="S2419" s="67" t="s">
        <v>29</v>
      </c>
      <c r="T2419" s="62" t="s">
        <v>30</v>
      </c>
      <c r="U2419" s="68" t="s">
        <v>31</v>
      </c>
      <c r="V2419" s="63" t="n">
        <v>43886</v>
      </c>
      <c r="W2419" s="18" t="s">
        <v>3939</v>
      </c>
      <c r="X2419" s="18"/>
    </row>
    <row r="2420" s="150" customFormat="true" ht="13.8" hidden="false" customHeight="false" outlineLevel="0" collapsed="false">
      <c r="A2420" s="61"/>
      <c r="B2420" s="62" t="n">
        <v>10421</v>
      </c>
      <c r="C2420" s="81" t="n">
        <v>43795</v>
      </c>
      <c r="D2420" s="64" t="s">
        <v>22</v>
      </c>
      <c r="E2420" s="65" t="s">
        <v>171</v>
      </c>
      <c r="F2420" s="18" t="s">
        <v>315</v>
      </c>
      <c r="G2420" s="62" t="n">
        <v>40</v>
      </c>
      <c r="H2420" s="62" t="n">
        <v>10</v>
      </c>
      <c r="I2420" s="62" t="n">
        <v>4</v>
      </c>
      <c r="J2420" s="62" t="n">
        <v>42.56</v>
      </c>
      <c r="K2420" s="66" t="n">
        <v>385000</v>
      </c>
      <c r="L2420" s="66" t="n">
        <f aca="false">K2420/J2420</f>
        <v>9046.05263157895</v>
      </c>
      <c r="M2420" s="18"/>
      <c r="N2420" s="66"/>
      <c r="O2420" s="66" t="n">
        <f aca="false">K2420+N2420</f>
        <v>385000</v>
      </c>
      <c r="P2420" s="66" t="n">
        <f aca="false">O2420/J2420</f>
        <v>9046.05263157895</v>
      </c>
      <c r="Q2420" s="67" t="s">
        <v>861</v>
      </c>
      <c r="R2420" s="65"/>
      <c r="S2420" s="67" t="s">
        <v>29</v>
      </c>
      <c r="T2420" s="62" t="s">
        <v>30</v>
      </c>
      <c r="U2420" s="68" t="s">
        <v>31</v>
      </c>
      <c r="V2420" s="63" t="n">
        <v>43886</v>
      </c>
      <c r="W2420" s="18" t="s">
        <v>3940</v>
      </c>
      <c r="X2420" s="18"/>
    </row>
    <row r="2421" s="150" customFormat="true" ht="13.8" hidden="false" customHeight="false" outlineLevel="0" collapsed="false">
      <c r="A2421" s="61"/>
      <c r="B2421" s="62" t="n">
        <v>3587</v>
      </c>
      <c r="C2421" s="81" t="n">
        <v>43795</v>
      </c>
      <c r="D2421" s="64" t="s">
        <v>22</v>
      </c>
      <c r="E2421" s="65" t="s">
        <v>203</v>
      </c>
      <c r="F2421" s="18" t="s">
        <v>138</v>
      </c>
      <c r="G2421" s="62" t="n">
        <v>28</v>
      </c>
      <c r="H2421" s="62" t="n">
        <v>18</v>
      </c>
      <c r="I2421" s="62" t="n">
        <v>1</v>
      </c>
      <c r="J2421" s="62" t="n">
        <v>38.84</v>
      </c>
      <c r="K2421" s="66" t="n">
        <v>280000</v>
      </c>
      <c r="L2421" s="66" t="n">
        <f aca="false">K2421/J2421</f>
        <v>7209.06282183316</v>
      </c>
      <c r="M2421" s="18"/>
      <c r="N2421" s="66"/>
      <c r="O2421" s="66" t="n">
        <f aca="false">K2421+N2421</f>
        <v>280000</v>
      </c>
      <c r="P2421" s="66" t="n">
        <f aca="false">O2421/J2421</f>
        <v>7209.06282183316</v>
      </c>
      <c r="Q2421" s="67" t="s">
        <v>1181</v>
      </c>
      <c r="R2421" s="65"/>
      <c r="S2421" s="67" t="s">
        <v>29</v>
      </c>
      <c r="T2421" s="62" t="s">
        <v>30</v>
      </c>
      <c r="U2421" s="68" t="s">
        <v>31</v>
      </c>
      <c r="V2421" s="63" t="n">
        <v>43886</v>
      </c>
      <c r="W2421" s="18" t="s">
        <v>3941</v>
      </c>
      <c r="X2421" s="18"/>
    </row>
    <row r="2422" s="150" customFormat="true" ht="13.8" hidden="false" customHeight="false" outlineLevel="0" collapsed="false">
      <c r="A2422" s="61"/>
      <c r="B2422" s="62" t="n">
        <v>21105</v>
      </c>
      <c r="C2422" s="81" t="n">
        <v>43795</v>
      </c>
      <c r="D2422" s="64" t="s">
        <v>22</v>
      </c>
      <c r="E2422" s="65" t="s">
        <v>278</v>
      </c>
      <c r="F2422" s="18" t="s">
        <v>3942</v>
      </c>
      <c r="G2422" s="62" t="s">
        <v>445</v>
      </c>
      <c r="H2422" s="62" t="n">
        <v>15</v>
      </c>
      <c r="I2422" s="62" t="n">
        <v>3</v>
      </c>
      <c r="J2422" s="62" t="n">
        <v>36.63</v>
      </c>
      <c r="K2422" s="66" t="n">
        <v>375000</v>
      </c>
      <c r="L2422" s="66" t="n">
        <f aca="false">K2422/J2422</f>
        <v>10237.5102375102</v>
      </c>
      <c r="M2422" s="18"/>
      <c r="N2422" s="66"/>
      <c r="O2422" s="66" t="n">
        <f aca="false">K2422+N2422</f>
        <v>375000</v>
      </c>
      <c r="P2422" s="66" t="n">
        <f aca="false">O2422/J2422</f>
        <v>10237.5102375102</v>
      </c>
      <c r="Q2422" s="67" t="s">
        <v>1181</v>
      </c>
      <c r="R2422" s="65"/>
      <c r="S2422" s="67" t="s">
        <v>29</v>
      </c>
      <c r="T2422" s="62" t="s">
        <v>30</v>
      </c>
      <c r="U2422" s="68" t="s">
        <v>31</v>
      </c>
      <c r="V2422" s="63" t="n">
        <v>43886</v>
      </c>
      <c r="W2422" s="18" t="s">
        <v>3943</v>
      </c>
      <c r="X2422" s="18"/>
    </row>
    <row r="2423" s="150" customFormat="true" ht="13.8" hidden="false" customHeight="false" outlineLevel="0" collapsed="false">
      <c r="A2423" s="61"/>
      <c r="B2423" s="62" t="n">
        <v>7420</v>
      </c>
      <c r="C2423" s="81" t="n">
        <v>43795</v>
      </c>
      <c r="D2423" s="64" t="s">
        <v>22</v>
      </c>
      <c r="E2423" s="65" t="s">
        <v>109</v>
      </c>
      <c r="F2423" s="18" t="s">
        <v>127</v>
      </c>
      <c r="G2423" s="62" t="n">
        <v>92</v>
      </c>
      <c r="H2423" s="62" t="n">
        <v>35</v>
      </c>
      <c r="I2423" s="62" t="n">
        <v>3</v>
      </c>
      <c r="J2423" s="62" t="n">
        <v>35.61</v>
      </c>
      <c r="K2423" s="66" t="n">
        <v>405000</v>
      </c>
      <c r="L2423" s="66" t="n">
        <f aca="false">K2423/J2423</f>
        <v>11373.2097725358</v>
      </c>
      <c r="M2423" s="18"/>
      <c r="N2423" s="66"/>
      <c r="O2423" s="66" t="n">
        <f aca="false">K2423+N2423</f>
        <v>405000</v>
      </c>
      <c r="P2423" s="66" t="n">
        <f aca="false">O2423/J2423</f>
        <v>11373.2097725358</v>
      </c>
      <c r="Q2423" s="67" t="s">
        <v>903</v>
      </c>
      <c r="R2423" s="65"/>
      <c r="S2423" s="67" t="s">
        <v>29</v>
      </c>
      <c r="T2423" s="62" t="s">
        <v>30</v>
      </c>
      <c r="U2423" s="68" t="s">
        <v>31</v>
      </c>
      <c r="V2423" s="63" t="n">
        <v>43886</v>
      </c>
      <c r="W2423" s="18" t="s">
        <v>3944</v>
      </c>
      <c r="X2423" s="18"/>
    </row>
    <row r="2424" s="151" customFormat="true" ht="13.8" hidden="false" customHeight="false" outlineLevel="0" collapsed="false">
      <c r="A2424" s="18"/>
      <c r="B2424" s="65" t="s">
        <v>3945</v>
      </c>
      <c r="C2424" s="81" t="n">
        <v>43796</v>
      </c>
      <c r="D2424" s="115" t="s">
        <v>22</v>
      </c>
      <c r="E2424" s="65" t="s">
        <v>187</v>
      </c>
      <c r="F2424" s="91" t="s">
        <v>955</v>
      </c>
      <c r="G2424" s="65" t="s">
        <v>188</v>
      </c>
      <c r="H2424" s="65" t="s">
        <v>101</v>
      </c>
      <c r="I2424" s="65" t="s">
        <v>26</v>
      </c>
      <c r="J2424" s="83" t="n">
        <v>23.95</v>
      </c>
      <c r="K2424" s="88" t="n">
        <v>220000</v>
      </c>
      <c r="L2424" s="85" t="n">
        <f aca="false">K2424/J2424</f>
        <v>9185.80375782881</v>
      </c>
      <c r="M2424" s="92"/>
      <c r="N2424" s="93"/>
      <c r="O2424" s="85" t="n">
        <v>220000</v>
      </c>
      <c r="P2424" s="85" t="n">
        <v>9185.80375782881</v>
      </c>
      <c r="Q2424" s="94" t="s">
        <v>3946</v>
      </c>
      <c r="R2424" s="65" t="s">
        <v>27</v>
      </c>
      <c r="S2424" s="118" t="s">
        <v>29</v>
      </c>
      <c r="T2424" s="83" t="s">
        <v>30</v>
      </c>
      <c r="U2424" s="24" t="s">
        <v>31</v>
      </c>
      <c r="V2424" s="119" t="n">
        <v>43881</v>
      </c>
      <c r="W2424" s="18" t="s">
        <v>3947</v>
      </c>
      <c r="X2424" s="18"/>
      <c r="Y2424" s="153"/>
    </row>
    <row r="2425" s="151" customFormat="true" ht="13.8" hidden="false" customHeight="false" outlineLevel="0" collapsed="false">
      <c r="A2425" s="18"/>
      <c r="B2425" s="65" t="s">
        <v>3948</v>
      </c>
      <c r="C2425" s="81" t="n">
        <v>43796</v>
      </c>
      <c r="D2425" s="115" t="s">
        <v>22</v>
      </c>
      <c r="E2425" s="65" t="s">
        <v>389</v>
      </c>
      <c r="F2425" s="82" t="s">
        <v>46</v>
      </c>
      <c r="G2425" s="65" t="s">
        <v>3949</v>
      </c>
      <c r="H2425" s="65" t="s">
        <v>26</v>
      </c>
      <c r="I2425" s="65" t="s">
        <v>27</v>
      </c>
      <c r="J2425" s="83" t="n">
        <v>36.65</v>
      </c>
      <c r="K2425" s="84" t="n">
        <v>440000</v>
      </c>
      <c r="L2425" s="85" t="n">
        <f aca="false">K2425/J2425</f>
        <v>12005.4570259209</v>
      </c>
      <c r="M2425" s="90"/>
      <c r="N2425" s="87"/>
      <c r="O2425" s="88" t="n">
        <v>440000</v>
      </c>
      <c r="P2425" s="88" t="n">
        <v>12005.4570259209</v>
      </c>
      <c r="Q2425" s="83" t="s">
        <v>3950</v>
      </c>
      <c r="R2425" s="65" t="s">
        <v>27</v>
      </c>
      <c r="S2425" s="65" t="s">
        <v>29</v>
      </c>
      <c r="T2425" s="65" t="s">
        <v>30</v>
      </c>
      <c r="U2425" s="24" t="s">
        <v>31</v>
      </c>
      <c r="V2425" s="89" t="n">
        <v>43881</v>
      </c>
      <c r="W2425" s="18" t="s">
        <v>3951</v>
      </c>
      <c r="X2425" s="18"/>
    </row>
    <row r="2426" s="151" customFormat="true" ht="13.8" hidden="false" customHeight="false" outlineLevel="0" collapsed="false">
      <c r="A2426" s="61"/>
      <c r="B2426" s="62" t="n">
        <v>3179</v>
      </c>
      <c r="C2426" s="81" t="n">
        <v>43796</v>
      </c>
      <c r="D2426" s="64" t="s">
        <v>22</v>
      </c>
      <c r="E2426" s="65" t="s">
        <v>75</v>
      </c>
      <c r="F2426" s="18" t="s">
        <v>3884</v>
      </c>
      <c r="G2426" s="62" t="n">
        <v>79</v>
      </c>
      <c r="H2426" s="62" t="n">
        <v>26</v>
      </c>
      <c r="I2426" s="62" t="n">
        <v>4</v>
      </c>
      <c r="J2426" s="62" t="n">
        <f aca="false">98.61-9.25</f>
        <v>89.36</v>
      </c>
      <c r="K2426" s="66" t="n">
        <v>880000</v>
      </c>
      <c r="L2426" s="66" t="n">
        <f aca="false">K2426/J2426</f>
        <v>9847.80662488809</v>
      </c>
      <c r="M2426" s="18" t="s">
        <v>3952</v>
      </c>
      <c r="N2426" s="66"/>
      <c r="O2426" s="66" t="n">
        <f aca="false">K2426+N2426</f>
        <v>880000</v>
      </c>
      <c r="P2426" s="66" t="n">
        <f aca="false">O2426/J2426</f>
        <v>9847.80662488809</v>
      </c>
      <c r="Q2426" s="67" t="s">
        <v>3953</v>
      </c>
      <c r="R2426" s="65" t="s">
        <v>26</v>
      </c>
      <c r="S2426" s="67" t="s">
        <v>29</v>
      </c>
      <c r="T2426" s="62" t="s">
        <v>30</v>
      </c>
      <c r="U2426" s="68" t="s">
        <v>31</v>
      </c>
      <c r="V2426" s="63" t="n">
        <v>43886</v>
      </c>
      <c r="W2426" s="18" t="s">
        <v>3954</v>
      </c>
      <c r="X2426" s="18"/>
      <c r="Y2426" s="150"/>
      <c r="Z2426" s="150"/>
      <c r="AA2426" s="150"/>
      <c r="AB2426" s="150"/>
      <c r="AC2426" s="150"/>
      <c r="AD2426" s="150"/>
      <c r="AE2426" s="150"/>
      <c r="AF2426" s="150"/>
      <c r="AG2426" s="150"/>
      <c r="AH2426" s="150"/>
      <c r="AI2426" s="150"/>
      <c r="AJ2426" s="150"/>
      <c r="AK2426" s="150"/>
      <c r="AL2426" s="150"/>
      <c r="AM2426" s="150"/>
      <c r="AN2426" s="150"/>
      <c r="AO2426" s="150"/>
      <c r="AP2426" s="150"/>
      <c r="AQ2426" s="150"/>
      <c r="AR2426" s="150"/>
      <c r="AS2426" s="150"/>
      <c r="AT2426" s="150"/>
      <c r="AU2426" s="150"/>
      <c r="AV2426" s="150"/>
      <c r="AW2426" s="150"/>
      <c r="AX2426" s="150"/>
      <c r="AY2426" s="150"/>
      <c r="AZ2426" s="150"/>
      <c r="BA2426" s="150"/>
      <c r="BB2426" s="150"/>
      <c r="BC2426" s="150"/>
      <c r="BD2426" s="150"/>
      <c r="BE2426" s="150"/>
      <c r="BF2426" s="150"/>
    </row>
    <row r="2427" s="150" customFormat="true" ht="13.8" hidden="false" customHeight="false" outlineLevel="0" collapsed="false">
      <c r="A2427" s="61"/>
      <c r="B2427" s="62" t="n">
        <v>5557</v>
      </c>
      <c r="C2427" s="81" t="n">
        <v>43796</v>
      </c>
      <c r="D2427" s="64" t="s">
        <v>22</v>
      </c>
      <c r="E2427" s="65" t="s">
        <v>144</v>
      </c>
      <c r="F2427" s="18" t="s">
        <v>750</v>
      </c>
      <c r="G2427" s="62" t="n">
        <v>6</v>
      </c>
      <c r="H2427" s="62" t="n">
        <v>38</v>
      </c>
      <c r="I2427" s="62" t="n">
        <v>3</v>
      </c>
      <c r="J2427" s="62" t="n">
        <v>34.91</v>
      </c>
      <c r="K2427" s="66" t="n">
        <v>421000</v>
      </c>
      <c r="L2427" s="66" t="n">
        <f aca="false">K2427/J2427</f>
        <v>12059.5817817244</v>
      </c>
      <c r="M2427" s="18"/>
      <c r="N2427" s="66"/>
      <c r="O2427" s="66" t="n">
        <f aca="false">K2427+N2427</f>
        <v>421000</v>
      </c>
      <c r="P2427" s="66" t="n">
        <f aca="false">O2427/J2427</f>
        <v>12059.5817817244</v>
      </c>
      <c r="Q2427" s="67" t="s">
        <v>1181</v>
      </c>
      <c r="R2427" s="65"/>
      <c r="S2427" s="67" t="s">
        <v>29</v>
      </c>
      <c r="T2427" s="62" t="s">
        <v>30</v>
      </c>
      <c r="U2427" s="68" t="s">
        <v>31</v>
      </c>
      <c r="V2427" s="63" t="n">
        <v>43886</v>
      </c>
      <c r="W2427" s="18" t="s">
        <v>3955</v>
      </c>
      <c r="X2427" s="18"/>
    </row>
    <row r="2428" s="150" customFormat="true" ht="13.8" hidden="false" customHeight="false" outlineLevel="0" collapsed="false">
      <c r="A2428" s="61"/>
      <c r="B2428" s="62" t="n">
        <v>37027</v>
      </c>
      <c r="C2428" s="81" t="n">
        <v>43796</v>
      </c>
      <c r="D2428" s="64" t="s">
        <v>22</v>
      </c>
      <c r="E2428" s="65" t="s">
        <v>171</v>
      </c>
      <c r="F2428" s="18" t="s">
        <v>1740</v>
      </c>
      <c r="G2428" s="62" t="n">
        <v>68</v>
      </c>
      <c r="H2428" s="62" t="n">
        <v>15</v>
      </c>
      <c r="I2428" s="62" t="n">
        <v>3</v>
      </c>
      <c r="J2428" s="62" t="n">
        <v>42.5</v>
      </c>
      <c r="K2428" s="66" t="n">
        <v>405000</v>
      </c>
      <c r="L2428" s="66" t="n">
        <f aca="false">K2428/J2428</f>
        <v>9529.41176470588</v>
      </c>
      <c r="M2428" s="18" t="s">
        <v>3956</v>
      </c>
      <c r="N2428" s="66"/>
      <c r="O2428" s="66" t="n">
        <f aca="false">K2428+N2428</f>
        <v>405000</v>
      </c>
      <c r="P2428" s="66" t="n">
        <f aca="false">O2428/J2428</f>
        <v>9529.41176470588</v>
      </c>
      <c r="Q2428" s="67" t="s">
        <v>3904</v>
      </c>
      <c r="R2428" s="65"/>
      <c r="S2428" s="67" t="s">
        <v>29</v>
      </c>
      <c r="T2428" s="62" t="s">
        <v>30</v>
      </c>
      <c r="U2428" s="68" t="s">
        <v>31</v>
      </c>
      <c r="V2428" s="63" t="n">
        <v>43886</v>
      </c>
      <c r="W2428" s="18" t="s">
        <v>3957</v>
      </c>
      <c r="X2428" s="18"/>
    </row>
    <row r="2429" s="150" customFormat="true" ht="13.8" hidden="false" customHeight="false" outlineLevel="0" collapsed="false">
      <c r="A2429" s="61"/>
      <c r="B2429" s="62" t="n">
        <v>3944</v>
      </c>
      <c r="C2429" s="81" t="n">
        <v>43796</v>
      </c>
      <c r="D2429" s="64" t="s">
        <v>22</v>
      </c>
      <c r="E2429" s="65" t="s">
        <v>80</v>
      </c>
      <c r="F2429" s="18" t="s">
        <v>81</v>
      </c>
      <c r="G2429" s="62" t="n">
        <v>3</v>
      </c>
      <c r="H2429" s="62" t="n">
        <v>115</v>
      </c>
      <c r="I2429" s="62" t="s">
        <v>3958</v>
      </c>
      <c r="J2429" s="62" t="n">
        <v>140.1</v>
      </c>
      <c r="K2429" s="66" t="n">
        <v>2160000</v>
      </c>
      <c r="L2429" s="66" t="n">
        <f aca="false">K2429/J2429</f>
        <v>15417.5588865096</v>
      </c>
      <c r="M2429" s="18" t="s">
        <v>3959</v>
      </c>
      <c r="N2429" s="66" t="n">
        <v>120000</v>
      </c>
      <c r="O2429" s="66" t="n">
        <f aca="false">K2429+N2429</f>
        <v>2280000</v>
      </c>
      <c r="P2429" s="66" t="n">
        <f aca="false">O2429/J2429</f>
        <v>16274.0899357602</v>
      </c>
      <c r="Q2429" s="67" t="s">
        <v>3960</v>
      </c>
      <c r="R2429" s="65" t="s">
        <v>49</v>
      </c>
      <c r="S2429" s="67" t="s">
        <v>29</v>
      </c>
      <c r="T2429" s="62" t="s">
        <v>30</v>
      </c>
      <c r="U2429" s="68" t="s">
        <v>31</v>
      </c>
      <c r="V2429" s="63" t="n">
        <v>43886</v>
      </c>
      <c r="W2429" s="18" t="s">
        <v>3961</v>
      </c>
      <c r="X2429" s="18"/>
    </row>
    <row r="2430" s="150" customFormat="true" ht="13.8" hidden="false" customHeight="false" outlineLevel="0" collapsed="false">
      <c r="A2430" s="61"/>
      <c r="B2430" s="62" t="n">
        <v>5545</v>
      </c>
      <c r="C2430" s="81" t="n">
        <v>43796</v>
      </c>
      <c r="D2430" s="64" t="s">
        <v>22</v>
      </c>
      <c r="E2430" s="65" t="s">
        <v>369</v>
      </c>
      <c r="F2430" s="18" t="s">
        <v>3962</v>
      </c>
      <c r="G2430" s="62" t="n">
        <v>25</v>
      </c>
      <c r="H2430" s="62" t="n">
        <v>8</v>
      </c>
      <c r="I2430" s="62" t="n">
        <v>3</v>
      </c>
      <c r="J2430" s="62" t="n">
        <v>18.41</v>
      </c>
      <c r="K2430" s="66" t="n">
        <v>292000</v>
      </c>
      <c r="L2430" s="66" t="n">
        <f aca="false">K2430/J2430</f>
        <v>15860.9451385117</v>
      </c>
      <c r="M2430" s="18"/>
      <c r="N2430" s="66"/>
      <c r="O2430" s="66" t="n">
        <f aca="false">K2430+N2430</f>
        <v>292000</v>
      </c>
      <c r="P2430" s="66" t="n">
        <f aca="false">O2430/J2430</f>
        <v>15860.9451385117</v>
      </c>
      <c r="Q2430" s="67" t="s">
        <v>3904</v>
      </c>
      <c r="R2430" s="65"/>
      <c r="S2430" s="67" t="s">
        <v>29</v>
      </c>
      <c r="T2430" s="62" t="s">
        <v>30</v>
      </c>
      <c r="U2430" s="68" t="s">
        <v>31</v>
      </c>
      <c r="V2430" s="63" t="n">
        <v>43886</v>
      </c>
      <c r="W2430" s="18" t="s">
        <v>3963</v>
      </c>
      <c r="X2430" s="18"/>
    </row>
    <row r="2431" s="150" customFormat="true" ht="13.8" hidden="false" customHeight="false" outlineLevel="0" collapsed="false">
      <c r="A2431" s="61"/>
      <c r="B2431" s="62" t="n">
        <v>6176</v>
      </c>
      <c r="C2431" s="81" t="n">
        <v>43796</v>
      </c>
      <c r="D2431" s="64" t="s">
        <v>22</v>
      </c>
      <c r="E2431" s="65" t="s">
        <v>61</v>
      </c>
      <c r="F2431" s="18" t="s">
        <v>361</v>
      </c>
      <c r="G2431" s="62" t="s">
        <v>213</v>
      </c>
      <c r="H2431" s="62" t="n">
        <v>289</v>
      </c>
      <c r="I2431" s="62" t="n">
        <v>5</v>
      </c>
      <c r="J2431" s="62" t="n">
        <v>53.31</v>
      </c>
      <c r="K2431" s="66" t="n">
        <v>480000</v>
      </c>
      <c r="L2431" s="66" t="n">
        <f aca="false">K2431/J2431</f>
        <v>9003.93922341024</v>
      </c>
      <c r="M2431" s="18"/>
      <c r="N2431" s="66"/>
      <c r="O2431" s="66" t="n">
        <f aca="false">K2431+N2431</f>
        <v>480000</v>
      </c>
      <c r="P2431" s="66" t="n">
        <f aca="false">O2431/J2431</f>
        <v>9003.93922341024</v>
      </c>
      <c r="Q2431" s="67" t="s">
        <v>3893</v>
      </c>
      <c r="R2431" s="65"/>
      <c r="S2431" s="67" t="s">
        <v>29</v>
      </c>
      <c r="T2431" s="62" t="s">
        <v>30</v>
      </c>
      <c r="U2431" s="68" t="s">
        <v>31</v>
      </c>
      <c r="V2431" s="63" t="n">
        <v>43886</v>
      </c>
      <c r="W2431" s="18" t="s">
        <v>3964</v>
      </c>
      <c r="X2431" s="18"/>
    </row>
    <row r="2432" s="150" customFormat="true" ht="13.8" hidden="false" customHeight="false" outlineLevel="0" collapsed="false">
      <c r="A2432" s="61"/>
      <c r="B2432" s="62" t="n">
        <v>10439</v>
      </c>
      <c r="C2432" s="81" t="n">
        <v>43796</v>
      </c>
      <c r="D2432" s="64" t="s">
        <v>22</v>
      </c>
      <c r="E2432" s="65" t="s">
        <v>148</v>
      </c>
      <c r="F2432" s="18" t="s">
        <v>149</v>
      </c>
      <c r="G2432" s="62" t="n">
        <v>5</v>
      </c>
      <c r="H2432" s="62" t="n">
        <v>99</v>
      </c>
      <c r="I2432" s="62" t="n">
        <v>3</v>
      </c>
      <c r="J2432" s="62" t="n">
        <v>67.63</v>
      </c>
      <c r="K2432" s="66" t="n">
        <v>550000</v>
      </c>
      <c r="L2432" s="66" t="n">
        <f aca="false">K2432/J2432</f>
        <v>8132.48558332101</v>
      </c>
      <c r="M2432" s="18"/>
      <c r="N2432" s="66"/>
      <c r="O2432" s="66" t="n">
        <f aca="false">K2432+N2432</f>
        <v>550000</v>
      </c>
      <c r="P2432" s="66" t="n">
        <f aca="false">O2432/J2432</f>
        <v>8132.48558332101</v>
      </c>
      <c r="Q2432" s="67" t="s">
        <v>1772</v>
      </c>
      <c r="R2432" s="65"/>
      <c r="S2432" s="67" t="s">
        <v>29</v>
      </c>
      <c r="T2432" s="62" t="s">
        <v>30</v>
      </c>
      <c r="U2432" s="68" t="s">
        <v>31</v>
      </c>
      <c r="V2432" s="63" t="n">
        <v>43886</v>
      </c>
      <c r="W2432" s="18" t="s">
        <v>3965</v>
      </c>
      <c r="X2432" s="18"/>
    </row>
    <row r="2433" s="150" customFormat="true" ht="13.8" hidden="false" customHeight="false" outlineLevel="0" collapsed="false">
      <c r="A2433" s="61"/>
      <c r="B2433" s="62" t="n">
        <v>8750</v>
      </c>
      <c r="C2433" s="81" t="n">
        <v>43796</v>
      </c>
      <c r="D2433" s="64" t="s">
        <v>22</v>
      </c>
      <c r="E2433" s="65" t="s">
        <v>37</v>
      </c>
      <c r="F2433" s="18" t="s">
        <v>152</v>
      </c>
      <c r="G2433" s="62" t="n">
        <v>35</v>
      </c>
      <c r="H2433" s="62" t="n">
        <v>37</v>
      </c>
      <c r="I2433" s="62" t="n">
        <v>5</v>
      </c>
      <c r="J2433" s="62" t="n">
        <v>40.14</v>
      </c>
      <c r="K2433" s="66" t="n">
        <v>365000</v>
      </c>
      <c r="L2433" s="66" t="n">
        <f aca="false">K2433/J2433</f>
        <v>9093.17389138017</v>
      </c>
      <c r="M2433" s="18"/>
      <c r="N2433" s="66"/>
      <c r="O2433" s="66" t="n">
        <f aca="false">K2433+N2433</f>
        <v>365000</v>
      </c>
      <c r="P2433" s="66" t="n">
        <f aca="false">O2433/J2433</f>
        <v>9093.17389138017</v>
      </c>
      <c r="Q2433" s="67" t="s">
        <v>903</v>
      </c>
      <c r="R2433" s="65"/>
      <c r="S2433" s="67" t="s">
        <v>29</v>
      </c>
      <c r="T2433" s="62" t="s">
        <v>30</v>
      </c>
      <c r="U2433" s="68" t="s">
        <v>31</v>
      </c>
      <c r="V2433" s="63" t="n">
        <v>43886</v>
      </c>
      <c r="W2433" s="18" t="s">
        <v>3966</v>
      </c>
      <c r="X2433" s="18"/>
    </row>
    <row r="2434" s="150" customFormat="true" ht="13.8" hidden="false" customHeight="false" outlineLevel="0" collapsed="false">
      <c r="A2434" s="61"/>
      <c r="B2434" s="62" t="n">
        <v>5755</v>
      </c>
      <c r="C2434" s="81" t="n">
        <v>43796</v>
      </c>
      <c r="D2434" s="64" t="s">
        <v>22</v>
      </c>
      <c r="E2434" s="65" t="s">
        <v>109</v>
      </c>
      <c r="F2434" s="18" t="s">
        <v>3967</v>
      </c>
      <c r="G2434" s="62" t="n">
        <v>75</v>
      </c>
      <c r="H2434" s="62" t="n">
        <v>8</v>
      </c>
      <c r="I2434" s="62" t="n">
        <v>3</v>
      </c>
      <c r="J2434" s="62" t="n">
        <v>77.98</v>
      </c>
      <c r="K2434" s="66" t="n">
        <v>730000</v>
      </c>
      <c r="L2434" s="66" t="n">
        <f aca="false">K2434/J2434</f>
        <v>9361.37471146448</v>
      </c>
      <c r="M2434" s="18" t="s">
        <v>3968</v>
      </c>
      <c r="N2434" s="66" t="n">
        <v>10000</v>
      </c>
      <c r="O2434" s="66" t="n">
        <f aca="false">K2434+N2434</f>
        <v>740000</v>
      </c>
      <c r="P2434" s="66" t="n">
        <f aca="false">O2434/J2434</f>
        <v>9489.61272121057</v>
      </c>
      <c r="Q2434" s="67" t="s">
        <v>861</v>
      </c>
      <c r="R2434" s="65"/>
      <c r="S2434" s="67" t="s">
        <v>29</v>
      </c>
      <c r="T2434" s="62" t="s">
        <v>30</v>
      </c>
      <c r="U2434" s="68" t="s">
        <v>31</v>
      </c>
      <c r="V2434" s="63" t="n">
        <v>43886</v>
      </c>
      <c r="W2434" s="18" t="s">
        <v>3969</v>
      </c>
      <c r="X2434" s="18"/>
    </row>
    <row r="2435" s="154" customFormat="true" ht="13.8" hidden="false" customHeight="false" outlineLevel="0" collapsed="false">
      <c r="A2435" s="95"/>
      <c r="B2435" s="96" t="s">
        <v>3970</v>
      </c>
      <c r="C2435" s="97" t="n">
        <v>43797</v>
      </c>
      <c r="D2435" s="98" t="s">
        <v>22</v>
      </c>
      <c r="E2435" s="96" t="s">
        <v>45</v>
      </c>
      <c r="F2435" s="99" t="s">
        <v>641</v>
      </c>
      <c r="G2435" s="96" t="s">
        <v>384</v>
      </c>
      <c r="H2435" s="96" t="s">
        <v>200</v>
      </c>
      <c r="I2435" s="96" t="s">
        <v>49</v>
      </c>
      <c r="J2435" s="100" t="n">
        <v>33.94</v>
      </c>
      <c r="K2435" s="101" t="n">
        <v>135000</v>
      </c>
      <c r="L2435" s="102" t="n">
        <f aca="false">K2435/J2435</f>
        <v>3977.60754272245</v>
      </c>
      <c r="M2435" s="103"/>
      <c r="N2435" s="104"/>
      <c r="O2435" s="105" t="n">
        <v>135000</v>
      </c>
      <c r="P2435" s="105" t="n">
        <v>3977.60754272245</v>
      </c>
      <c r="Q2435" s="100" t="s">
        <v>3971</v>
      </c>
      <c r="R2435" s="96" t="s">
        <v>27</v>
      </c>
      <c r="S2435" s="96" t="s">
        <v>29</v>
      </c>
      <c r="T2435" s="96" t="s">
        <v>30</v>
      </c>
      <c r="U2435" s="106" t="s">
        <v>31</v>
      </c>
      <c r="V2435" s="107" t="n">
        <v>43881</v>
      </c>
      <c r="W2435" s="95" t="s">
        <v>3972</v>
      </c>
      <c r="X2435" s="95"/>
    </row>
    <row r="2436" s="151" customFormat="true" ht="13.8" hidden="false" customHeight="false" outlineLevel="0" collapsed="false">
      <c r="A2436" s="18"/>
      <c r="B2436" s="62" t="n">
        <v>2119</v>
      </c>
      <c r="C2436" s="81" t="n">
        <v>43797</v>
      </c>
      <c r="D2436" s="115" t="s">
        <v>22</v>
      </c>
      <c r="E2436" s="65" t="s">
        <v>265</v>
      </c>
      <c r="F2436" s="82" t="s">
        <v>108</v>
      </c>
      <c r="G2436" s="65" t="s">
        <v>1025</v>
      </c>
      <c r="H2436" s="112" t="s">
        <v>101</v>
      </c>
      <c r="I2436" s="112" t="s">
        <v>57</v>
      </c>
      <c r="J2436" s="83" t="n">
        <v>64.13</v>
      </c>
      <c r="K2436" s="84" t="n">
        <v>715000</v>
      </c>
      <c r="L2436" s="113" t="n">
        <f aca="false">K2436/J2436</f>
        <v>11149.2281303602</v>
      </c>
      <c r="M2436" s="114"/>
      <c r="N2436" s="93"/>
      <c r="O2436" s="88" t="n">
        <v>715000</v>
      </c>
      <c r="P2436" s="88" t="n">
        <v>11149.2281303602</v>
      </c>
      <c r="Q2436" s="83" t="s">
        <v>925</v>
      </c>
      <c r="R2436" s="65" t="s">
        <v>36</v>
      </c>
      <c r="S2436" s="65" t="s">
        <v>29</v>
      </c>
      <c r="T2436" s="65" t="s">
        <v>30</v>
      </c>
      <c r="U2436" s="24" t="s">
        <v>31</v>
      </c>
      <c r="V2436" s="89" t="n">
        <v>43881</v>
      </c>
      <c r="W2436" s="18" t="s">
        <v>3973</v>
      </c>
      <c r="X2436" s="18"/>
    </row>
    <row r="2437" s="150" customFormat="true" ht="13.8" hidden="false" customHeight="false" outlineLevel="0" collapsed="false">
      <c r="A2437" s="61"/>
      <c r="B2437" s="62" t="n">
        <v>767</v>
      </c>
      <c r="C2437" s="81" t="n">
        <v>43797</v>
      </c>
      <c r="D2437" s="64" t="s">
        <v>22</v>
      </c>
      <c r="E2437" s="65" t="s">
        <v>206</v>
      </c>
      <c r="F2437" s="18" t="s">
        <v>3974</v>
      </c>
      <c r="G2437" s="62" t="n">
        <v>9</v>
      </c>
      <c r="H2437" s="62" t="n">
        <v>86</v>
      </c>
      <c r="I2437" s="62" t="n">
        <v>6</v>
      </c>
      <c r="J2437" s="62" t="n">
        <v>108.47</v>
      </c>
      <c r="K2437" s="66" t="n">
        <f aca="false">360000/(3/8)</f>
        <v>960000</v>
      </c>
      <c r="L2437" s="66" t="n">
        <f aca="false">K2437/J2437</f>
        <v>8850.37337512676</v>
      </c>
      <c r="M2437" s="18" t="s">
        <v>3975</v>
      </c>
      <c r="N2437" s="66" t="n">
        <v>30000</v>
      </c>
      <c r="O2437" s="66" t="n">
        <f aca="false">K2437+N2437</f>
        <v>990000</v>
      </c>
      <c r="P2437" s="66" t="n">
        <f aca="false">O2437/J2437</f>
        <v>9126.94754309948</v>
      </c>
      <c r="Q2437" s="67" t="s">
        <v>3976</v>
      </c>
      <c r="R2437" s="65"/>
      <c r="S2437" s="67" t="s">
        <v>29</v>
      </c>
      <c r="T2437" s="62" t="s">
        <v>30</v>
      </c>
      <c r="U2437" s="68" t="s">
        <v>31</v>
      </c>
      <c r="V2437" s="63" t="n">
        <v>43886</v>
      </c>
      <c r="W2437" s="18" t="s">
        <v>3977</v>
      </c>
      <c r="X2437" s="18" t="s">
        <v>3978</v>
      </c>
    </row>
    <row r="2438" s="150" customFormat="true" ht="13.8" hidden="false" customHeight="false" outlineLevel="0" collapsed="false">
      <c r="A2438" s="61"/>
      <c r="B2438" s="62" t="n">
        <v>6650</v>
      </c>
      <c r="C2438" s="81" t="n">
        <v>43797</v>
      </c>
      <c r="D2438" s="64" t="s">
        <v>22</v>
      </c>
      <c r="E2438" s="65" t="s">
        <v>42</v>
      </c>
      <c r="F2438" s="18" t="s">
        <v>1028</v>
      </c>
      <c r="G2438" s="62" t="s">
        <v>146</v>
      </c>
      <c r="H2438" s="62" t="n">
        <v>15</v>
      </c>
      <c r="I2438" s="62" t="n">
        <v>2</v>
      </c>
      <c r="J2438" s="62" t="n">
        <v>35.66</v>
      </c>
      <c r="K2438" s="66" t="n">
        <v>355000</v>
      </c>
      <c r="L2438" s="66" t="n">
        <f aca="false">K2438/J2438</f>
        <v>9955.13180033651</v>
      </c>
      <c r="M2438" s="18"/>
      <c r="N2438" s="66"/>
      <c r="O2438" s="66" t="n">
        <f aca="false">K2438+N2438</f>
        <v>355000</v>
      </c>
      <c r="P2438" s="66" t="n">
        <f aca="false">O2438/J2438</f>
        <v>9955.13180033651</v>
      </c>
      <c r="Q2438" s="67" t="s">
        <v>903</v>
      </c>
      <c r="R2438" s="65" t="s">
        <v>36</v>
      </c>
      <c r="S2438" s="67" t="s">
        <v>29</v>
      </c>
      <c r="T2438" s="62" t="s">
        <v>30</v>
      </c>
      <c r="U2438" s="68" t="s">
        <v>31</v>
      </c>
      <c r="V2438" s="63" t="n">
        <v>43886</v>
      </c>
      <c r="W2438" s="18" t="s">
        <v>3979</v>
      </c>
      <c r="X2438" s="18"/>
    </row>
    <row r="2439" s="150" customFormat="true" ht="13.8" hidden="false" customHeight="false" outlineLevel="0" collapsed="false">
      <c r="A2439" s="61"/>
      <c r="B2439" s="62" t="n">
        <v>12286</v>
      </c>
      <c r="C2439" s="81" t="n">
        <v>43797</v>
      </c>
      <c r="D2439" s="64" t="s">
        <v>22</v>
      </c>
      <c r="E2439" s="65" t="s">
        <v>652</v>
      </c>
      <c r="F2439" s="18" t="s">
        <v>669</v>
      </c>
      <c r="G2439" s="62" t="n">
        <v>1</v>
      </c>
      <c r="H2439" s="62" t="n">
        <v>307</v>
      </c>
      <c r="I2439" s="62" t="n">
        <v>3</v>
      </c>
      <c r="J2439" s="62" t="n">
        <v>56</v>
      </c>
      <c r="K2439" s="66" t="n">
        <v>530000</v>
      </c>
      <c r="L2439" s="66" t="n">
        <f aca="false">K2439/J2439</f>
        <v>9464.28571428571</v>
      </c>
      <c r="M2439" s="18" t="s">
        <v>3980</v>
      </c>
      <c r="N2439" s="66"/>
      <c r="O2439" s="66" t="n">
        <f aca="false">K2439+N2439</f>
        <v>530000</v>
      </c>
      <c r="P2439" s="66" t="n">
        <f aca="false">O2439/J2439</f>
        <v>9464.28571428571</v>
      </c>
      <c r="Q2439" s="67" t="s">
        <v>861</v>
      </c>
      <c r="R2439" s="65"/>
      <c r="S2439" s="67" t="s">
        <v>29</v>
      </c>
      <c r="T2439" s="62" t="s">
        <v>30</v>
      </c>
      <c r="U2439" s="68" t="s">
        <v>31</v>
      </c>
      <c r="V2439" s="63" t="n">
        <v>43886</v>
      </c>
      <c r="W2439" s="18" t="s">
        <v>3981</v>
      </c>
      <c r="X2439" s="18"/>
    </row>
    <row r="2440" s="150" customFormat="true" ht="13.8" hidden="false" customHeight="false" outlineLevel="0" collapsed="false">
      <c r="A2440" s="61"/>
      <c r="B2440" s="62" t="n">
        <v>4584</v>
      </c>
      <c r="C2440" s="81" t="n">
        <v>43797</v>
      </c>
      <c r="D2440" s="64" t="s">
        <v>22</v>
      </c>
      <c r="E2440" s="65" t="s">
        <v>322</v>
      </c>
      <c r="F2440" s="18" t="s">
        <v>3982</v>
      </c>
      <c r="G2440" s="62" t="s">
        <v>525</v>
      </c>
      <c r="H2440" s="62" t="n">
        <v>126</v>
      </c>
      <c r="I2440" s="62" t="n">
        <v>6</v>
      </c>
      <c r="J2440" s="62" t="n">
        <v>74.49</v>
      </c>
      <c r="K2440" s="66" t="n">
        <f aca="false">181000*4</f>
        <v>724000</v>
      </c>
      <c r="L2440" s="66" t="n">
        <f aca="false">K2440/J2440</f>
        <v>9719.42542623171</v>
      </c>
      <c r="M2440" s="18" t="s">
        <v>3983</v>
      </c>
      <c r="N2440" s="66"/>
      <c r="O2440" s="66" t="n">
        <f aca="false">K2440+N2440</f>
        <v>724000</v>
      </c>
      <c r="P2440" s="66" t="n">
        <f aca="false">O2440/J2440</f>
        <v>9719.42542623171</v>
      </c>
      <c r="Q2440" s="67" t="s">
        <v>3984</v>
      </c>
      <c r="R2440" s="65"/>
      <c r="S2440" s="67" t="s">
        <v>29</v>
      </c>
      <c r="T2440" s="62" t="s">
        <v>30</v>
      </c>
      <c r="U2440" s="68" t="s">
        <v>31</v>
      </c>
      <c r="V2440" s="63" t="n">
        <v>43886</v>
      </c>
      <c r="W2440" s="18" t="s">
        <v>3985</v>
      </c>
      <c r="X2440" s="18" t="s">
        <v>3986</v>
      </c>
    </row>
    <row r="2441" s="150" customFormat="true" ht="13.8" hidden="false" customHeight="false" outlineLevel="0" collapsed="false">
      <c r="A2441" s="61"/>
      <c r="B2441" s="62" t="n">
        <v>12275</v>
      </c>
      <c r="C2441" s="81" t="n">
        <v>43797</v>
      </c>
      <c r="D2441" s="64" t="s">
        <v>22</v>
      </c>
      <c r="E2441" s="65" t="s">
        <v>399</v>
      </c>
      <c r="F2441" s="18" t="s">
        <v>1826</v>
      </c>
      <c r="G2441" s="62" t="n">
        <v>4</v>
      </c>
      <c r="H2441" s="62" t="n">
        <v>10</v>
      </c>
      <c r="I2441" s="62" t="n">
        <v>4</v>
      </c>
      <c r="J2441" s="62" t="n">
        <v>159.47</v>
      </c>
      <c r="K2441" s="66" t="n">
        <v>1870000</v>
      </c>
      <c r="L2441" s="66" t="n">
        <f aca="false">K2441/J2441</f>
        <v>11726.3435128864</v>
      </c>
      <c r="M2441" s="18" t="s">
        <v>3987</v>
      </c>
      <c r="N2441" s="66" t="n">
        <v>50000</v>
      </c>
      <c r="O2441" s="66" t="n">
        <f aca="false">K2441+N2441</f>
        <v>1920000</v>
      </c>
      <c r="P2441" s="66" t="n">
        <f aca="false">O2441/J2441</f>
        <v>12039.8821094877</v>
      </c>
      <c r="Q2441" s="67" t="s">
        <v>3988</v>
      </c>
      <c r="R2441" s="65" t="s">
        <v>57</v>
      </c>
      <c r="S2441" s="67" t="s">
        <v>29</v>
      </c>
      <c r="T2441" s="62" t="s">
        <v>30</v>
      </c>
      <c r="U2441" s="68" t="s">
        <v>31</v>
      </c>
      <c r="V2441" s="63" t="n">
        <v>43886</v>
      </c>
      <c r="W2441" s="18" t="s">
        <v>3989</v>
      </c>
      <c r="X2441" s="18"/>
    </row>
    <row r="2442" s="150" customFormat="true" ht="13.8" hidden="false" customHeight="false" outlineLevel="0" collapsed="false">
      <c r="A2442" s="61"/>
      <c r="B2442" s="62" t="n">
        <v>12325</v>
      </c>
      <c r="C2442" s="81" t="n">
        <v>43797</v>
      </c>
      <c r="D2442" s="64" t="s">
        <v>22</v>
      </c>
      <c r="E2442" s="65" t="s">
        <v>399</v>
      </c>
      <c r="F2442" s="18" t="s">
        <v>2316</v>
      </c>
      <c r="G2442" s="62" t="n">
        <v>4</v>
      </c>
      <c r="H2442" s="62" t="n">
        <v>3</v>
      </c>
      <c r="I2442" s="62" t="n">
        <v>1</v>
      </c>
      <c r="J2442" s="62" t="n">
        <v>136.62</v>
      </c>
      <c r="K2442" s="66" t="n">
        <v>1595000</v>
      </c>
      <c r="L2442" s="66" t="n">
        <f aca="false">K2442/J2442</f>
        <v>11674.7181964573</v>
      </c>
      <c r="M2442" s="18" t="s">
        <v>3990</v>
      </c>
      <c r="N2442" s="66"/>
      <c r="O2442" s="66" t="n">
        <f aca="false">K2442+N2442</f>
        <v>1595000</v>
      </c>
      <c r="P2442" s="66" t="n">
        <f aca="false">O2442/J2442</f>
        <v>11674.7181964573</v>
      </c>
      <c r="Q2442" s="67" t="s">
        <v>3960</v>
      </c>
      <c r="R2442" s="65"/>
      <c r="S2442" s="67" t="s">
        <v>29</v>
      </c>
      <c r="T2442" s="62" t="s">
        <v>30</v>
      </c>
      <c r="U2442" s="68" t="s">
        <v>31</v>
      </c>
      <c r="V2442" s="63" t="n">
        <v>43886</v>
      </c>
      <c r="W2442" s="18" t="s">
        <v>3991</v>
      </c>
      <c r="X2442" s="18"/>
    </row>
    <row r="2443" s="150" customFormat="true" ht="13.8" hidden="false" customHeight="false" outlineLevel="0" collapsed="false">
      <c r="A2443" s="61"/>
      <c r="B2443" s="62" t="n">
        <v>3591</v>
      </c>
      <c r="C2443" s="81" t="n">
        <v>43797</v>
      </c>
      <c r="D2443" s="64" t="s">
        <v>22</v>
      </c>
      <c r="E2443" s="65" t="s">
        <v>80</v>
      </c>
      <c r="F2443" s="18" t="s">
        <v>754</v>
      </c>
      <c r="G2443" s="62" t="n">
        <v>3</v>
      </c>
      <c r="H2443" s="62" t="n">
        <v>49</v>
      </c>
      <c r="I2443" s="62" t="n">
        <v>3</v>
      </c>
      <c r="J2443" s="62" t="n">
        <v>69.37</v>
      </c>
      <c r="K2443" s="66" t="n">
        <v>1044000</v>
      </c>
      <c r="L2443" s="66" t="n">
        <f aca="false">K2443/J2443</f>
        <v>15049.7333141127</v>
      </c>
      <c r="M2443" s="18" t="s">
        <v>3992</v>
      </c>
      <c r="N2443" s="66"/>
      <c r="O2443" s="66" t="n">
        <f aca="false">K2443+N2443</f>
        <v>1044000</v>
      </c>
      <c r="P2443" s="66" t="n">
        <f aca="false">O2443/J2443</f>
        <v>15049.7333141127</v>
      </c>
      <c r="Q2443" s="67" t="s">
        <v>3993</v>
      </c>
      <c r="R2443" s="65"/>
      <c r="S2443" s="67" t="s">
        <v>29</v>
      </c>
      <c r="T2443" s="62" t="s">
        <v>30</v>
      </c>
      <c r="U2443" s="68" t="s">
        <v>31</v>
      </c>
      <c r="V2443" s="63" t="n">
        <v>43886</v>
      </c>
      <c r="W2443" s="18" t="s">
        <v>3994</v>
      </c>
      <c r="X2443" s="18"/>
    </row>
    <row r="2444" s="150" customFormat="true" ht="13.8" hidden="false" customHeight="false" outlineLevel="0" collapsed="false">
      <c r="A2444" s="61"/>
      <c r="B2444" s="62" t="n">
        <v>18702</v>
      </c>
      <c r="C2444" s="81" t="n">
        <v>43797</v>
      </c>
      <c r="D2444" s="64" t="s">
        <v>22</v>
      </c>
      <c r="E2444" s="65" t="s">
        <v>80</v>
      </c>
      <c r="F2444" s="18" t="s">
        <v>754</v>
      </c>
      <c r="G2444" s="62" t="n">
        <v>3</v>
      </c>
      <c r="H2444" s="62" t="n">
        <v>9</v>
      </c>
      <c r="I2444" s="62" t="n">
        <v>4</v>
      </c>
      <c r="J2444" s="62" t="n">
        <v>48.36</v>
      </c>
      <c r="K2444" s="66" t="n">
        <v>800000</v>
      </c>
      <c r="L2444" s="66" t="n">
        <f aca="false">K2444/J2444</f>
        <v>16542.5971877585</v>
      </c>
      <c r="M2444" s="18" t="s">
        <v>3995</v>
      </c>
      <c r="N2444" s="66"/>
      <c r="O2444" s="66" t="n">
        <f aca="false">K2444+N2444</f>
        <v>800000</v>
      </c>
      <c r="P2444" s="66" t="n">
        <f aca="false">O2444/J2444</f>
        <v>16542.5971877585</v>
      </c>
      <c r="Q2444" s="67" t="s">
        <v>903</v>
      </c>
      <c r="R2444" s="65"/>
      <c r="S2444" s="67" t="s">
        <v>29</v>
      </c>
      <c r="T2444" s="62" t="s">
        <v>30</v>
      </c>
      <c r="U2444" s="68" t="s">
        <v>31</v>
      </c>
      <c r="V2444" s="63" t="n">
        <v>43886</v>
      </c>
      <c r="W2444" s="18" t="s">
        <v>3996</v>
      </c>
      <c r="X2444" s="18"/>
    </row>
    <row r="2445" s="151" customFormat="true" ht="13.8" hidden="false" customHeight="false" outlineLevel="0" collapsed="false">
      <c r="A2445" s="18"/>
      <c r="B2445" s="65" t="s">
        <v>3997</v>
      </c>
      <c r="C2445" s="81" t="n">
        <v>43798</v>
      </c>
      <c r="D2445" s="115" t="s">
        <v>22</v>
      </c>
      <c r="E2445" s="65" t="s">
        <v>86</v>
      </c>
      <c r="F2445" s="82" t="s">
        <v>3998</v>
      </c>
      <c r="G2445" s="65" t="s">
        <v>27</v>
      </c>
      <c r="H2445" s="65" t="s">
        <v>135</v>
      </c>
      <c r="I2445" s="65" t="s">
        <v>49</v>
      </c>
      <c r="J2445" s="83" t="n">
        <v>63.6</v>
      </c>
      <c r="K2445" s="84" t="n">
        <v>550000</v>
      </c>
      <c r="L2445" s="85" t="n">
        <f aca="false">K2445/J2445</f>
        <v>8647.79874213837</v>
      </c>
      <c r="M2445" s="90"/>
      <c r="N2445" s="87"/>
      <c r="O2445" s="88" t="n">
        <v>550000</v>
      </c>
      <c r="P2445" s="88" t="n">
        <v>8647.79874213837</v>
      </c>
      <c r="Q2445" s="83" t="s">
        <v>3999</v>
      </c>
      <c r="R2445" s="65" t="s">
        <v>49</v>
      </c>
      <c r="S2445" s="65" t="s">
        <v>29</v>
      </c>
      <c r="T2445" s="65" t="s">
        <v>30</v>
      </c>
      <c r="U2445" s="24" t="s">
        <v>31</v>
      </c>
      <c r="V2445" s="89" t="n">
        <v>43881</v>
      </c>
      <c r="W2445" s="18" t="s">
        <v>4000</v>
      </c>
      <c r="X2445" s="18"/>
    </row>
    <row r="2446" s="151" customFormat="true" ht="13.8" hidden="false" customHeight="false" outlineLevel="0" collapsed="false">
      <c r="A2446" s="61"/>
      <c r="B2446" s="62" t="n">
        <v>2387</v>
      </c>
      <c r="C2446" s="81" t="n">
        <v>43798</v>
      </c>
      <c r="D2446" s="64" t="s">
        <v>22</v>
      </c>
      <c r="E2446" s="65" t="s">
        <v>125</v>
      </c>
      <c r="F2446" s="18" t="s">
        <v>1459</v>
      </c>
      <c r="G2446" s="62" t="n">
        <v>54</v>
      </c>
      <c r="H2446" s="62" t="n">
        <v>36</v>
      </c>
      <c r="I2446" s="62" t="n">
        <v>7</v>
      </c>
      <c r="J2446" s="62" t="n">
        <v>68.03</v>
      </c>
      <c r="K2446" s="66" t="n">
        <v>934000</v>
      </c>
      <c r="L2446" s="66" t="n">
        <f aca="false">K2446/J2446</f>
        <v>13729.2371012788</v>
      </c>
      <c r="M2446" s="18" t="s">
        <v>4001</v>
      </c>
      <c r="N2446" s="66"/>
      <c r="O2446" s="66" t="n">
        <f aca="false">K2446+N2446</f>
        <v>934000</v>
      </c>
      <c r="P2446" s="66" t="n">
        <f aca="false">O2446/J2446</f>
        <v>13729.2371012788</v>
      </c>
      <c r="Q2446" s="67" t="s">
        <v>4002</v>
      </c>
      <c r="R2446" s="65"/>
      <c r="S2446" s="67" t="s">
        <v>29</v>
      </c>
      <c r="T2446" s="62" t="s">
        <v>30</v>
      </c>
      <c r="U2446" s="68" t="s">
        <v>31</v>
      </c>
      <c r="V2446" s="63" t="n">
        <v>43886</v>
      </c>
      <c r="W2446" s="18" t="s">
        <v>4003</v>
      </c>
      <c r="X2446" s="18"/>
      <c r="Y2446" s="150"/>
      <c r="Z2446" s="150"/>
      <c r="AA2446" s="150"/>
      <c r="AB2446" s="150"/>
      <c r="AC2446" s="150"/>
      <c r="AD2446" s="150"/>
      <c r="AE2446" s="150"/>
      <c r="AF2446" s="150"/>
      <c r="AG2446" s="150"/>
      <c r="AH2446" s="150"/>
      <c r="AI2446" s="150"/>
      <c r="AJ2446" s="150"/>
      <c r="AK2446" s="150"/>
      <c r="AL2446" s="150"/>
      <c r="AM2446" s="150"/>
      <c r="AN2446" s="150"/>
      <c r="AO2446" s="150"/>
      <c r="AP2446" s="150"/>
      <c r="AQ2446" s="150"/>
      <c r="AR2446" s="150"/>
      <c r="AS2446" s="150"/>
      <c r="AT2446" s="150"/>
      <c r="AU2446" s="150"/>
      <c r="AV2446" s="150"/>
      <c r="AW2446" s="150"/>
      <c r="AX2446" s="150"/>
      <c r="AY2446" s="150"/>
      <c r="AZ2446" s="150"/>
      <c r="BA2446" s="150"/>
      <c r="BB2446" s="150"/>
      <c r="BC2446" s="150"/>
      <c r="BD2446" s="150"/>
      <c r="BE2446" s="150"/>
      <c r="BF2446" s="150"/>
    </row>
    <row r="2447" s="150" customFormat="true" ht="13.8" hidden="false" customHeight="false" outlineLevel="0" collapsed="false">
      <c r="A2447" s="61"/>
      <c r="B2447" s="62" t="n">
        <v>4868</v>
      </c>
      <c r="C2447" s="81" t="n">
        <v>43798</v>
      </c>
      <c r="D2447" s="64" t="s">
        <v>22</v>
      </c>
      <c r="E2447" s="65" t="s">
        <v>201</v>
      </c>
      <c r="F2447" s="18" t="s">
        <v>4004</v>
      </c>
      <c r="G2447" s="62" t="n">
        <v>26</v>
      </c>
      <c r="H2447" s="62" t="n">
        <v>5</v>
      </c>
      <c r="I2447" s="62" t="n">
        <v>2</v>
      </c>
      <c r="J2447" s="62" t="n">
        <v>74.99</v>
      </c>
      <c r="K2447" s="66" t="n">
        <v>675000</v>
      </c>
      <c r="L2447" s="66" t="n">
        <f aca="false">K2447/J2447</f>
        <v>9001.20016002134</v>
      </c>
      <c r="M2447" s="18" t="s">
        <v>4005</v>
      </c>
      <c r="N2447" s="66"/>
      <c r="O2447" s="66" t="n">
        <f aca="false">K2447+N2447</f>
        <v>675000</v>
      </c>
      <c r="P2447" s="66" t="n">
        <f aca="false">O2447/J2447</f>
        <v>9001.20016002134</v>
      </c>
      <c r="Q2447" s="67" t="s">
        <v>3893</v>
      </c>
      <c r="R2447" s="65"/>
      <c r="S2447" s="67" t="s">
        <v>29</v>
      </c>
      <c r="T2447" s="62" t="s">
        <v>30</v>
      </c>
      <c r="U2447" s="68" t="s">
        <v>31</v>
      </c>
      <c r="V2447" s="63" t="n">
        <v>43886</v>
      </c>
      <c r="W2447" s="18" t="s">
        <v>4006</v>
      </c>
      <c r="X2447" s="18"/>
    </row>
    <row r="2448" s="150" customFormat="true" ht="13.8" hidden="false" customHeight="false" outlineLevel="0" collapsed="false">
      <c r="A2448" s="61"/>
      <c r="B2448" s="62" t="n">
        <v>32617</v>
      </c>
      <c r="C2448" s="81" t="n">
        <v>43798</v>
      </c>
      <c r="D2448" s="64" t="s">
        <v>22</v>
      </c>
      <c r="E2448" s="65" t="s">
        <v>1380</v>
      </c>
      <c r="F2448" s="18" t="s">
        <v>2320</v>
      </c>
      <c r="G2448" s="62" t="n">
        <v>1</v>
      </c>
      <c r="H2448" s="62" t="n">
        <v>1</v>
      </c>
      <c r="I2448" s="62" t="n">
        <v>1</v>
      </c>
      <c r="J2448" s="62" t="n">
        <v>58.51</v>
      </c>
      <c r="K2448" s="66" t="n">
        <v>790000</v>
      </c>
      <c r="L2448" s="66" t="n">
        <f aca="false">K2448/J2448</f>
        <v>13501.965475987</v>
      </c>
      <c r="M2448" s="18" t="s">
        <v>4007</v>
      </c>
      <c r="N2448" s="66"/>
      <c r="O2448" s="66" t="n">
        <f aca="false">K2448+N2448</f>
        <v>790000</v>
      </c>
      <c r="P2448" s="66" t="n">
        <f aca="false">O2448/J2448</f>
        <v>13501.965475987</v>
      </c>
      <c r="Q2448" s="67" t="s">
        <v>861</v>
      </c>
      <c r="R2448" s="65"/>
      <c r="S2448" s="67" t="s">
        <v>29</v>
      </c>
      <c r="T2448" s="62" t="s">
        <v>30</v>
      </c>
      <c r="U2448" s="68" t="s">
        <v>31</v>
      </c>
      <c r="V2448" s="63" t="n">
        <v>43886</v>
      </c>
      <c r="W2448" s="18" t="s">
        <v>4008</v>
      </c>
      <c r="X2448" s="18"/>
    </row>
    <row r="2449" s="150" customFormat="true" ht="13.8" hidden="false" customHeight="false" outlineLevel="0" collapsed="false">
      <c r="A2449" s="61"/>
      <c r="B2449" s="62" t="n">
        <v>14135</v>
      </c>
      <c r="C2449" s="81" t="n">
        <v>43798</v>
      </c>
      <c r="D2449" s="64" t="s">
        <v>22</v>
      </c>
      <c r="E2449" s="65" t="s">
        <v>37</v>
      </c>
      <c r="F2449" s="18" t="s">
        <v>386</v>
      </c>
      <c r="G2449" s="62" t="n">
        <v>12</v>
      </c>
      <c r="H2449" s="62" t="n">
        <v>12</v>
      </c>
      <c r="I2449" s="62" t="n">
        <v>2</v>
      </c>
      <c r="J2449" s="62" t="n">
        <v>48.6</v>
      </c>
      <c r="K2449" s="66" t="n">
        <v>160000</v>
      </c>
      <c r="L2449" s="66" t="n">
        <f aca="false">K2449/J2449</f>
        <v>3292.18106995885</v>
      </c>
      <c r="M2449" s="18"/>
      <c r="N2449" s="66"/>
      <c r="O2449" s="66" t="n">
        <f aca="false">K2449+N2449</f>
        <v>160000</v>
      </c>
      <c r="P2449" s="66" t="n">
        <f aca="false">O2449/J2449</f>
        <v>3292.18106995885</v>
      </c>
      <c r="Q2449" s="67" t="s">
        <v>903</v>
      </c>
      <c r="R2449" s="65"/>
      <c r="S2449" s="67" t="s">
        <v>29</v>
      </c>
      <c r="T2449" s="62" t="s">
        <v>30</v>
      </c>
      <c r="U2449" s="68" t="s">
        <v>31</v>
      </c>
      <c r="V2449" s="63" t="n">
        <v>43886</v>
      </c>
      <c r="W2449" s="18" t="s">
        <v>4009</v>
      </c>
      <c r="X2449" s="18"/>
    </row>
    <row r="2450" s="150" customFormat="true" ht="13.8" hidden="false" customHeight="false" outlineLevel="0" collapsed="false">
      <c r="A2450" s="61"/>
      <c r="B2450" s="62" t="n">
        <v>8821</v>
      </c>
      <c r="C2450" s="81" t="n">
        <v>43798</v>
      </c>
      <c r="D2450" s="64" t="s">
        <v>22</v>
      </c>
      <c r="E2450" s="65" t="s">
        <v>459</v>
      </c>
      <c r="F2450" s="18" t="s">
        <v>279</v>
      </c>
      <c r="G2450" s="62" t="n">
        <v>12</v>
      </c>
      <c r="H2450" s="62" t="n">
        <v>63</v>
      </c>
      <c r="I2450" s="62" t="n">
        <v>5</v>
      </c>
      <c r="J2450" s="62" t="n">
        <v>46.34</v>
      </c>
      <c r="K2450" s="66" t="n">
        <v>410000</v>
      </c>
      <c r="L2450" s="66" t="n">
        <f aca="false">K2450/J2450</f>
        <v>8847.64782045749</v>
      </c>
      <c r="M2450" s="18"/>
      <c r="N2450" s="66"/>
      <c r="O2450" s="66" t="n">
        <f aca="false">K2450+N2450</f>
        <v>410000</v>
      </c>
      <c r="P2450" s="66" t="n">
        <f aca="false">O2450/J2450</f>
        <v>8847.64782045749</v>
      </c>
      <c r="Q2450" s="67" t="s">
        <v>861</v>
      </c>
      <c r="R2450" s="65"/>
      <c r="S2450" s="67" t="s">
        <v>29</v>
      </c>
      <c r="T2450" s="62" t="s">
        <v>30</v>
      </c>
      <c r="U2450" s="68" t="s">
        <v>31</v>
      </c>
      <c r="V2450" s="63" t="n">
        <v>43886</v>
      </c>
      <c r="W2450" s="18" t="s">
        <v>4010</v>
      </c>
      <c r="X2450" s="18"/>
    </row>
    <row r="2451" s="150" customFormat="true" ht="13.8" hidden="false" customHeight="false" outlineLevel="0" collapsed="false">
      <c r="A2451" s="61"/>
      <c r="B2451" s="62" t="n">
        <v>3694</v>
      </c>
      <c r="C2451" s="81" t="n">
        <v>43798</v>
      </c>
      <c r="D2451" s="64" t="s">
        <v>22</v>
      </c>
      <c r="E2451" s="65" t="s">
        <v>23</v>
      </c>
      <c r="F2451" s="18" t="s">
        <v>1881</v>
      </c>
      <c r="G2451" s="62" t="s">
        <v>1297</v>
      </c>
      <c r="H2451" s="62" t="n">
        <v>10</v>
      </c>
      <c r="I2451" s="62" t="n">
        <v>4</v>
      </c>
      <c r="J2451" s="62" t="n">
        <v>33</v>
      </c>
      <c r="K2451" s="66" t="n">
        <v>375000</v>
      </c>
      <c r="L2451" s="66" t="n">
        <f aca="false">K2451/J2451</f>
        <v>11363.6363636364</v>
      </c>
      <c r="M2451" s="18"/>
      <c r="N2451" s="66"/>
      <c r="O2451" s="66" t="n">
        <f aca="false">K2451+N2451</f>
        <v>375000</v>
      </c>
      <c r="P2451" s="66" t="n">
        <f aca="false">O2451/J2451</f>
        <v>11363.6363636364</v>
      </c>
      <c r="Q2451" s="67" t="s">
        <v>1181</v>
      </c>
      <c r="R2451" s="65"/>
      <c r="S2451" s="67" t="s">
        <v>29</v>
      </c>
      <c r="T2451" s="62" t="s">
        <v>30</v>
      </c>
      <c r="U2451" s="68" t="s">
        <v>31</v>
      </c>
      <c r="V2451" s="63" t="n">
        <v>43886</v>
      </c>
      <c r="W2451" s="18" t="s">
        <v>4011</v>
      </c>
      <c r="X2451" s="18"/>
    </row>
    <row r="2452" s="150" customFormat="true" ht="13.8" hidden="false" customHeight="false" outlineLevel="0" collapsed="false">
      <c r="A2452" s="61"/>
      <c r="B2452" s="62" t="n">
        <v>1995</v>
      </c>
      <c r="C2452" s="81" t="n">
        <v>43798</v>
      </c>
      <c r="D2452" s="64" t="s">
        <v>22</v>
      </c>
      <c r="E2452" s="65" t="s">
        <v>187</v>
      </c>
      <c r="F2452" s="18" t="s">
        <v>271</v>
      </c>
      <c r="G2452" s="62" t="n">
        <v>42</v>
      </c>
      <c r="H2452" s="62" t="n">
        <v>9</v>
      </c>
      <c r="I2452" s="62" t="n">
        <v>2</v>
      </c>
      <c r="J2452" s="62" t="s">
        <v>1214</v>
      </c>
      <c r="K2452" s="66" t="n">
        <v>360000</v>
      </c>
      <c r="L2452" s="66" t="str">
        <f aca="false">K2452/J2452</f>
        <v>#ARG!</v>
      </c>
      <c r="M2452" s="18"/>
      <c r="N2452" s="66"/>
      <c r="O2452" s="66" t="n">
        <f aca="false">K2452+N2452</f>
        <v>360000</v>
      </c>
      <c r="P2452" s="66" t="str">
        <f aca="false">O2452/J2452</f>
        <v>#ARG!</v>
      </c>
      <c r="Q2452" s="67" t="s">
        <v>1214</v>
      </c>
      <c r="R2452" s="65"/>
      <c r="S2452" s="67" t="s">
        <v>29</v>
      </c>
      <c r="T2452" s="62" t="s">
        <v>30</v>
      </c>
      <c r="U2452" s="68" t="s">
        <v>31</v>
      </c>
      <c r="V2452" s="63" t="n">
        <v>43886</v>
      </c>
      <c r="W2452" s="18" t="s">
        <v>4012</v>
      </c>
      <c r="X2452" s="18"/>
    </row>
    <row r="2453" s="150" customFormat="true" ht="13.8" hidden="false" customHeight="false" outlineLevel="0" collapsed="false">
      <c r="A2453" s="61"/>
      <c r="B2453" s="62" t="n">
        <v>6692</v>
      </c>
      <c r="C2453" s="81" t="n">
        <v>43798</v>
      </c>
      <c r="D2453" s="64" t="s">
        <v>22</v>
      </c>
      <c r="E2453" s="65" t="s">
        <v>251</v>
      </c>
      <c r="F2453" s="18" t="s">
        <v>252</v>
      </c>
      <c r="G2453" s="62" t="n">
        <v>3</v>
      </c>
      <c r="H2453" s="62" t="n">
        <v>620</v>
      </c>
      <c r="I2453" s="62" t="n">
        <v>6</v>
      </c>
      <c r="J2453" s="62" t="n">
        <v>54.85</v>
      </c>
      <c r="K2453" s="66" t="n">
        <v>470000</v>
      </c>
      <c r="L2453" s="66" t="n">
        <f aca="false">K2453/J2453</f>
        <v>8568.82406563355</v>
      </c>
      <c r="M2453" s="18"/>
      <c r="N2453" s="66"/>
      <c r="O2453" s="66" t="n">
        <f aca="false">K2453+N2453</f>
        <v>470000</v>
      </c>
      <c r="P2453" s="66" t="n">
        <f aca="false">O2453/J2453</f>
        <v>8568.82406563355</v>
      </c>
      <c r="Q2453" s="67" t="s">
        <v>861</v>
      </c>
      <c r="R2453" s="65" t="s">
        <v>26</v>
      </c>
      <c r="S2453" s="67" t="s">
        <v>29</v>
      </c>
      <c r="T2453" s="62" t="s">
        <v>30</v>
      </c>
      <c r="U2453" s="68" t="s">
        <v>31</v>
      </c>
      <c r="V2453" s="63" t="n">
        <v>43886</v>
      </c>
      <c r="W2453" s="18" t="s">
        <v>4013</v>
      </c>
      <c r="X2453" s="18"/>
    </row>
    <row r="2454" s="150" customFormat="true" ht="13.8" hidden="false" customHeight="false" outlineLevel="0" collapsed="false">
      <c r="A2454" s="61"/>
      <c r="B2454" s="62" t="n">
        <v>6853</v>
      </c>
      <c r="C2454" s="81" t="n">
        <v>43799</v>
      </c>
      <c r="D2454" s="64" t="s">
        <v>22</v>
      </c>
      <c r="E2454" s="65" t="s">
        <v>175</v>
      </c>
      <c r="F2454" s="18" t="s">
        <v>485</v>
      </c>
      <c r="G2454" s="62" t="n">
        <v>53</v>
      </c>
      <c r="H2454" s="62" t="n">
        <v>1</v>
      </c>
      <c r="I2454" s="62" t="n">
        <v>1</v>
      </c>
      <c r="J2454" s="62" t="n">
        <v>78.14</v>
      </c>
      <c r="K2454" s="66" t="n">
        <v>750000</v>
      </c>
      <c r="L2454" s="66" t="n">
        <f aca="false">K2454/J2454</f>
        <v>9598.15715382647</v>
      </c>
      <c r="M2454" s="18"/>
      <c r="N2454" s="66"/>
      <c r="O2454" s="66" t="n">
        <f aca="false">K2454+N2454</f>
        <v>750000</v>
      </c>
      <c r="P2454" s="66" t="n">
        <f aca="false">O2454/J2454</f>
        <v>9598.15715382647</v>
      </c>
      <c r="Q2454" s="67" t="s">
        <v>861</v>
      </c>
      <c r="R2454" s="65"/>
      <c r="S2454" s="67" t="s">
        <v>29</v>
      </c>
      <c r="T2454" s="62" t="s">
        <v>30</v>
      </c>
      <c r="U2454" s="68" t="s">
        <v>31</v>
      </c>
      <c r="V2454" s="63" t="n">
        <v>43886</v>
      </c>
      <c r="W2454" s="18" t="s">
        <v>4014</v>
      </c>
      <c r="X2454" s="18"/>
    </row>
    <row r="2455" s="150" customFormat="true" ht="13.8" hidden="false" customHeight="false" outlineLevel="0" collapsed="false">
      <c r="A2455" s="61"/>
      <c r="B2455" s="62" t="n">
        <v>34015</v>
      </c>
      <c r="C2455" s="81" t="n">
        <v>43801</v>
      </c>
      <c r="D2455" s="64" t="s">
        <v>22</v>
      </c>
      <c r="E2455" s="65" t="s">
        <v>61</v>
      </c>
      <c r="F2455" s="18" t="s">
        <v>62</v>
      </c>
      <c r="G2455" s="62" t="n">
        <v>1</v>
      </c>
      <c r="H2455" s="62" t="n">
        <v>642</v>
      </c>
      <c r="I2455" s="62" t="n">
        <v>10</v>
      </c>
      <c r="J2455" s="62" t="n">
        <v>42.86</v>
      </c>
      <c r="K2455" s="66" t="n">
        <v>395000</v>
      </c>
      <c r="L2455" s="66" t="n">
        <f aca="false">K2455/J2455</f>
        <v>9216.05226318246</v>
      </c>
      <c r="M2455" s="18"/>
      <c r="N2455" s="66"/>
      <c r="O2455" s="66" t="n">
        <f aca="false">K2455+N2455</f>
        <v>395000</v>
      </c>
      <c r="P2455" s="66" t="n">
        <f aca="false">O2455/J2455</f>
        <v>9216.05226318246</v>
      </c>
      <c r="Q2455" s="67" t="s">
        <v>941</v>
      </c>
      <c r="R2455" s="65"/>
      <c r="S2455" s="67" t="s">
        <v>29</v>
      </c>
      <c r="T2455" s="62" t="s">
        <v>30</v>
      </c>
      <c r="U2455" s="68" t="s">
        <v>31</v>
      </c>
      <c r="V2455" s="63" t="n">
        <v>43886</v>
      </c>
      <c r="W2455" s="18" t="s">
        <v>4015</v>
      </c>
      <c r="X2455" s="18"/>
    </row>
    <row r="2456" s="150" customFormat="true" ht="13.8" hidden="false" customHeight="false" outlineLevel="0" collapsed="false">
      <c r="A2456" s="61"/>
      <c r="B2456" s="62" t="n">
        <v>2539</v>
      </c>
      <c r="C2456" s="81" t="n">
        <v>43801</v>
      </c>
      <c r="D2456" s="64" t="s">
        <v>22</v>
      </c>
      <c r="E2456" s="65" t="s">
        <v>517</v>
      </c>
      <c r="F2456" s="18" t="s">
        <v>4016</v>
      </c>
      <c r="G2456" s="62" t="n">
        <v>2</v>
      </c>
      <c r="H2456" s="62" t="n">
        <v>3</v>
      </c>
      <c r="I2456" s="62" t="n">
        <v>2</v>
      </c>
      <c r="J2456" s="62" t="n">
        <v>54.4</v>
      </c>
      <c r="K2456" s="66" t="n">
        <v>500000</v>
      </c>
      <c r="L2456" s="66" t="n">
        <f aca="false">K2456/J2456</f>
        <v>9191.17647058824</v>
      </c>
      <c r="M2456" s="18"/>
      <c r="N2456" s="66"/>
      <c r="O2456" s="66" t="n">
        <f aca="false">K2456+N2456</f>
        <v>500000</v>
      </c>
      <c r="P2456" s="66" t="n">
        <f aca="false">O2456/J2456</f>
        <v>9191.17647058824</v>
      </c>
      <c r="Q2456" s="67" t="s">
        <v>903</v>
      </c>
      <c r="R2456" s="65"/>
      <c r="S2456" s="67" t="s">
        <v>29</v>
      </c>
      <c r="T2456" s="62" t="s">
        <v>30</v>
      </c>
      <c r="U2456" s="68" t="s">
        <v>31</v>
      </c>
      <c r="V2456" s="63" t="n">
        <v>43886</v>
      </c>
      <c r="W2456" s="18" t="s">
        <v>4017</v>
      </c>
      <c r="X2456" s="18"/>
    </row>
    <row r="2457" s="150" customFormat="true" ht="13.8" hidden="false" customHeight="false" outlineLevel="0" collapsed="false">
      <c r="A2457" s="61"/>
      <c r="B2457" s="62" t="n">
        <v>1082</v>
      </c>
      <c r="C2457" s="81" t="n">
        <v>43801</v>
      </c>
      <c r="D2457" s="64" t="s">
        <v>22</v>
      </c>
      <c r="E2457" s="65" t="s">
        <v>175</v>
      </c>
      <c r="F2457" s="18" t="s">
        <v>1881</v>
      </c>
      <c r="G2457" s="62" t="n">
        <v>140</v>
      </c>
      <c r="H2457" s="62" t="n">
        <v>10</v>
      </c>
      <c r="I2457" s="62" t="n">
        <v>3</v>
      </c>
      <c r="J2457" s="62" t="n">
        <v>52.83</v>
      </c>
      <c r="K2457" s="66" t="n">
        <v>515000</v>
      </c>
      <c r="L2457" s="66" t="n">
        <f aca="false">K2457/J2457</f>
        <v>9748.24910088965</v>
      </c>
      <c r="M2457" s="18"/>
      <c r="N2457" s="66"/>
      <c r="O2457" s="66" t="n">
        <f aca="false">K2457+N2457</f>
        <v>515000</v>
      </c>
      <c r="P2457" s="66" t="n">
        <f aca="false">O2457/J2457</f>
        <v>9748.24910088965</v>
      </c>
      <c r="Q2457" s="67" t="s">
        <v>903</v>
      </c>
      <c r="R2457" s="65"/>
      <c r="S2457" s="67" t="s">
        <v>29</v>
      </c>
      <c r="T2457" s="62" t="s">
        <v>30</v>
      </c>
      <c r="U2457" s="68" t="s">
        <v>31</v>
      </c>
      <c r="V2457" s="63" t="n">
        <v>43886</v>
      </c>
      <c r="W2457" s="18" t="s">
        <v>4018</v>
      </c>
      <c r="X2457" s="18"/>
    </row>
    <row r="2458" s="150" customFormat="true" ht="13.8" hidden="false" customHeight="false" outlineLevel="0" collapsed="false">
      <c r="A2458" s="61"/>
      <c r="B2458" s="62" t="n">
        <v>39888</v>
      </c>
      <c r="C2458" s="81" t="n">
        <v>43801</v>
      </c>
      <c r="D2458" s="64" t="s">
        <v>22</v>
      </c>
      <c r="E2458" s="65" t="s">
        <v>399</v>
      </c>
      <c r="F2458" s="18" t="s">
        <v>508</v>
      </c>
      <c r="G2458" s="62" t="n">
        <v>1</v>
      </c>
      <c r="H2458" s="62" t="n">
        <v>27</v>
      </c>
      <c r="I2458" s="62" t="n">
        <v>2</v>
      </c>
      <c r="J2458" s="62" t="n">
        <v>56.75</v>
      </c>
      <c r="K2458" s="66" t="n">
        <v>800000</v>
      </c>
      <c r="L2458" s="66" t="n">
        <f aca="false">K2458/J2458</f>
        <v>14096.9162995595</v>
      </c>
      <c r="M2458" s="18" t="s">
        <v>4019</v>
      </c>
      <c r="N2458" s="66" t="n">
        <v>30000</v>
      </c>
      <c r="O2458" s="66" t="n">
        <f aca="false">K2458+N2458</f>
        <v>830000</v>
      </c>
      <c r="P2458" s="66" t="n">
        <f aca="false">O2458/J2458</f>
        <v>14625.550660793</v>
      </c>
      <c r="Q2458" s="67" t="s">
        <v>903</v>
      </c>
      <c r="R2458" s="65" t="s">
        <v>26</v>
      </c>
      <c r="S2458" s="67" t="s">
        <v>29</v>
      </c>
      <c r="T2458" s="62" t="s">
        <v>30</v>
      </c>
      <c r="U2458" s="68" t="s">
        <v>31</v>
      </c>
      <c r="V2458" s="63" t="n">
        <v>43886</v>
      </c>
      <c r="W2458" s="18" t="s">
        <v>4020</v>
      </c>
      <c r="X2458" s="18"/>
    </row>
    <row r="2459" s="151" customFormat="true" ht="13.8" hidden="false" customHeight="false" outlineLevel="0" collapsed="false">
      <c r="A2459" s="61"/>
      <c r="B2459" s="62" t="n">
        <v>3886</v>
      </c>
      <c r="C2459" s="81" t="n">
        <v>43802</v>
      </c>
      <c r="D2459" s="64" t="s">
        <v>22</v>
      </c>
      <c r="E2459" s="65" t="s">
        <v>118</v>
      </c>
      <c r="F2459" s="18" t="s">
        <v>4021</v>
      </c>
      <c r="G2459" s="62" t="n">
        <v>19</v>
      </c>
      <c r="H2459" s="62" t="n">
        <v>68</v>
      </c>
      <c r="I2459" s="62" t="n">
        <v>3</v>
      </c>
      <c r="J2459" s="62" t="n">
        <v>47.5</v>
      </c>
      <c r="K2459" s="66" t="n">
        <v>415000</v>
      </c>
      <c r="L2459" s="66" t="n">
        <f aca="false">K2459/J2459</f>
        <v>8736.84210526316</v>
      </c>
      <c r="M2459" s="18" t="s">
        <v>4022</v>
      </c>
      <c r="N2459" s="66"/>
      <c r="O2459" s="66" t="n">
        <f aca="false">K2459+N2459</f>
        <v>415000</v>
      </c>
      <c r="P2459" s="66" t="n">
        <f aca="false">O2459/J2459</f>
        <v>8736.84210526316</v>
      </c>
      <c r="Q2459" s="67" t="s">
        <v>861</v>
      </c>
      <c r="R2459" s="65"/>
      <c r="S2459" s="67" t="s">
        <v>29</v>
      </c>
      <c r="T2459" s="62" t="s">
        <v>30</v>
      </c>
      <c r="U2459" s="68" t="s">
        <v>31</v>
      </c>
      <c r="V2459" s="63" t="n">
        <v>43886</v>
      </c>
      <c r="W2459" s="18" t="s">
        <v>4023</v>
      </c>
      <c r="X2459" s="18"/>
      <c r="Y2459" s="150"/>
      <c r="Z2459" s="150"/>
      <c r="AA2459" s="150"/>
      <c r="AB2459" s="150"/>
      <c r="AC2459" s="150"/>
      <c r="AD2459" s="150"/>
      <c r="AE2459" s="150"/>
      <c r="AF2459" s="150"/>
      <c r="AG2459" s="150"/>
      <c r="AH2459" s="150"/>
      <c r="AI2459" s="150"/>
      <c r="AJ2459" s="150"/>
      <c r="AK2459" s="150"/>
      <c r="AL2459" s="150"/>
      <c r="AM2459" s="150"/>
      <c r="AN2459" s="150"/>
      <c r="AO2459" s="150"/>
      <c r="AP2459" s="150"/>
      <c r="AQ2459" s="150"/>
      <c r="AR2459" s="150"/>
      <c r="AS2459" s="150"/>
      <c r="AT2459" s="150"/>
      <c r="AU2459" s="150"/>
      <c r="AV2459" s="150"/>
      <c r="AW2459" s="150"/>
      <c r="AX2459" s="150"/>
      <c r="AY2459" s="150"/>
      <c r="AZ2459" s="150"/>
      <c r="BA2459" s="150"/>
      <c r="BB2459" s="150"/>
      <c r="BC2459" s="150"/>
      <c r="BD2459" s="150"/>
      <c r="BE2459" s="150"/>
      <c r="BF2459" s="150"/>
    </row>
    <row r="2460" s="150" customFormat="true" ht="13.8" hidden="false" customHeight="false" outlineLevel="0" collapsed="false">
      <c r="A2460" s="61"/>
      <c r="B2460" s="62" t="n">
        <v>5285</v>
      </c>
      <c r="C2460" s="81" t="n">
        <v>43802</v>
      </c>
      <c r="D2460" s="64" t="s">
        <v>22</v>
      </c>
      <c r="E2460" s="65" t="s">
        <v>369</v>
      </c>
      <c r="F2460" s="18" t="s">
        <v>46</v>
      </c>
      <c r="G2460" s="62" t="n">
        <v>71</v>
      </c>
      <c r="H2460" s="62" t="n">
        <v>31</v>
      </c>
      <c r="I2460" s="62"/>
      <c r="J2460" s="62" t="n">
        <v>28.51</v>
      </c>
      <c r="K2460" s="66" t="n">
        <v>290000</v>
      </c>
      <c r="L2460" s="66" t="n">
        <f aca="false">K2460/J2460</f>
        <v>10171.8695194669</v>
      </c>
      <c r="M2460" s="18"/>
      <c r="N2460" s="66"/>
      <c r="O2460" s="66" t="n">
        <f aca="false">K2460+N2460</f>
        <v>290000</v>
      </c>
      <c r="P2460" s="66" t="n">
        <f aca="false">O2460/J2460</f>
        <v>10171.8695194669</v>
      </c>
      <c r="Q2460" s="67" t="s">
        <v>1181</v>
      </c>
      <c r="R2460" s="65"/>
      <c r="S2460" s="67" t="s">
        <v>29</v>
      </c>
      <c r="T2460" s="62" t="s">
        <v>30</v>
      </c>
      <c r="U2460" s="68" t="s">
        <v>31</v>
      </c>
      <c r="V2460" s="63" t="n">
        <v>43886</v>
      </c>
      <c r="W2460" s="18" t="s">
        <v>4024</v>
      </c>
      <c r="X2460" s="18"/>
    </row>
    <row r="2461" s="150" customFormat="true" ht="13.8" hidden="false" customHeight="false" outlineLevel="0" collapsed="false">
      <c r="A2461" s="61"/>
      <c r="B2461" s="62" t="n">
        <v>6217</v>
      </c>
      <c r="C2461" s="81" t="n">
        <v>43802</v>
      </c>
      <c r="D2461" s="64" t="s">
        <v>22</v>
      </c>
      <c r="E2461" s="112" t="s">
        <v>3219</v>
      </c>
      <c r="F2461" s="18" t="s">
        <v>3093</v>
      </c>
      <c r="G2461" s="62" t="n">
        <v>41</v>
      </c>
      <c r="H2461" s="62" t="n">
        <v>5</v>
      </c>
      <c r="I2461" s="62" t="n">
        <v>4</v>
      </c>
      <c r="J2461" s="62" t="n">
        <v>73.22</v>
      </c>
      <c r="K2461" s="66" t="n">
        <v>653000</v>
      </c>
      <c r="L2461" s="66" t="n">
        <f aca="false">K2461/J2461</f>
        <v>8918.3283255941</v>
      </c>
      <c r="M2461" s="18" t="s">
        <v>4025</v>
      </c>
      <c r="N2461" s="66" t="n">
        <v>47000</v>
      </c>
      <c r="O2461" s="66" t="n">
        <f aca="false">K2461+N2461</f>
        <v>700000</v>
      </c>
      <c r="P2461" s="66" t="n">
        <f aca="false">O2461/J2461</f>
        <v>9560.22944550669</v>
      </c>
      <c r="Q2461" s="67" t="s">
        <v>3893</v>
      </c>
      <c r="R2461" s="65"/>
      <c r="S2461" s="67" t="s">
        <v>29</v>
      </c>
      <c r="T2461" s="62" t="s">
        <v>30</v>
      </c>
      <c r="U2461" s="68" t="s">
        <v>31</v>
      </c>
      <c r="V2461" s="63" t="n">
        <v>43886</v>
      </c>
      <c r="W2461" s="18" t="s">
        <v>4026</v>
      </c>
      <c r="X2461" s="18"/>
    </row>
    <row r="2462" s="150" customFormat="true" ht="13.8" hidden="false" customHeight="false" outlineLevel="0" collapsed="false">
      <c r="A2462" s="61"/>
      <c r="B2462" s="62" t="n">
        <v>2418</v>
      </c>
      <c r="C2462" s="81" t="n">
        <v>43802</v>
      </c>
      <c r="D2462" s="64" t="s">
        <v>22</v>
      </c>
      <c r="E2462" s="65" t="s">
        <v>183</v>
      </c>
      <c r="F2462" s="18" t="s">
        <v>486</v>
      </c>
      <c r="G2462" s="62" t="n">
        <v>23</v>
      </c>
      <c r="H2462" s="62" t="n">
        <v>126</v>
      </c>
      <c r="I2462" s="62" t="n">
        <v>11</v>
      </c>
      <c r="J2462" s="62" t="n">
        <v>39.05</v>
      </c>
      <c r="K2462" s="66" t="n">
        <v>380000</v>
      </c>
      <c r="L2462" s="66" t="n">
        <f aca="false">K2462/J2462</f>
        <v>9731.11395646607</v>
      </c>
      <c r="M2462" s="18" t="s">
        <v>4027</v>
      </c>
      <c r="N2462" s="66"/>
      <c r="O2462" s="66" t="n">
        <f aca="false">K2462+N2462</f>
        <v>380000</v>
      </c>
      <c r="P2462" s="66" t="n">
        <f aca="false">O2462/J2462</f>
        <v>9731.11395646607</v>
      </c>
      <c r="Q2462" s="67" t="s">
        <v>903</v>
      </c>
      <c r="R2462" s="65"/>
      <c r="S2462" s="67" t="s">
        <v>29</v>
      </c>
      <c r="T2462" s="62" t="s">
        <v>30</v>
      </c>
      <c r="U2462" s="68" t="s">
        <v>31</v>
      </c>
      <c r="V2462" s="63" t="n">
        <v>43886</v>
      </c>
      <c r="W2462" s="18" t="s">
        <v>4028</v>
      </c>
      <c r="X2462" s="18"/>
    </row>
    <row r="2463" s="150" customFormat="true" ht="13.8" hidden="false" customHeight="false" outlineLevel="0" collapsed="false">
      <c r="A2463" s="61"/>
      <c r="B2463" s="62" t="n">
        <v>10009</v>
      </c>
      <c r="C2463" s="81" t="n">
        <v>43803</v>
      </c>
      <c r="D2463" s="64" t="s">
        <v>22</v>
      </c>
      <c r="E2463" s="65" t="s">
        <v>459</v>
      </c>
      <c r="F2463" s="18" t="s">
        <v>279</v>
      </c>
      <c r="G2463" s="62" t="n">
        <v>3</v>
      </c>
      <c r="H2463" s="62" t="n">
        <v>14</v>
      </c>
      <c r="I2463" s="62" t="n">
        <v>5</v>
      </c>
      <c r="J2463" s="62" t="n">
        <v>46.4</v>
      </c>
      <c r="K2463" s="66" t="n">
        <v>442000</v>
      </c>
      <c r="L2463" s="66" t="n">
        <f aca="false">K2463/J2463</f>
        <v>9525.86206896552</v>
      </c>
      <c r="M2463" s="18"/>
      <c r="N2463" s="66"/>
      <c r="O2463" s="66" t="n">
        <f aca="false">K2463+N2463</f>
        <v>442000</v>
      </c>
      <c r="P2463" s="66" t="n">
        <f aca="false">O2463/J2463</f>
        <v>9525.86206896552</v>
      </c>
      <c r="Q2463" s="67" t="s">
        <v>861</v>
      </c>
      <c r="R2463" s="65" t="s">
        <v>26</v>
      </c>
      <c r="S2463" s="67" t="s">
        <v>29</v>
      </c>
      <c r="T2463" s="62" t="s">
        <v>30</v>
      </c>
      <c r="U2463" s="68" t="s">
        <v>31</v>
      </c>
      <c r="V2463" s="63" t="n">
        <v>43886</v>
      </c>
      <c r="W2463" s="18" t="s">
        <v>4029</v>
      </c>
      <c r="X2463" s="18"/>
    </row>
    <row r="2464" s="150" customFormat="true" ht="13.8" hidden="false" customHeight="false" outlineLevel="0" collapsed="false">
      <c r="A2464" s="61"/>
      <c r="B2464" s="62" t="n">
        <v>5960</v>
      </c>
      <c r="C2464" s="81" t="n">
        <v>43803</v>
      </c>
      <c r="D2464" s="64" t="s">
        <v>22</v>
      </c>
      <c r="E2464" s="65" t="s">
        <v>284</v>
      </c>
      <c r="F2464" s="18" t="s">
        <v>532</v>
      </c>
      <c r="G2464" s="62" t="n">
        <v>12</v>
      </c>
      <c r="H2464" s="62" t="n">
        <v>8</v>
      </c>
      <c r="I2464" s="62" t="n">
        <v>3</v>
      </c>
      <c r="J2464" s="62" t="n">
        <v>44.41</v>
      </c>
      <c r="K2464" s="66" t="n">
        <v>516000</v>
      </c>
      <c r="L2464" s="66" t="n">
        <f aca="false">K2464/J2464</f>
        <v>11619.0047286647</v>
      </c>
      <c r="M2464" s="18"/>
      <c r="N2464" s="66"/>
      <c r="O2464" s="66" t="n">
        <f aca="false">K2464+N2464</f>
        <v>516000</v>
      </c>
      <c r="P2464" s="66" t="n">
        <f aca="false">O2464/J2464</f>
        <v>11619.0047286647</v>
      </c>
      <c r="Q2464" s="67" t="s">
        <v>903</v>
      </c>
      <c r="R2464" s="65" t="s">
        <v>36</v>
      </c>
      <c r="S2464" s="67" t="s">
        <v>29</v>
      </c>
      <c r="T2464" s="62" t="s">
        <v>30</v>
      </c>
      <c r="U2464" s="68" t="s">
        <v>31</v>
      </c>
      <c r="V2464" s="63" t="n">
        <v>43886</v>
      </c>
      <c r="W2464" s="18" t="s">
        <v>4030</v>
      </c>
      <c r="X2464" s="18"/>
    </row>
    <row r="2465" s="150" customFormat="true" ht="13.8" hidden="false" customHeight="false" outlineLevel="0" collapsed="false">
      <c r="A2465" s="61"/>
      <c r="B2465" s="62" t="n">
        <v>5877</v>
      </c>
      <c r="C2465" s="81" t="n">
        <v>43803</v>
      </c>
      <c r="D2465" s="64" t="s">
        <v>22</v>
      </c>
      <c r="E2465" s="65" t="s">
        <v>45</v>
      </c>
      <c r="F2465" s="18" t="s">
        <v>485</v>
      </c>
      <c r="G2465" s="62" t="n">
        <v>11</v>
      </c>
      <c r="H2465" s="62" t="n">
        <v>10</v>
      </c>
      <c r="I2465" s="62" t="n">
        <v>4</v>
      </c>
      <c r="J2465" s="62" t="n">
        <v>48.2</v>
      </c>
      <c r="K2465" s="66" t="n">
        <v>510000</v>
      </c>
      <c r="L2465" s="66" t="n">
        <f aca="false">K2465/J2465</f>
        <v>10580.9128630705</v>
      </c>
      <c r="M2465" s="18"/>
      <c r="N2465" s="66"/>
      <c r="O2465" s="66" t="n">
        <f aca="false">K2465+N2465</f>
        <v>510000</v>
      </c>
      <c r="P2465" s="66" t="n">
        <f aca="false">O2465/J2465</f>
        <v>10580.9128630705</v>
      </c>
      <c r="Q2465" s="67" t="s">
        <v>1181</v>
      </c>
      <c r="R2465" s="65" t="s">
        <v>27</v>
      </c>
      <c r="S2465" s="67" t="s">
        <v>29</v>
      </c>
      <c r="T2465" s="62" t="s">
        <v>30</v>
      </c>
      <c r="U2465" s="68" t="s">
        <v>31</v>
      </c>
      <c r="V2465" s="63" t="n">
        <v>43886</v>
      </c>
      <c r="W2465" s="18" t="s">
        <v>4031</v>
      </c>
      <c r="X2465" s="18"/>
    </row>
    <row r="2466" s="150" customFormat="true" ht="13.8" hidden="false" customHeight="false" outlineLevel="0" collapsed="false">
      <c r="A2466" s="61"/>
      <c r="B2466" s="62" t="n">
        <v>47000</v>
      </c>
      <c r="C2466" s="81" t="n">
        <v>43803</v>
      </c>
      <c r="D2466" s="64" t="s">
        <v>22</v>
      </c>
      <c r="E2466" s="65" t="s">
        <v>118</v>
      </c>
      <c r="F2466" s="18" t="s">
        <v>119</v>
      </c>
      <c r="G2466" s="62" t="n">
        <v>18</v>
      </c>
      <c r="H2466" s="62" t="n">
        <v>35</v>
      </c>
      <c r="I2466" s="62" t="n">
        <v>8</v>
      </c>
      <c r="J2466" s="62" t="n">
        <v>46.1</v>
      </c>
      <c r="K2466" s="66" t="n">
        <v>425000</v>
      </c>
      <c r="L2466" s="66" t="n">
        <f aca="false">K2466/J2466</f>
        <v>9219.08893709328</v>
      </c>
      <c r="M2466" s="18" t="s">
        <v>3897</v>
      </c>
      <c r="N2466" s="66"/>
      <c r="O2466" s="66" t="n">
        <f aca="false">K2466+N2466</f>
        <v>425000</v>
      </c>
      <c r="P2466" s="66" t="n">
        <f aca="false">O2466/J2466</f>
        <v>9219.08893709328</v>
      </c>
      <c r="Q2466" s="67" t="s">
        <v>941</v>
      </c>
      <c r="R2466" s="65"/>
      <c r="S2466" s="67" t="s">
        <v>29</v>
      </c>
      <c r="T2466" s="62" t="s">
        <v>30</v>
      </c>
      <c r="U2466" s="68" t="s">
        <v>31</v>
      </c>
      <c r="V2466" s="63" t="n">
        <v>43886</v>
      </c>
      <c r="W2466" s="18" t="s">
        <v>4032</v>
      </c>
      <c r="X2466" s="18"/>
    </row>
    <row r="2467" s="150" customFormat="true" ht="13.8" hidden="false" customHeight="false" outlineLevel="0" collapsed="false">
      <c r="A2467" s="61"/>
      <c r="B2467" s="62" t="n">
        <v>9100</v>
      </c>
      <c r="C2467" s="81" t="n">
        <v>43803</v>
      </c>
      <c r="D2467" s="64" t="s">
        <v>22</v>
      </c>
      <c r="E2467" s="65" t="s">
        <v>229</v>
      </c>
      <c r="F2467" s="18" t="s">
        <v>1722</v>
      </c>
      <c r="G2467" s="62" t="s">
        <v>4033</v>
      </c>
      <c r="H2467" s="62" t="n">
        <v>148</v>
      </c>
      <c r="I2467" s="62" t="n">
        <v>5</v>
      </c>
      <c r="J2467" s="62" t="n">
        <v>48.44</v>
      </c>
      <c r="K2467" s="66" t="n">
        <v>605000</v>
      </c>
      <c r="L2467" s="66" t="n">
        <f aca="false">K2467/J2467</f>
        <v>12489.6779521057</v>
      </c>
      <c r="M2467" s="18"/>
      <c r="N2467" s="66"/>
      <c r="O2467" s="66" t="n">
        <f aca="false">K2467+N2467</f>
        <v>605000</v>
      </c>
      <c r="P2467" s="66" t="n">
        <f aca="false">O2467/J2467</f>
        <v>12489.6779521057</v>
      </c>
      <c r="Q2467" s="67" t="s">
        <v>4034</v>
      </c>
      <c r="R2467" s="65" t="s">
        <v>36</v>
      </c>
      <c r="S2467" s="67" t="s">
        <v>29</v>
      </c>
      <c r="T2467" s="62" t="s">
        <v>30</v>
      </c>
      <c r="U2467" s="68" t="s">
        <v>31</v>
      </c>
      <c r="V2467" s="63" t="n">
        <v>43886</v>
      </c>
      <c r="W2467" s="18" t="s">
        <v>4035</v>
      </c>
      <c r="X2467" s="18"/>
    </row>
    <row r="2468" s="150" customFormat="true" ht="13.8" hidden="false" customHeight="false" outlineLevel="0" collapsed="false">
      <c r="A2468" s="61"/>
      <c r="B2468" s="62" t="n">
        <v>24174</v>
      </c>
      <c r="C2468" s="81" t="n">
        <v>43804</v>
      </c>
      <c r="D2468" s="64" t="s">
        <v>22</v>
      </c>
      <c r="E2468" s="65" t="s">
        <v>622</v>
      </c>
      <c r="F2468" s="18" t="s">
        <v>3936</v>
      </c>
      <c r="G2468" s="62" t="n">
        <v>42</v>
      </c>
      <c r="H2468" s="62" t="n">
        <v>5</v>
      </c>
      <c r="I2468" s="62" t="n">
        <v>2</v>
      </c>
      <c r="J2468" s="62" t="n">
        <v>29</v>
      </c>
      <c r="K2468" s="66" t="n">
        <v>330000</v>
      </c>
      <c r="L2468" s="66" t="n">
        <f aca="false">K2468/J2468</f>
        <v>11379.3103448276</v>
      </c>
      <c r="M2468" s="18"/>
      <c r="N2468" s="66"/>
      <c r="O2468" s="66" t="n">
        <f aca="false">K2468+N2468</f>
        <v>330000</v>
      </c>
      <c r="P2468" s="66" t="n">
        <f aca="false">O2468/J2468</f>
        <v>11379.3103448276</v>
      </c>
      <c r="Q2468" s="67" t="s">
        <v>1181</v>
      </c>
      <c r="R2468" s="65"/>
      <c r="S2468" s="67" t="s">
        <v>29</v>
      </c>
      <c r="T2468" s="62" t="s">
        <v>30</v>
      </c>
      <c r="U2468" s="68" t="s">
        <v>31</v>
      </c>
      <c r="V2468" s="63" t="n">
        <v>43886</v>
      </c>
      <c r="W2468" s="18" t="s">
        <v>4036</v>
      </c>
      <c r="X2468" s="18"/>
    </row>
    <row r="2469" s="150" customFormat="true" ht="13.8" hidden="false" customHeight="false" outlineLevel="0" collapsed="false">
      <c r="A2469" s="61"/>
      <c r="B2469" s="62" t="n">
        <v>2619</v>
      </c>
      <c r="C2469" s="81" t="n">
        <v>43804</v>
      </c>
      <c r="D2469" s="64" t="s">
        <v>22</v>
      </c>
      <c r="E2469" s="65" t="s">
        <v>137</v>
      </c>
      <c r="F2469" s="18" t="s">
        <v>1184</v>
      </c>
      <c r="G2469" s="62" t="n">
        <v>9</v>
      </c>
      <c r="H2469" s="62" t="n">
        <v>18</v>
      </c>
      <c r="I2469" s="62" t="n">
        <v>4</v>
      </c>
      <c r="J2469" s="62" t="n">
        <v>39.61</v>
      </c>
      <c r="K2469" s="66" t="n">
        <v>515000</v>
      </c>
      <c r="L2469" s="66" t="n">
        <f aca="false">K2469/J2469</f>
        <v>13001.7672304974</v>
      </c>
      <c r="M2469" s="18"/>
      <c r="N2469" s="66"/>
      <c r="O2469" s="66" t="n">
        <f aca="false">K2469+N2469</f>
        <v>515000</v>
      </c>
      <c r="P2469" s="66" t="n">
        <f aca="false">O2469/J2469</f>
        <v>13001.7672304974</v>
      </c>
      <c r="Q2469" s="67" t="s">
        <v>3904</v>
      </c>
      <c r="R2469" s="65" t="s">
        <v>27</v>
      </c>
      <c r="S2469" s="67" t="s">
        <v>29</v>
      </c>
      <c r="T2469" s="62" t="s">
        <v>30</v>
      </c>
      <c r="U2469" s="68" t="s">
        <v>31</v>
      </c>
      <c r="V2469" s="63" t="n">
        <v>43886</v>
      </c>
      <c r="W2469" s="18" t="s">
        <v>4037</v>
      </c>
      <c r="X2469" s="18"/>
    </row>
    <row r="2470" s="150" customFormat="true" ht="13.8" hidden="false" customHeight="false" outlineLevel="0" collapsed="false">
      <c r="A2470" s="61"/>
      <c r="B2470" s="62" t="n">
        <v>5671</v>
      </c>
      <c r="C2470" s="81" t="n">
        <v>43804</v>
      </c>
      <c r="D2470" s="64" t="s">
        <v>22</v>
      </c>
      <c r="E2470" s="65" t="s">
        <v>129</v>
      </c>
      <c r="F2470" s="18" t="s">
        <v>209</v>
      </c>
      <c r="G2470" s="62" t="n">
        <v>1</v>
      </c>
      <c r="H2470" s="62" t="n">
        <v>13</v>
      </c>
      <c r="I2470" s="62" t="n">
        <v>4</v>
      </c>
      <c r="J2470" s="62" t="n">
        <v>53.04</v>
      </c>
      <c r="K2470" s="66" t="n">
        <v>605000</v>
      </c>
      <c r="L2470" s="66" t="n">
        <f aca="false">K2470/J2470</f>
        <v>11406.4856711916</v>
      </c>
      <c r="M2470" s="18"/>
      <c r="N2470" s="66"/>
      <c r="O2470" s="66" t="n">
        <f aca="false">K2470+N2470</f>
        <v>605000</v>
      </c>
      <c r="P2470" s="66" t="n">
        <f aca="false">O2470/J2470</f>
        <v>11406.4856711916</v>
      </c>
      <c r="Q2470" s="67" t="s">
        <v>4038</v>
      </c>
      <c r="R2470" s="65"/>
      <c r="S2470" s="67" t="s">
        <v>29</v>
      </c>
      <c r="T2470" s="62" t="s">
        <v>30</v>
      </c>
      <c r="U2470" s="68" t="s">
        <v>31</v>
      </c>
      <c r="V2470" s="63" t="n">
        <v>43886</v>
      </c>
      <c r="W2470" s="18" t="s">
        <v>4039</v>
      </c>
      <c r="X2470" s="18"/>
    </row>
    <row r="2471" s="150" customFormat="true" ht="13.8" hidden="false" customHeight="false" outlineLevel="0" collapsed="false">
      <c r="A2471" s="61"/>
      <c r="B2471" s="62" t="n">
        <v>3916</v>
      </c>
      <c r="C2471" s="81" t="n">
        <v>43804</v>
      </c>
      <c r="D2471" s="64" t="s">
        <v>22</v>
      </c>
      <c r="E2471" s="65" t="s">
        <v>53</v>
      </c>
      <c r="F2471" s="18" t="s">
        <v>46</v>
      </c>
      <c r="G2471" s="62" t="n">
        <v>257</v>
      </c>
      <c r="H2471" s="62" t="n">
        <v>72</v>
      </c>
      <c r="I2471" s="62" t="n">
        <v>2</v>
      </c>
      <c r="J2471" s="62" t="n">
        <v>41.37</v>
      </c>
      <c r="K2471" s="66" t="n">
        <v>570000</v>
      </c>
      <c r="L2471" s="66" t="n">
        <f aca="false">K2471/J2471</f>
        <v>13778.1000725163</v>
      </c>
      <c r="M2471" s="18" t="s">
        <v>4040</v>
      </c>
      <c r="N2471" s="66"/>
      <c r="O2471" s="66" t="n">
        <f aca="false">K2471+N2471</f>
        <v>570000</v>
      </c>
      <c r="P2471" s="66" t="n">
        <f aca="false">O2471/J2471</f>
        <v>13778.1000725163</v>
      </c>
      <c r="Q2471" s="67" t="s">
        <v>4038</v>
      </c>
      <c r="R2471" s="65"/>
      <c r="S2471" s="67" t="s">
        <v>29</v>
      </c>
      <c r="T2471" s="62" t="s">
        <v>30</v>
      </c>
      <c r="U2471" s="68" t="s">
        <v>31</v>
      </c>
      <c r="V2471" s="63" t="n">
        <v>43886</v>
      </c>
      <c r="W2471" s="18" t="s">
        <v>4041</v>
      </c>
      <c r="X2471" s="18"/>
    </row>
    <row r="2472" s="150" customFormat="true" ht="13.8" hidden="false" customHeight="false" outlineLevel="0" collapsed="false">
      <c r="A2472" s="61"/>
      <c r="B2472" s="62" t="n">
        <v>7633</v>
      </c>
      <c r="C2472" s="81" t="n">
        <v>43804</v>
      </c>
      <c r="D2472" s="64" t="s">
        <v>22</v>
      </c>
      <c r="E2472" s="65" t="s">
        <v>122</v>
      </c>
      <c r="F2472" s="18" t="s">
        <v>4042</v>
      </c>
      <c r="G2472" s="62" t="n">
        <v>48</v>
      </c>
      <c r="H2472" s="62" t="n">
        <v>518</v>
      </c>
      <c r="I2472" s="62" t="n">
        <v>6</v>
      </c>
      <c r="J2472" s="62" t="n">
        <v>70.03</v>
      </c>
      <c r="K2472" s="66" t="n">
        <v>855000</v>
      </c>
      <c r="L2472" s="66" t="n">
        <f aca="false">K2472/J2472</f>
        <v>12209.0532628873</v>
      </c>
      <c r="M2472" s="18" t="s">
        <v>4043</v>
      </c>
      <c r="N2472" s="66"/>
      <c r="O2472" s="66" t="n">
        <f aca="false">K2472+N2472</f>
        <v>855000</v>
      </c>
      <c r="P2472" s="66" t="n">
        <f aca="false">O2472/J2472</f>
        <v>12209.0532628873</v>
      </c>
      <c r="Q2472" s="67" t="s">
        <v>4044</v>
      </c>
      <c r="R2472" s="65"/>
      <c r="S2472" s="67" t="s">
        <v>29</v>
      </c>
      <c r="T2472" s="62" t="s">
        <v>30</v>
      </c>
      <c r="U2472" s="68" t="s">
        <v>31</v>
      </c>
      <c r="V2472" s="63" t="n">
        <v>43886</v>
      </c>
      <c r="W2472" s="18" t="s">
        <v>4045</v>
      </c>
      <c r="X2472" s="18"/>
    </row>
    <row r="2473" s="150" customFormat="true" ht="13.8" hidden="false" customHeight="false" outlineLevel="0" collapsed="false">
      <c r="A2473" s="61"/>
      <c r="B2473" s="62" t="n">
        <v>33855</v>
      </c>
      <c r="C2473" s="81" t="n">
        <v>43805</v>
      </c>
      <c r="D2473" s="64" t="s">
        <v>22</v>
      </c>
      <c r="E2473" s="65" t="s">
        <v>190</v>
      </c>
      <c r="F2473" s="18" t="s">
        <v>591</v>
      </c>
      <c r="G2473" s="62" t="n">
        <v>15</v>
      </c>
      <c r="H2473" s="62" t="n">
        <v>32</v>
      </c>
      <c r="I2473" s="62" t="n">
        <v>2</v>
      </c>
      <c r="J2473" s="62" t="n">
        <v>37.15</v>
      </c>
      <c r="K2473" s="66" t="n">
        <v>445000</v>
      </c>
      <c r="L2473" s="66" t="n">
        <f aca="false">K2473/J2473</f>
        <v>11978.465679677</v>
      </c>
      <c r="M2473" s="18"/>
      <c r="N2473" s="66"/>
      <c r="O2473" s="66" t="n">
        <f aca="false">K2473+N2473</f>
        <v>445000</v>
      </c>
      <c r="P2473" s="66" t="n">
        <f aca="false">O2473/J2473</f>
        <v>11978.465679677</v>
      </c>
      <c r="Q2473" s="67" t="s">
        <v>1181</v>
      </c>
      <c r="R2473" s="65"/>
      <c r="S2473" s="67" t="s">
        <v>29</v>
      </c>
      <c r="T2473" s="62" t="s">
        <v>30</v>
      </c>
      <c r="U2473" s="68" t="s">
        <v>31</v>
      </c>
      <c r="V2473" s="63" t="n">
        <v>43886</v>
      </c>
      <c r="W2473" s="18" t="s">
        <v>1956</v>
      </c>
      <c r="X2473" s="18"/>
    </row>
    <row r="2474" s="150" customFormat="true" ht="13.8" hidden="false" customHeight="false" outlineLevel="0" collapsed="false">
      <c r="A2474" s="61"/>
      <c r="B2474" s="62" t="n">
        <v>8917</v>
      </c>
      <c r="C2474" s="81" t="n">
        <v>43805</v>
      </c>
      <c r="D2474" s="64" t="s">
        <v>22</v>
      </c>
      <c r="E2474" s="65" t="s">
        <v>278</v>
      </c>
      <c r="F2474" s="18" t="s">
        <v>288</v>
      </c>
      <c r="G2474" s="62" t="n">
        <v>10</v>
      </c>
      <c r="H2474" s="62" t="n">
        <v>20</v>
      </c>
      <c r="I2474" s="62" t="n">
        <v>3</v>
      </c>
      <c r="J2474" s="62" t="n">
        <v>32.01</v>
      </c>
      <c r="K2474" s="66" t="n">
        <f aca="false">8260/2%</f>
        <v>413000</v>
      </c>
      <c r="L2474" s="66" t="n">
        <f aca="false">K2474/J2474</f>
        <v>12902.2180568572</v>
      </c>
      <c r="M2474" s="18" t="s">
        <v>4046</v>
      </c>
      <c r="N2474" s="66"/>
      <c r="O2474" s="66" t="n">
        <f aca="false">K2474+N2474</f>
        <v>413000</v>
      </c>
      <c r="P2474" s="66" t="n">
        <f aca="false">O2474/J2474</f>
        <v>12902.2180568572</v>
      </c>
      <c r="Q2474" s="67" t="s">
        <v>1181</v>
      </c>
      <c r="R2474" s="65"/>
      <c r="S2474" s="67" t="s">
        <v>29</v>
      </c>
      <c r="T2474" s="62" t="s">
        <v>30</v>
      </c>
      <c r="U2474" s="68" t="s">
        <v>31</v>
      </c>
      <c r="V2474" s="63" t="n">
        <v>43886</v>
      </c>
      <c r="W2474" s="18" t="s">
        <v>4047</v>
      </c>
      <c r="X2474" s="18"/>
    </row>
    <row r="2475" s="150" customFormat="true" ht="13.8" hidden="false" customHeight="false" outlineLevel="0" collapsed="false">
      <c r="A2475" s="61"/>
      <c r="B2475" s="62" t="n">
        <v>4424</v>
      </c>
      <c r="C2475" s="81" t="n">
        <v>43805</v>
      </c>
      <c r="D2475" s="64" t="s">
        <v>22</v>
      </c>
      <c r="E2475" s="65" t="s">
        <v>265</v>
      </c>
      <c r="F2475" s="18" t="s">
        <v>152</v>
      </c>
      <c r="G2475" s="62" t="s">
        <v>3432</v>
      </c>
      <c r="H2475" s="62" t="n">
        <v>1</v>
      </c>
      <c r="I2475" s="62" t="n">
        <v>1</v>
      </c>
      <c r="J2475" s="62" t="n">
        <v>118.6</v>
      </c>
      <c r="K2475" s="66" t="n">
        <v>1800000</v>
      </c>
      <c r="L2475" s="66" t="n">
        <f aca="false">K2475/J2475</f>
        <v>15177.065767285</v>
      </c>
      <c r="M2475" s="18" t="s">
        <v>4048</v>
      </c>
      <c r="N2475" s="66"/>
      <c r="O2475" s="66" t="n">
        <f aca="false">K2475+N2475</f>
        <v>1800000</v>
      </c>
      <c r="P2475" s="66" t="n">
        <f aca="false">O2475/J2475</f>
        <v>15177.065767285</v>
      </c>
      <c r="Q2475" s="67" t="s">
        <v>1889</v>
      </c>
      <c r="R2475" s="65"/>
      <c r="S2475" s="67" t="s">
        <v>29</v>
      </c>
      <c r="T2475" s="62" t="s">
        <v>30</v>
      </c>
      <c r="U2475" s="68" t="s">
        <v>31</v>
      </c>
      <c r="V2475" s="63" t="n">
        <v>43886</v>
      </c>
      <c r="W2475" s="18" t="s">
        <v>4049</v>
      </c>
      <c r="X2475" s="18"/>
    </row>
    <row r="2476" s="150" customFormat="true" ht="13.8" hidden="false" customHeight="false" outlineLevel="0" collapsed="false">
      <c r="A2476" s="61"/>
      <c r="B2476" s="62" t="n">
        <v>3008</v>
      </c>
      <c r="C2476" s="81" t="n">
        <v>43806</v>
      </c>
      <c r="D2476" s="64" t="s">
        <v>22</v>
      </c>
      <c r="E2476" s="65" t="s">
        <v>2151</v>
      </c>
      <c r="F2476" s="18" t="s">
        <v>4050</v>
      </c>
      <c r="G2476" s="62" t="n">
        <v>2</v>
      </c>
      <c r="H2476" s="62" t="n">
        <v>72</v>
      </c>
      <c r="I2476" s="62" t="n">
        <v>6</v>
      </c>
      <c r="J2476" s="62" t="n">
        <v>35.25</v>
      </c>
      <c r="K2476" s="66" t="n">
        <v>420000</v>
      </c>
      <c r="L2476" s="66" t="n">
        <f aca="false">K2476/J2476</f>
        <v>11914.8936170213</v>
      </c>
      <c r="M2476" s="18" t="s">
        <v>4051</v>
      </c>
      <c r="N2476" s="66"/>
      <c r="O2476" s="66" t="n">
        <f aca="false">K2476+N2476</f>
        <v>420000</v>
      </c>
      <c r="P2476" s="66" t="n">
        <f aca="false">O2476/J2476</f>
        <v>11914.8936170213</v>
      </c>
      <c r="Q2476" s="67" t="s">
        <v>4038</v>
      </c>
      <c r="R2476" s="65"/>
      <c r="S2476" s="67" t="s">
        <v>29</v>
      </c>
      <c r="T2476" s="62" t="s">
        <v>30</v>
      </c>
      <c r="U2476" s="68" t="s">
        <v>31</v>
      </c>
      <c r="V2476" s="63" t="n">
        <v>43886</v>
      </c>
      <c r="W2476" s="18" t="s">
        <v>4052</v>
      </c>
      <c r="X2476" s="18"/>
    </row>
    <row r="2477" s="150" customFormat="true" ht="13.8" hidden="false" customHeight="false" outlineLevel="0" collapsed="false">
      <c r="A2477" s="61"/>
      <c r="B2477" s="62" t="n">
        <v>10044</v>
      </c>
      <c r="C2477" s="81" t="n">
        <v>43808</v>
      </c>
      <c r="D2477" s="64" t="s">
        <v>22</v>
      </c>
      <c r="E2477" s="65" t="s">
        <v>75</v>
      </c>
      <c r="F2477" s="18" t="s">
        <v>3884</v>
      </c>
      <c r="G2477" s="62" t="n">
        <v>77</v>
      </c>
      <c r="H2477" s="62" t="n">
        <v>24</v>
      </c>
      <c r="I2477" s="62" t="n">
        <v>3</v>
      </c>
      <c r="J2477" s="62" t="n">
        <v>89.35</v>
      </c>
      <c r="K2477" s="66" t="n">
        <v>980000</v>
      </c>
      <c r="L2477" s="66" t="n">
        <f aca="false">K2477/J2477</f>
        <v>10968.1029658646</v>
      </c>
      <c r="M2477" s="18" t="s">
        <v>4053</v>
      </c>
      <c r="N2477" s="66" t="n">
        <v>70000</v>
      </c>
      <c r="O2477" s="66" t="n">
        <f aca="false">K2477+N2477</f>
        <v>1050000</v>
      </c>
      <c r="P2477" s="66" t="n">
        <f aca="false">O2477/J2477</f>
        <v>11751.5388919978</v>
      </c>
      <c r="Q2477" s="67" t="s">
        <v>3953</v>
      </c>
      <c r="R2477" s="65"/>
      <c r="S2477" s="67" t="s">
        <v>29</v>
      </c>
      <c r="T2477" s="62" t="s">
        <v>30</v>
      </c>
      <c r="U2477" s="68" t="s">
        <v>31</v>
      </c>
      <c r="V2477" s="63" t="n">
        <v>43886</v>
      </c>
      <c r="W2477" s="18" t="s">
        <v>4054</v>
      </c>
      <c r="X2477" s="18"/>
    </row>
    <row r="2478" s="150" customFormat="true" ht="13.8" hidden="false" customHeight="false" outlineLevel="0" collapsed="false">
      <c r="A2478" s="61"/>
      <c r="B2478" s="62" t="n">
        <v>3425</v>
      </c>
      <c r="C2478" s="81" t="n">
        <v>43809</v>
      </c>
      <c r="D2478" s="64" t="s">
        <v>22</v>
      </c>
      <c r="E2478" s="65" t="s">
        <v>350</v>
      </c>
      <c r="F2478" s="18" t="s">
        <v>351</v>
      </c>
      <c r="G2478" s="62" t="s">
        <v>1648</v>
      </c>
      <c r="H2478" s="62" t="n">
        <v>46</v>
      </c>
      <c r="I2478" s="62" t="n">
        <v>6</v>
      </c>
      <c r="J2478" s="62" t="n">
        <v>42.39</v>
      </c>
      <c r="K2478" s="66" t="n">
        <v>524000</v>
      </c>
      <c r="L2478" s="66" t="n">
        <f aca="false">K2478/J2478</f>
        <v>12361.4059919792</v>
      </c>
      <c r="M2478" s="18" t="s">
        <v>4055</v>
      </c>
      <c r="N2478" s="66" t="n">
        <v>40000</v>
      </c>
      <c r="O2478" s="66" t="n">
        <f aca="false">K2478+N2478</f>
        <v>564000</v>
      </c>
      <c r="P2478" s="66" t="n">
        <f aca="false">O2478/J2478</f>
        <v>13305.0247699929</v>
      </c>
      <c r="Q2478" s="67" t="s">
        <v>3904</v>
      </c>
      <c r="R2478" s="65" t="s">
        <v>27</v>
      </c>
      <c r="S2478" s="67" t="s">
        <v>29</v>
      </c>
      <c r="T2478" s="62" t="s">
        <v>30</v>
      </c>
      <c r="U2478" s="68" t="s">
        <v>31</v>
      </c>
      <c r="V2478" s="63" t="n">
        <v>43886</v>
      </c>
      <c r="W2478" s="18" t="s">
        <v>4056</v>
      </c>
      <c r="X2478" s="18"/>
    </row>
    <row r="2479" s="150" customFormat="true" ht="13.8" hidden="false" customHeight="false" outlineLevel="0" collapsed="false">
      <c r="A2479" s="61"/>
      <c r="B2479" s="62" t="n">
        <v>7334</v>
      </c>
      <c r="C2479" s="81" t="n">
        <v>43810</v>
      </c>
      <c r="D2479" s="64" t="s">
        <v>22</v>
      </c>
      <c r="E2479" s="65" t="s">
        <v>572</v>
      </c>
      <c r="F2479" s="18" t="s">
        <v>4057</v>
      </c>
      <c r="G2479" s="62" t="n">
        <v>32</v>
      </c>
      <c r="H2479" s="62" t="n">
        <v>17</v>
      </c>
      <c r="I2479" s="62" t="n">
        <v>4</v>
      </c>
      <c r="J2479" s="62" t="n">
        <v>57</v>
      </c>
      <c r="K2479" s="66" t="n">
        <v>519999</v>
      </c>
      <c r="L2479" s="66" t="n">
        <f aca="false">K2479/J2479</f>
        <v>9122.78947368421</v>
      </c>
      <c r="M2479" s="18" t="s">
        <v>3892</v>
      </c>
      <c r="N2479" s="66"/>
      <c r="O2479" s="66" t="n">
        <f aca="false">K2479+N2479</f>
        <v>519999</v>
      </c>
      <c r="P2479" s="66" t="n">
        <f aca="false">O2479/J2479</f>
        <v>9122.78947368421</v>
      </c>
      <c r="Q2479" s="67" t="s">
        <v>861</v>
      </c>
      <c r="R2479" s="65" t="s">
        <v>26</v>
      </c>
      <c r="S2479" s="67" t="s">
        <v>29</v>
      </c>
      <c r="T2479" s="62" t="s">
        <v>30</v>
      </c>
      <c r="U2479" s="68" t="s">
        <v>31</v>
      </c>
      <c r="V2479" s="63" t="n">
        <v>43886</v>
      </c>
      <c r="W2479" s="18" t="s">
        <v>4058</v>
      </c>
      <c r="X2479" s="18"/>
    </row>
    <row r="2480" s="150" customFormat="true" ht="13.8" hidden="false" customHeight="false" outlineLevel="0" collapsed="false">
      <c r="A2480" s="61"/>
      <c r="B2480" s="62" t="n">
        <v>5395</v>
      </c>
      <c r="C2480" s="81" t="n">
        <v>43810</v>
      </c>
      <c r="D2480" s="64" t="s">
        <v>22</v>
      </c>
      <c r="E2480" s="65" t="s">
        <v>4059</v>
      </c>
      <c r="F2480" s="18" t="s">
        <v>332</v>
      </c>
      <c r="G2480" s="62" t="s">
        <v>545</v>
      </c>
      <c r="H2480" s="62" t="n">
        <v>26</v>
      </c>
      <c r="I2480" s="62" t="n">
        <v>3</v>
      </c>
      <c r="J2480" s="62" t="n">
        <v>69.21</v>
      </c>
      <c r="K2480" s="66" t="n">
        <v>685000</v>
      </c>
      <c r="L2480" s="66" t="n">
        <f aca="false">K2480/J2480</f>
        <v>9897.41366854501</v>
      </c>
      <c r="M2480" s="18" t="s">
        <v>940</v>
      </c>
      <c r="N2480" s="66" t="n">
        <v>30000</v>
      </c>
      <c r="O2480" s="66" t="n">
        <f aca="false">K2480+N2480</f>
        <v>715000</v>
      </c>
      <c r="P2480" s="66" t="n">
        <f aca="false">O2480/J2480</f>
        <v>10330.87704089</v>
      </c>
      <c r="Q2480" s="67" t="s">
        <v>4060</v>
      </c>
      <c r="R2480" s="65"/>
      <c r="S2480" s="67" t="s">
        <v>29</v>
      </c>
      <c r="T2480" s="62" t="s">
        <v>30</v>
      </c>
      <c r="U2480" s="68" t="s">
        <v>31</v>
      </c>
      <c r="V2480" s="63" t="n">
        <v>43886</v>
      </c>
      <c r="W2480" s="18" t="s">
        <v>4061</v>
      </c>
      <c r="X2480" s="18"/>
    </row>
    <row r="2481" s="150" customFormat="true" ht="13.8" hidden="false" customHeight="false" outlineLevel="0" collapsed="false">
      <c r="A2481" s="61"/>
      <c r="B2481" s="62" t="n">
        <v>3002</v>
      </c>
      <c r="C2481" s="81" t="n">
        <v>43810</v>
      </c>
      <c r="D2481" s="64" t="s">
        <v>22</v>
      </c>
      <c r="E2481" s="65" t="s">
        <v>109</v>
      </c>
      <c r="F2481" s="18" t="s">
        <v>127</v>
      </c>
      <c r="G2481" s="62" t="s">
        <v>3007</v>
      </c>
      <c r="H2481" s="62" t="n">
        <v>1</v>
      </c>
      <c r="I2481" s="62" t="n">
        <v>1</v>
      </c>
      <c r="J2481" s="62" t="s">
        <v>1214</v>
      </c>
      <c r="K2481" s="66" t="n">
        <v>490000</v>
      </c>
      <c r="L2481" s="66" t="str">
        <f aca="false">K2481/J2481</f>
        <v>#ARG!</v>
      </c>
      <c r="M2481" s="18"/>
      <c r="N2481" s="66"/>
      <c r="O2481" s="66" t="n">
        <f aca="false">K2481+N2481</f>
        <v>490000</v>
      </c>
      <c r="P2481" s="66" t="str">
        <f aca="false">O2481/J2481</f>
        <v>#ARG!</v>
      </c>
      <c r="Q2481" s="67" t="s">
        <v>4062</v>
      </c>
      <c r="R2481" s="65" t="s">
        <v>36</v>
      </c>
      <c r="S2481" s="67" t="s">
        <v>29</v>
      </c>
      <c r="T2481" s="62" t="s">
        <v>30</v>
      </c>
      <c r="U2481" s="68" t="s">
        <v>31</v>
      </c>
      <c r="V2481" s="63" t="n">
        <v>43886</v>
      </c>
      <c r="W2481" s="18" t="s">
        <v>4063</v>
      </c>
      <c r="X2481" s="18"/>
    </row>
    <row r="2482" s="150" customFormat="true" ht="13.8" hidden="false" customHeight="false" outlineLevel="0" collapsed="false">
      <c r="A2482" s="61"/>
      <c r="B2482" s="62" t="n">
        <v>13628</v>
      </c>
      <c r="C2482" s="81" t="n">
        <v>43812</v>
      </c>
      <c r="D2482" s="64" t="s">
        <v>22</v>
      </c>
      <c r="E2482" s="65" t="s">
        <v>350</v>
      </c>
      <c r="F2482" s="18" t="s">
        <v>323</v>
      </c>
      <c r="G2482" s="62" t="s">
        <v>4064</v>
      </c>
      <c r="H2482" s="62" t="n">
        <v>15</v>
      </c>
      <c r="I2482" s="62" t="n">
        <v>5</v>
      </c>
      <c r="J2482" s="62" t="n">
        <v>47.89</v>
      </c>
      <c r="K2482" s="66" t="n">
        <v>489000</v>
      </c>
      <c r="L2482" s="66" t="n">
        <f aca="false">K2482/J2482</f>
        <v>10210.8999791188</v>
      </c>
      <c r="M2482" s="18" t="s">
        <v>4065</v>
      </c>
      <c r="N2482" s="66" t="n">
        <v>35900</v>
      </c>
      <c r="O2482" s="66" t="n">
        <f aca="false">K2482+N2482</f>
        <v>524900</v>
      </c>
      <c r="P2482" s="66" t="n">
        <f aca="false">O2482/J2482</f>
        <v>10960.5345583629</v>
      </c>
      <c r="Q2482" s="67" t="s">
        <v>4038</v>
      </c>
      <c r="R2482" s="65" t="s">
        <v>36</v>
      </c>
      <c r="S2482" s="67" t="s">
        <v>29</v>
      </c>
      <c r="T2482" s="62" t="s">
        <v>30</v>
      </c>
      <c r="U2482" s="68" t="s">
        <v>31</v>
      </c>
      <c r="V2482" s="63" t="n">
        <v>43886</v>
      </c>
      <c r="W2482" s="18" t="s">
        <v>4066</v>
      </c>
      <c r="X2482" s="18"/>
    </row>
    <row r="2483" s="150" customFormat="true" ht="13.8" hidden="false" customHeight="false" outlineLevel="0" collapsed="false">
      <c r="A2483" s="61"/>
      <c r="B2483" s="62" t="n">
        <v>19988</v>
      </c>
      <c r="C2483" s="81" t="n">
        <v>43812</v>
      </c>
      <c r="D2483" s="64" t="s">
        <v>22</v>
      </c>
      <c r="E2483" s="65" t="s">
        <v>399</v>
      </c>
      <c r="F2483" s="18" t="s">
        <v>503</v>
      </c>
      <c r="G2483" s="62" t="n">
        <v>4</v>
      </c>
      <c r="H2483" s="62" t="n">
        <v>60</v>
      </c>
      <c r="I2483" s="62" t="n">
        <v>6</v>
      </c>
      <c r="J2483" s="62" t="n">
        <v>112.72</v>
      </c>
      <c r="K2483" s="66" t="n">
        <v>1400000</v>
      </c>
      <c r="L2483" s="66" t="n">
        <v>12420.1561391058</v>
      </c>
      <c r="M2483" s="18" t="s">
        <v>4067</v>
      </c>
      <c r="N2483" s="66"/>
      <c r="O2483" s="66" t="n">
        <v>1400000</v>
      </c>
      <c r="P2483" s="66" t="n">
        <v>12420.1561391058</v>
      </c>
      <c r="Q2483" s="67" t="s">
        <v>1214</v>
      </c>
      <c r="R2483" s="65" t="s">
        <v>1214</v>
      </c>
      <c r="S2483" s="67" t="s">
        <v>29</v>
      </c>
      <c r="T2483" s="62" t="s">
        <v>30</v>
      </c>
      <c r="U2483" s="68" t="s">
        <v>31</v>
      </c>
      <c r="V2483" s="63" t="n">
        <v>43886</v>
      </c>
      <c r="W2483" s="18" t="s">
        <v>4068</v>
      </c>
      <c r="X2483" s="18"/>
    </row>
    <row r="2484" s="150" customFormat="true" ht="13.8" hidden="false" customHeight="false" outlineLevel="0" collapsed="false">
      <c r="A2484" s="61"/>
      <c r="B2484" s="62" t="n">
        <v>26327</v>
      </c>
      <c r="C2484" s="81" t="n">
        <v>43815</v>
      </c>
      <c r="D2484" s="64" t="s">
        <v>22</v>
      </c>
      <c r="E2484" s="65" t="s">
        <v>276</v>
      </c>
      <c r="F2484" s="18" t="s">
        <v>38</v>
      </c>
      <c r="G2484" s="62" t="s">
        <v>1261</v>
      </c>
      <c r="H2484" s="62" t="n">
        <v>32</v>
      </c>
      <c r="I2484" s="62" t="n">
        <v>1</v>
      </c>
      <c r="J2484" s="62" t="n">
        <v>76.5</v>
      </c>
      <c r="K2484" s="66" t="n">
        <v>610000</v>
      </c>
      <c r="L2484" s="66" t="n">
        <v>7973.85620915033</v>
      </c>
      <c r="M2484" s="18"/>
      <c r="N2484" s="66"/>
      <c r="O2484" s="66" t="n">
        <v>610000</v>
      </c>
      <c r="P2484" s="66" t="n">
        <v>7973.85620915033</v>
      </c>
      <c r="Q2484" s="67" t="s">
        <v>4069</v>
      </c>
      <c r="R2484" s="65" t="s">
        <v>49</v>
      </c>
      <c r="S2484" s="67" t="s">
        <v>29</v>
      </c>
      <c r="T2484" s="62" t="s">
        <v>30</v>
      </c>
      <c r="U2484" s="68" t="s">
        <v>31</v>
      </c>
      <c r="V2484" s="63" t="n">
        <v>43886</v>
      </c>
      <c r="W2484" s="18" t="s">
        <v>4070</v>
      </c>
      <c r="X2484" s="18"/>
    </row>
    <row r="2485" s="150" customFormat="true" ht="13.8" hidden="false" customHeight="false" outlineLevel="0" collapsed="false">
      <c r="A2485" s="61"/>
      <c r="B2485" s="62" t="n">
        <v>4790</v>
      </c>
      <c r="C2485" s="81" t="n">
        <v>43815</v>
      </c>
      <c r="D2485" s="64" t="s">
        <v>22</v>
      </c>
      <c r="E2485" s="65" t="s">
        <v>517</v>
      </c>
      <c r="F2485" s="18" t="s">
        <v>518</v>
      </c>
      <c r="G2485" s="62" t="n">
        <v>1</v>
      </c>
      <c r="H2485" s="62" t="n">
        <v>28</v>
      </c>
      <c r="I2485" s="62" t="n">
        <v>3</v>
      </c>
      <c r="J2485" s="62" t="n">
        <v>56.7</v>
      </c>
      <c r="K2485" s="66" t="n">
        <v>498000</v>
      </c>
      <c r="L2485" s="66" t="n">
        <v>8783.06878306878</v>
      </c>
      <c r="M2485" s="18"/>
      <c r="N2485" s="66"/>
      <c r="O2485" s="66" t="n">
        <v>498000</v>
      </c>
      <c r="P2485" s="66" t="n">
        <v>8783.06878306878</v>
      </c>
      <c r="Q2485" s="67" t="s">
        <v>4071</v>
      </c>
      <c r="R2485" s="65" t="s">
        <v>26</v>
      </c>
      <c r="S2485" s="67" t="s">
        <v>29</v>
      </c>
      <c r="T2485" s="62" t="s">
        <v>30</v>
      </c>
      <c r="U2485" s="68" t="s">
        <v>31</v>
      </c>
      <c r="V2485" s="63" t="n">
        <v>43886</v>
      </c>
      <c r="W2485" s="18" t="s">
        <v>4072</v>
      </c>
      <c r="X2485" s="18"/>
    </row>
    <row r="2486" s="150" customFormat="true" ht="13.8" hidden="false" customHeight="false" outlineLevel="0" collapsed="false">
      <c r="A2486" s="61"/>
      <c r="B2486" s="62" t="n">
        <v>8595</v>
      </c>
      <c r="C2486" s="81" t="n">
        <v>43816</v>
      </c>
      <c r="D2486" s="64" t="s">
        <v>22</v>
      </c>
      <c r="E2486" s="65" t="s">
        <v>42</v>
      </c>
      <c r="F2486" s="18" t="s">
        <v>263</v>
      </c>
      <c r="G2486" s="62" t="n">
        <v>6</v>
      </c>
      <c r="H2486" s="62" t="n">
        <v>9</v>
      </c>
      <c r="I2486" s="62" t="s">
        <v>1214</v>
      </c>
      <c r="J2486" s="62" t="n">
        <v>51.3</v>
      </c>
      <c r="K2486" s="66" t="n">
        <v>495000</v>
      </c>
      <c r="L2486" s="66" t="n">
        <v>9649.12280701754</v>
      </c>
      <c r="M2486" s="18"/>
      <c r="N2486" s="66"/>
      <c r="O2486" s="66" t="n">
        <v>495000</v>
      </c>
      <c r="P2486" s="66" t="n">
        <v>9649.12280701754</v>
      </c>
      <c r="Q2486" s="67" t="s">
        <v>4073</v>
      </c>
      <c r="R2486" s="65" t="s">
        <v>26</v>
      </c>
      <c r="S2486" s="67" t="s">
        <v>29</v>
      </c>
      <c r="T2486" s="62" t="s">
        <v>30</v>
      </c>
      <c r="U2486" s="68" t="s">
        <v>31</v>
      </c>
      <c r="V2486" s="63" t="n">
        <v>43886</v>
      </c>
      <c r="W2486" s="18" t="s">
        <v>4074</v>
      </c>
      <c r="X2486" s="18"/>
    </row>
    <row r="2487" s="150" customFormat="true" ht="13.8" hidden="false" customHeight="false" outlineLevel="0" collapsed="false">
      <c r="A2487" s="61"/>
      <c r="B2487" s="62" t="n">
        <v>2280</v>
      </c>
      <c r="C2487" s="81" t="n">
        <v>43817</v>
      </c>
      <c r="D2487" s="64" t="s">
        <v>22</v>
      </c>
      <c r="E2487" s="65" t="s">
        <v>369</v>
      </c>
      <c r="F2487" s="18" t="s">
        <v>370</v>
      </c>
      <c r="G2487" s="62" t="n">
        <v>20</v>
      </c>
      <c r="H2487" s="62" t="n">
        <v>4</v>
      </c>
      <c r="I2487" s="62" t="n">
        <v>2</v>
      </c>
      <c r="J2487" s="62" t="n">
        <v>73.63</v>
      </c>
      <c r="K2487" s="66" t="n">
        <v>736000</v>
      </c>
      <c r="L2487" s="66" t="n">
        <v>9995.92557381502</v>
      </c>
      <c r="M2487" s="18"/>
      <c r="N2487" s="66"/>
      <c r="O2487" s="66" t="n">
        <v>736000</v>
      </c>
      <c r="P2487" s="66" t="n">
        <v>9995.92557381502</v>
      </c>
      <c r="Q2487" s="67" t="s">
        <v>4075</v>
      </c>
      <c r="R2487" s="65" t="s">
        <v>36</v>
      </c>
      <c r="S2487" s="67" t="s">
        <v>29</v>
      </c>
      <c r="T2487" s="62" t="s">
        <v>30</v>
      </c>
      <c r="U2487" s="68" t="s">
        <v>31</v>
      </c>
      <c r="V2487" s="63" t="n">
        <v>43886</v>
      </c>
      <c r="W2487" s="18" t="s">
        <v>4076</v>
      </c>
      <c r="X2487" s="18"/>
    </row>
    <row r="2488" s="150" customFormat="true" ht="13.8" hidden="false" customHeight="false" outlineLevel="0" collapsed="false">
      <c r="A2488" s="61"/>
      <c r="B2488" s="62" t="n">
        <v>5379</v>
      </c>
      <c r="C2488" s="81" t="n">
        <v>43818</v>
      </c>
      <c r="D2488" s="64" t="s">
        <v>22</v>
      </c>
      <c r="E2488" s="65" t="s">
        <v>203</v>
      </c>
      <c r="F2488" s="18" t="s">
        <v>138</v>
      </c>
      <c r="G2488" s="62" t="n">
        <v>22</v>
      </c>
      <c r="H2488" s="62" t="n">
        <v>128</v>
      </c>
      <c r="I2488" s="62" t="n">
        <v>4</v>
      </c>
      <c r="J2488" s="62" t="n">
        <v>33.8</v>
      </c>
      <c r="K2488" s="66" t="n">
        <v>340000</v>
      </c>
      <c r="L2488" s="66" t="n">
        <v>10059.1715976331</v>
      </c>
      <c r="M2488" s="18"/>
      <c r="N2488" s="66"/>
      <c r="O2488" s="66" t="n">
        <v>340000</v>
      </c>
      <c r="P2488" s="66" t="n">
        <v>10059.1715976331</v>
      </c>
      <c r="Q2488" s="67" t="s">
        <v>4077</v>
      </c>
      <c r="R2488" s="65" t="s">
        <v>27</v>
      </c>
      <c r="S2488" s="67" t="s">
        <v>29</v>
      </c>
      <c r="T2488" s="62" t="s">
        <v>30</v>
      </c>
      <c r="U2488" s="68" t="s">
        <v>31</v>
      </c>
      <c r="V2488" s="63" t="n">
        <v>43886</v>
      </c>
      <c r="W2488" s="18" t="s">
        <v>4078</v>
      </c>
      <c r="X2488" s="18"/>
    </row>
    <row r="2489" s="150" customFormat="true" ht="13.8" hidden="false" customHeight="false" outlineLevel="0" collapsed="false">
      <c r="A2489" s="61"/>
      <c r="B2489" s="62" t="n">
        <v>5371</v>
      </c>
      <c r="C2489" s="81" t="n">
        <v>43818</v>
      </c>
      <c r="D2489" s="64" t="s">
        <v>22</v>
      </c>
      <c r="E2489" s="65" t="s">
        <v>203</v>
      </c>
      <c r="F2489" s="18" t="s">
        <v>138</v>
      </c>
      <c r="G2489" s="62" t="n">
        <v>22</v>
      </c>
      <c r="H2489" s="62" t="n">
        <v>147</v>
      </c>
      <c r="I2489" s="62" t="n">
        <v>6</v>
      </c>
      <c r="J2489" s="62" t="n">
        <v>55.54</v>
      </c>
      <c r="K2489" s="66" t="n">
        <v>550000</v>
      </c>
      <c r="L2489" s="66" t="n">
        <v>9902.77277637739</v>
      </c>
      <c r="M2489" s="18"/>
      <c r="N2489" s="66"/>
      <c r="O2489" s="66" t="n">
        <v>550000</v>
      </c>
      <c r="P2489" s="66" t="n">
        <v>9902.77277637739</v>
      </c>
      <c r="Q2489" s="67" t="s">
        <v>4079</v>
      </c>
      <c r="R2489" s="65" t="s">
        <v>36</v>
      </c>
      <c r="S2489" s="67" t="s">
        <v>29</v>
      </c>
      <c r="T2489" s="62" t="s">
        <v>30</v>
      </c>
      <c r="U2489" s="68" t="s">
        <v>31</v>
      </c>
      <c r="V2489" s="63" t="n">
        <v>43886</v>
      </c>
      <c r="W2489" s="18" t="s">
        <v>4080</v>
      </c>
      <c r="X2489" s="18"/>
    </row>
    <row r="2490" s="150" customFormat="true" ht="13.8" hidden="false" customHeight="false" outlineLevel="0" collapsed="false">
      <c r="A2490" s="61"/>
      <c r="B2490" s="62" t="n">
        <v>22804</v>
      </c>
      <c r="C2490" s="81" t="n">
        <v>43818</v>
      </c>
      <c r="D2490" s="64" t="s">
        <v>22</v>
      </c>
      <c r="E2490" s="65" t="s">
        <v>37</v>
      </c>
      <c r="F2490" s="18" t="s">
        <v>38</v>
      </c>
      <c r="G2490" s="62" t="n">
        <v>127</v>
      </c>
      <c r="H2490" s="62" t="n">
        <v>14</v>
      </c>
      <c r="I2490" s="62" t="n">
        <v>5</v>
      </c>
      <c r="J2490" s="62" t="n">
        <v>39.34</v>
      </c>
      <c r="K2490" s="66" t="n">
        <v>459900</v>
      </c>
      <c r="L2490" s="66" t="n">
        <v>11690.3914590747</v>
      </c>
      <c r="M2490" s="18"/>
      <c r="N2490" s="66"/>
      <c r="O2490" s="66" t="n">
        <v>459900</v>
      </c>
      <c r="P2490" s="66" t="n">
        <v>11690.3914590747</v>
      </c>
      <c r="Q2490" s="67" t="s">
        <v>4081</v>
      </c>
      <c r="R2490" s="65" t="s">
        <v>27</v>
      </c>
      <c r="S2490" s="67" t="s">
        <v>29</v>
      </c>
      <c r="T2490" s="62" t="s">
        <v>30</v>
      </c>
      <c r="U2490" s="68" t="s">
        <v>31</v>
      </c>
      <c r="V2490" s="63" t="n">
        <v>43886</v>
      </c>
      <c r="W2490" s="18" t="s">
        <v>4082</v>
      </c>
      <c r="X2490" s="18"/>
    </row>
    <row r="2491" s="150" customFormat="true" ht="13.8" hidden="false" customHeight="false" outlineLevel="0" collapsed="false">
      <c r="A2491" s="61"/>
      <c r="B2491" s="62" t="n">
        <v>5010</v>
      </c>
      <c r="C2491" s="81" t="n">
        <v>43818</v>
      </c>
      <c r="D2491" s="64" t="s">
        <v>22</v>
      </c>
      <c r="E2491" s="65" t="s">
        <v>543</v>
      </c>
      <c r="F2491" s="18" t="s">
        <v>172</v>
      </c>
      <c r="G2491" s="62" t="n">
        <v>17</v>
      </c>
      <c r="H2491" s="62" t="n">
        <v>5</v>
      </c>
      <c r="I2491" s="62" t="n">
        <v>2</v>
      </c>
      <c r="J2491" s="62" t="n">
        <v>39.52</v>
      </c>
      <c r="K2491" s="66" t="n">
        <v>300000</v>
      </c>
      <c r="L2491" s="66" t="n">
        <v>7591.09311740891</v>
      </c>
      <c r="M2491" s="18"/>
      <c r="N2491" s="66"/>
      <c r="O2491" s="66" t="n">
        <v>300000</v>
      </c>
      <c r="P2491" s="66" t="n">
        <v>7591.09311740891</v>
      </c>
      <c r="Q2491" s="67" t="s">
        <v>4083</v>
      </c>
      <c r="R2491" s="65" t="s">
        <v>27</v>
      </c>
      <c r="S2491" s="67" t="s">
        <v>29</v>
      </c>
      <c r="T2491" s="62" t="s">
        <v>30</v>
      </c>
      <c r="U2491" s="68" t="s">
        <v>31</v>
      </c>
      <c r="V2491" s="63" t="n">
        <v>43886</v>
      </c>
      <c r="W2491" s="18" t="s">
        <v>4084</v>
      </c>
      <c r="X2491" s="18"/>
    </row>
    <row r="2492" s="151" customFormat="true" ht="13.8" hidden="false" customHeight="false" outlineLevel="0" collapsed="false">
      <c r="A2492" s="61"/>
      <c r="B2492" s="62" t="n">
        <v>5914</v>
      </c>
      <c r="C2492" s="81" t="n">
        <v>43819</v>
      </c>
      <c r="D2492" s="64" t="s">
        <v>22</v>
      </c>
      <c r="E2492" s="65" t="s">
        <v>284</v>
      </c>
      <c r="F2492" s="18" t="s">
        <v>4085</v>
      </c>
      <c r="G2492" s="62" t="n">
        <v>21</v>
      </c>
      <c r="H2492" s="62" t="n">
        <v>16</v>
      </c>
      <c r="I2492" s="62" t="n">
        <v>2</v>
      </c>
      <c r="J2492" s="62" t="n">
        <v>28.8</v>
      </c>
      <c r="K2492" s="66" t="n">
        <v>360000</v>
      </c>
      <c r="L2492" s="66" t="n">
        <v>12500</v>
      </c>
      <c r="M2492" s="18" t="s">
        <v>4086</v>
      </c>
      <c r="N2492" s="66"/>
      <c r="O2492" s="66" t="n">
        <v>360000</v>
      </c>
      <c r="P2492" s="66" t="n">
        <v>12500</v>
      </c>
      <c r="Q2492" s="67" t="s">
        <v>4087</v>
      </c>
      <c r="R2492" s="65" t="s">
        <v>27</v>
      </c>
      <c r="S2492" s="67" t="s">
        <v>29</v>
      </c>
      <c r="T2492" s="62" t="s">
        <v>30</v>
      </c>
      <c r="U2492" s="68" t="s">
        <v>31</v>
      </c>
      <c r="V2492" s="63" t="n">
        <v>43886</v>
      </c>
      <c r="W2492" s="18" t="s">
        <v>4088</v>
      </c>
      <c r="X2492" s="18"/>
      <c r="Y2492" s="150"/>
      <c r="Z2492" s="150"/>
      <c r="AA2492" s="150"/>
      <c r="AB2492" s="150"/>
      <c r="AC2492" s="150"/>
      <c r="AD2492" s="150"/>
      <c r="AE2492" s="150"/>
      <c r="AF2492" s="150"/>
      <c r="AG2492" s="150"/>
      <c r="AH2492" s="150"/>
      <c r="AI2492" s="150"/>
      <c r="AJ2492" s="150"/>
      <c r="AK2492" s="150"/>
      <c r="AL2492" s="150"/>
      <c r="AM2492" s="150"/>
      <c r="AN2492" s="150"/>
      <c r="AO2492" s="150"/>
      <c r="AP2492" s="150"/>
      <c r="AQ2492" s="150"/>
      <c r="AR2492" s="150"/>
      <c r="AS2492" s="150"/>
      <c r="AT2492" s="150"/>
      <c r="AU2492" s="150"/>
      <c r="AV2492" s="150"/>
      <c r="AW2492" s="150"/>
      <c r="AX2492" s="150"/>
      <c r="AY2492" s="150"/>
      <c r="AZ2492" s="150"/>
      <c r="BA2492" s="150"/>
      <c r="BB2492" s="150"/>
      <c r="BC2492" s="150"/>
      <c r="BD2492" s="150"/>
      <c r="BE2492" s="150"/>
      <c r="BF2492" s="150"/>
    </row>
    <row r="2493" s="150" customFormat="true" ht="13.8" hidden="false" customHeight="false" outlineLevel="0" collapsed="false">
      <c r="A2493" s="61"/>
      <c r="B2493" s="62" t="n">
        <v>22963</v>
      </c>
      <c r="C2493" s="81" t="n">
        <v>43819</v>
      </c>
      <c r="D2493" s="64" t="s">
        <v>22</v>
      </c>
      <c r="E2493" s="65" t="s">
        <v>178</v>
      </c>
      <c r="F2493" s="18" t="s">
        <v>513</v>
      </c>
      <c r="G2493" s="62" t="n">
        <v>5</v>
      </c>
      <c r="H2493" s="62" t="n">
        <v>15</v>
      </c>
      <c r="I2493" s="62" t="n">
        <v>4</v>
      </c>
      <c r="J2493" s="62" t="n">
        <v>38.2</v>
      </c>
      <c r="K2493" s="66" t="n">
        <v>408000</v>
      </c>
      <c r="L2493" s="66" t="n">
        <v>10680.6282722513</v>
      </c>
      <c r="M2493" s="18"/>
      <c r="N2493" s="66"/>
      <c r="O2493" s="66" t="n">
        <v>408000</v>
      </c>
      <c r="P2493" s="66" t="n">
        <v>10680.6282722513</v>
      </c>
      <c r="Q2493" s="67" t="s">
        <v>4089</v>
      </c>
      <c r="R2493" s="65" t="s">
        <v>27</v>
      </c>
      <c r="S2493" s="67" t="s">
        <v>29</v>
      </c>
      <c r="T2493" s="62" t="s">
        <v>30</v>
      </c>
      <c r="U2493" s="68" t="s">
        <v>31</v>
      </c>
      <c r="V2493" s="63" t="n">
        <v>43886</v>
      </c>
      <c r="W2493" s="18" t="s">
        <v>4090</v>
      </c>
      <c r="X2493" s="18"/>
    </row>
    <row r="2494" s="150" customFormat="true" ht="13.8" hidden="false" customHeight="false" outlineLevel="0" collapsed="false">
      <c r="A2494" s="61"/>
      <c r="B2494" s="62" t="n">
        <v>5925</v>
      </c>
      <c r="C2494" s="81" t="n">
        <v>43819</v>
      </c>
      <c r="D2494" s="64" t="s">
        <v>22</v>
      </c>
      <c r="E2494" s="65" t="s">
        <v>125</v>
      </c>
      <c r="F2494" s="18" t="s">
        <v>335</v>
      </c>
      <c r="G2494" s="62" t="n">
        <v>27</v>
      </c>
      <c r="H2494" s="62" t="n">
        <v>2</v>
      </c>
      <c r="I2494" s="62" t="n">
        <v>1</v>
      </c>
      <c r="J2494" s="62" t="n">
        <v>450.3</v>
      </c>
      <c r="K2494" s="66" t="n">
        <v>8181960</v>
      </c>
      <c r="L2494" s="66" t="n">
        <v>18170.0199866756</v>
      </c>
      <c r="M2494" s="18"/>
      <c r="N2494" s="66"/>
      <c r="O2494" s="66" t="n">
        <v>8181960</v>
      </c>
      <c r="P2494" s="66" t="n">
        <v>18170.0199866756</v>
      </c>
      <c r="Q2494" s="67" t="s">
        <v>4091</v>
      </c>
      <c r="R2494" s="65" t="s">
        <v>27</v>
      </c>
      <c r="S2494" s="67" t="s">
        <v>29</v>
      </c>
      <c r="T2494" s="62" t="s">
        <v>30</v>
      </c>
      <c r="U2494" s="68" t="s">
        <v>31</v>
      </c>
      <c r="V2494" s="63" t="n">
        <v>43886</v>
      </c>
      <c r="W2494" s="18" t="s">
        <v>4092</v>
      </c>
      <c r="X2494" s="18"/>
    </row>
    <row r="2495" s="150" customFormat="true" ht="13.8" hidden="false" customHeight="false" outlineLevel="0" collapsed="false">
      <c r="A2495" s="61"/>
      <c r="B2495" s="62" t="n">
        <v>938</v>
      </c>
      <c r="C2495" s="81" t="n">
        <v>43822</v>
      </c>
      <c r="D2495" s="64" t="s">
        <v>22</v>
      </c>
      <c r="E2495" s="65" t="s">
        <v>206</v>
      </c>
      <c r="F2495" s="18" t="s">
        <v>320</v>
      </c>
      <c r="G2495" s="62" t="s">
        <v>321</v>
      </c>
      <c r="H2495" s="62" t="s">
        <v>1214</v>
      </c>
      <c r="I2495" s="62" t="n">
        <v>3</v>
      </c>
      <c r="J2495" s="62" t="n">
        <v>73.05</v>
      </c>
      <c r="K2495" s="66" t="n">
        <v>289000</v>
      </c>
      <c r="L2495" s="66" t="n">
        <v>3956.19438740589</v>
      </c>
      <c r="M2495" s="18" t="s">
        <v>4093</v>
      </c>
      <c r="N2495" s="66"/>
      <c r="O2495" s="66" t="n">
        <v>289000</v>
      </c>
      <c r="P2495" s="66" t="n">
        <v>3956.19438740589</v>
      </c>
      <c r="Q2495" s="67" t="s">
        <v>4094</v>
      </c>
      <c r="R2495" s="65" t="s">
        <v>26</v>
      </c>
      <c r="S2495" s="67" t="s">
        <v>29</v>
      </c>
      <c r="T2495" s="62" t="s">
        <v>30</v>
      </c>
      <c r="U2495" s="68" t="s">
        <v>31</v>
      </c>
      <c r="V2495" s="63" t="n">
        <v>43886</v>
      </c>
      <c r="W2495" s="18" t="s">
        <v>4095</v>
      </c>
      <c r="X2495" s="18"/>
    </row>
    <row r="2496" s="150" customFormat="true" ht="13.8" hidden="false" customHeight="false" outlineLevel="0" collapsed="false">
      <c r="A2496" s="61"/>
      <c r="B2496" s="62" t="n">
        <v>3764</v>
      </c>
      <c r="C2496" s="81" t="n">
        <v>43822</v>
      </c>
      <c r="D2496" s="64" t="s">
        <v>22</v>
      </c>
      <c r="E2496" s="65" t="s">
        <v>86</v>
      </c>
      <c r="F2496" s="18" t="s">
        <v>471</v>
      </c>
      <c r="G2496" s="62" t="n">
        <v>28</v>
      </c>
      <c r="H2496" s="62" t="n">
        <v>14</v>
      </c>
      <c r="I2496" s="62" t="n">
        <v>3</v>
      </c>
      <c r="J2496" s="62" t="n">
        <v>156.18</v>
      </c>
      <c r="K2496" s="66" t="n">
        <v>1680000</v>
      </c>
      <c r="L2496" s="66" t="n">
        <v>10756.8190549366</v>
      </c>
      <c r="M2496" s="18"/>
      <c r="N2496" s="66"/>
      <c r="O2496" s="66" t="n">
        <v>1680000</v>
      </c>
      <c r="P2496" s="66" t="n">
        <v>10756.8190549366</v>
      </c>
      <c r="Q2496" s="67" t="s">
        <v>4096</v>
      </c>
      <c r="R2496" s="65" t="s">
        <v>49</v>
      </c>
      <c r="S2496" s="67" t="s">
        <v>29</v>
      </c>
      <c r="T2496" s="62" t="s">
        <v>30</v>
      </c>
      <c r="U2496" s="68" t="s">
        <v>31</v>
      </c>
      <c r="V2496" s="63" t="n">
        <v>43886</v>
      </c>
      <c r="W2496" s="18" t="s">
        <v>4097</v>
      </c>
      <c r="X2496" s="18"/>
    </row>
    <row r="2497" s="150" customFormat="true" ht="13.8" hidden="false" customHeight="false" outlineLevel="0" collapsed="false">
      <c r="A2497" s="61"/>
      <c r="B2497" s="62" t="n">
        <v>26570</v>
      </c>
      <c r="C2497" s="81" t="n">
        <v>43826</v>
      </c>
      <c r="D2497" s="64" t="s">
        <v>22</v>
      </c>
      <c r="E2497" s="65" t="s">
        <v>433</v>
      </c>
      <c r="F2497" s="18" t="s">
        <v>434</v>
      </c>
      <c r="G2497" s="62" t="s">
        <v>752</v>
      </c>
      <c r="H2497" s="62" t="s">
        <v>4098</v>
      </c>
      <c r="I2497" s="62" t="n">
        <v>5</v>
      </c>
      <c r="J2497" s="62" t="n">
        <v>76.51</v>
      </c>
      <c r="K2497" s="66" t="n">
        <v>900000</v>
      </c>
      <c r="L2497" s="66" t="n">
        <v>11763.1682133054</v>
      </c>
      <c r="M2497" s="18"/>
      <c r="N2497" s="66"/>
      <c r="O2497" s="66" t="n">
        <v>900000</v>
      </c>
      <c r="P2497" s="66" t="n">
        <v>11763.1682133054</v>
      </c>
      <c r="Q2497" s="67" t="s">
        <v>4099</v>
      </c>
      <c r="R2497" s="65" t="s">
        <v>26</v>
      </c>
      <c r="S2497" s="67" t="s">
        <v>29</v>
      </c>
      <c r="T2497" s="62" t="s">
        <v>30</v>
      </c>
      <c r="U2497" s="68" t="s">
        <v>31</v>
      </c>
      <c r="V2497" s="63" t="n">
        <v>43886</v>
      </c>
      <c r="W2497" s="18" t="s">
        <v>4100</v>
      </c>
      <c r="X2497" s="18"/>
    </row>
    <row r="2498" customFormat="false" ht="15" hidden="false" customHeight="true" outlineLevel="0" collapsed="false">
      <c r="B2498" s="5"/>
      <c r="C2498" s="155"/>
      <c r="D2498" s="156"/>
      <c r="F2498" s="157"/>
      <c r="G2498" s="5"/>
      <c r="H2498" s="5"/>
      <c r="I2498" s="5"/>
      <c r="J2498" s="158"/>
      <c r="K2498" s="159"/>
      <c r="L2498" s="160"/>
      <c r="M2498" s="161"/>
      <c r="N2498" s="162"/>
      <c r="O2498" s="163"/>
      <c r="P2498" s="163"/>
      <c r="Q2498" s="158"/>
      <c r="R2498" s="5"/>
      <c r="S2498" s="5"/>
      <c r="T2498" s="5"/>
      <c r="U2498" s="35"/>
      <c r="V2498" s="164"/>
    </row>
    <row r="2499" customFormat="false" ht="15" hidden="false" customHeight="true" outlineLevel="0" collapsed="false">
      <c r="C2499" s="155"/>
      <c r="D2499" s="156"/>
      <c r="F2499" s="157"/>
      <c r="G2499" s="5"/>
      <c r="H2499" s="165"/>
      <c r="I2499" s="165"/>
      <c r="J2499" s="158"/>
      <c r="K2499" s="159"/>
      <c r="L2499" s="166"/>
      <c r="M2499" s="167"/>
      <c r="N2499" s="168"/>
      <c r="O2499" s="163"/>
      <c r="P2499" s="163"/>
      <c r="Q2499" s="158"/>
      <c r="R2499" s="5"/>
      <c r="S2499" s="169"/>
      <c r="T2499" s="158"/>
      <c r="U2499" s="35"/>
      <c r="V2499" s="164"/>
    </row>
    <row r="2500" customFormat="false" ht="15" hidden="false" customHeight="true" outlineLevel="0" collapsed="false">
      <c r="C2500" s="155"/>
      <c r="D2500" s="156"/>
      <c r="F2500" s="157"/>
      <c r="G2500" s="5"/>
      <c r="H2500" s="165"/>
      <c r="I2500" s="165"/>
      <c r="J2500" s="158"/>
      <c r="K2500" s="159"/>
      <c r="L2500" s="166"/>
      <c r="M2500" s="167"/>
      <c r="N2500" s="168"/>
      <c r="O2500" s="163"/>
      <c r="P2500" s="163"/>
      <c r="Q2500" s="158"/>
      <c r="R2500" s="5"/>
      <c r="S2500" s="169"/>
      <c r="T2500" s="158"/>
      <c r="U2500" s="35"/>
      <c r="V2500" s="164"/>
    </row>
    <row r="2501" customFormat="false" ht="15" hidden="false" customHeight="true" outlineLevel="0" collapsed="false">
      <c r="B2501" s="5"/>
      <c r="C2501" s="155"/>
      <c r="D2501" s="156"/>
      <c r="F2501" s="170"/>
      <c r="G2501" s="5"/>
      <c r="H2501" s="5"/>
      <c r="I2501" s="5"/>
      <c r="J2501" s="158"/>
      <c r="K2501" s="159"/>
      <c r="L2501" s="160"/>
      <c r="M2501" s="161"/>
      <c r="N2501" s="162"/>
      <c r="O2501" s="163"/>
      <c r="P2501" s="160"/>
      <c r="Q2501" s="5"/>
      <c r="R2501" s="5"/>
      <c r="S2501" s="5"/>
      <c r="T2501" s="5"/>
      <c r="U2501" s="35"/>
      <c r="V2501" s="171"/>
      <c r="W2501" s="172"/>
      <c r="X2501" s="173"/>
    </row>
    <row r="2502" customFormat="false" ht="15" hidden="false" customHeight="true" outlineLevel="0" collapsed="false">
      <c r="B2502" s="5"/>
      <c r="C2502" s="155"/>
      <c r="D2502" s="156"/>
      <c r="F2502" s="157"/>
      <c r="G2502" s="5"/>
      <c r="H2502" s="5"/>
      <c r="I2502" s="5"/>
      <c r="J2502" s="158"/>
      <c r="K2502" s="159"/>
      <c r="L2502" s="160"/>
      <c r="M2502" s="161"/>
      <c r="N2502" s="162"/>
      <c r="O2502" s="163"/>
      <c r="P2502" s="163"/>
      <c r="Q2502" s="158"/>
      <c r="R2502" s="5"/>
      <c r="S2502" s="5"/>
      <c r="T2502" s="5"/>
      <c r="U2502" s="35"/>
      <c r="V2502" s="171"/>
    </row>
    <row r="2503" customFormat="false" ht="15" hidden="false" customHeight="true" outlineLevel="0" collapsed="false">
      <c r="B2503" s="5"/>
      <c r="C2503" s="155"/>
      <c r="D2503" s="156"/>
      <c r="F2503" s="157"/>
      <c r="G2503" s="5"/>
      <c r="H2503" s="5"/>
      <c r="I2503" s="5"/>
      <c r="J2503" s="158"/>
      <c r="K2503" s="159"/>
      <c r="L2503" s="160"/>
      <c r="M2503" s="161"/>
      <c r="N2503" s="162"/>
      <c r="O2503" s="163"/>
      <c r="P2503" s="163"/>
      <c r="Q2503" s="158"/>
      <c r="R2503" s="5"/>
      <c r="S2503" s="5"/>
      <c r="T2503" s="5"/>
      <c r="U2503" s="35"/>
      <c r="V2503" s="164"/>
    </row>
    <row r="2504" customFormat="false" ht="15" hidden="false" customHeight="true" outlineLevel="0" collapsed="false">
      <c r="C2504" s="155"/>
      <c r="D2504" s="156"/>
      <c r="F2504" s="157"/>
      <c r="G2504" s="5"/>
      <c r="H2504" s="165"/>
      <c r="I2504" s="165"/>
      <c r="J2504" s="158"/>
      <c r="K2504" s="159"/>
      <c r="L2504" s="166"/>
      <c r="M2504" s="167"/>
      <c r="N2504" s="168"/>
      <c r="O2504" s="163"/>
      <c r="P2504" s="163"/>
      <c r="Q2504" s="158"/>
      <c r="R2504" s="5"/>
      <c r="S2504" s="169"/>
      <c r="T2504" s="158"/>
      <c r="U2504" s="35"/>
      <c r="V2504" s="164"/>
    </row>
    <row r="2505" customFormat="false" ht="15" hidden="false" customHeight="true" outlineLevel="0" collapsed="false">
      <c r="C2505" s="155"/>
      <c r="D2505" s="156"/>
      <c r="F2505" s="157"/>
      <c r="G2505" s="5"/>
      <c r="H2505" s="165"/>
      <c r="I2505" s="165"/>
      <c r="J2505" s="158"/>
      <c r="K2505" s="159"/>
      <c r="L2505" s="166"/>
      <c r="M2505" s="167"/>
      <c r="N2505" s="168"/>
      <c r="O2505" s="163"/>
      <c r="P2505" s="163"/>
      <c r="Q2505" s="158"/>
      <c r="R2505" s="5"/>
      <c r="S2505" s="169"/>
      <c r="T2505" s="158"/>
      <c r="U2505" s="35"/>
      <c r="V2505" s="164"/>
    </row>
    <row r="2506" customFormat="false" ht="15" hidden="false" customHeight="true" outlineLevel="0" collapsed="false">
      <c r="C2506" s="155"/>
      <c r="D2506" s="156"/>
      <c r="F2506" s="157"/>
      <c r="G2506" s="5"/>
      <c r="H2506" s="165"/>
      <c r="I2506" s="165"/>
      <c r="J2506" s="158"/>
      <c r="K2506" s="159"/>
      <c r="L2506" s="166"/>
      <c r="M2506" s="167"/>
      <c r="N2506" s="168"/>
      <c r="O2506" s="163"/>
      <c r="P2506" s="163"/>
      <c r="Q2506" s="158"/>
      <c r="R2506" s="5"/>
      <c r="S2506" s="169"/>
      <c r="T2506" s="158"/>
      <c r="U2506" s="35"/>
      <c r="V2506" s="164"/>
    </row>
    <row r="2507" customFormat="false" ht="15" hidden="false" customHeight="true" outlineLevel="0" collapsed="false">
      <c r="B2507" s="5"/>
      <c r="C2507" s="155"/>
      <c r="D2507" s="156"/>
      <c r="F2507" s="170"/>
      <c r="G2507" s="5"/>
      <c r="H2507" s="5"/>
      <c r="I2507" s="5"/>
      <c r="J2507" s="158"/>
      <c r="K2507" s="163"/>
      <c r="L2507" s="160"/>
      <c r="M2507" s="174"/>
      <c r="N2507" s="168"/>
      <c r="O2507" s="163"/>
      <c r="P2507" s="160"/>
      <c r="Q2507" s="175"/>
      <c r="R2507" s="5"/>
      <c r="S2507" s="5"/>
      <c r="T2507" s="5"/>
      <c r="U2507" s="35"/>
      <c r="V2507" s="171"/>
      <c r="W2507" s="116"/>
      <c r="X2507" s="116"/>
      <c r="Y2507" s="116"/>
    </row>
    <row r="2508" customFormat="false" ht="15" hidden="false" customHeight="true" outlineLevel="0" collapsed="false">
      <c r="B2508" s="5"/>
      <c r="C2508" s="155"/>
      <c r="D2508" s="156"/>
      <c r="F2508" s="170"/>
      <c r="G2508" s="5"/>
      <c r="H2508" s="5"/>
      <c r="I2508" s="5"/>
      <c r="J2508" s="158"/>
      <c r="K2508" s="163"/>
      <c r="L2508" s="160"/>
      <c r="M2508" s="174"/>
      <c r="N2508" s="168"/>
      <c r="O2508" s="163"/>
      <c r="P2508" s="160"/>
      <c r="Q2508" s="175"/>
      <c r="R2508" s="5"/>
      <c r="S2508" s="5"/>
      <c r="T2508" s="5"/>
      <c r="U2508" s="35"/>
      <c r="V2508" s="171"/>
      <c r="W2508" s="116"/>
    </row>
    <row r="2509" customFormat="false" ht="15" hidden="false" customHeight="true" outlineLevel="0" collapsed="false">
      <c r="C2509" s="155"/>
      <c r="D2509" s="156"/>
      <c r="F2509" s="157"/>
      <c r="G2509" s="5"/>
      <c r="H2509" s="165"/>
      <c r="I2509" s="165"/>
      <c r="J2509" s="158"/>
      <c r="K2509" s="159"/>
      <c r="L2509" s="166"/>
      <c r="M2509" s="167"/>
      <c r="N2509" s="168"/>
      <c r="O2509" s="163"/>
      <c r="P2509" s="163"/>
      <c r="Q2509" s="158"/>
      <c r="R2509" s="5"/>
      <c r="S2509" s="169"/>
      <c r="T2509" s="158"/>
      <c r="U2509" s="35"/>
      <c r="V2509" s="164"/>
    </row>
    <row r="2510" customFormat="false" ht="15" hidden="false" customHeight="true" outlineLevel="0" collapsed="false">
      <c r="C2510" s="155"/>
      <c r="D2510" s="156"/>
      <c r="F2510" s="157"/>
      <c r="G2510" s="5"/>
      <c r="H2510" s="165"/>
      <c r="I2510" s="165"/>
      <c r="J2510" s="158"/>
      <c r="K2510" s="159"/>
      <c r="L2510" s="166"/>
      <c r="M2510" s="167"/>
      <c r="N2510" s="168"/>
      <c r="O2510" s="163"/>
      <c r="P2510" s="163"/>
      <c r="Q2510" s="158"/>
      <c r="R2510" s="5"/>
      <c r="S2510" s="169"/>
      <c r="T2510" s="158"/>
      <c r="U2510" s="35"/>
      <c r="V2510" s="164"/>
    </row>
    <row r="2511" customFormat="false" ht="15" hidden="false" customHeight="true" outlineLevel="0" collapsed="false">
      <c r="B2511" s="5"/>
      <c r="C2511" s="155"/>
      <c r="D2511" s="156"/>
      <c r="F2511" s="170"/>
      <c r="G2511" s="5"/>
      <c r="H2511" s="5"/>
      <c r="I2511" s="5"/>
      <c r="J2511" s="158"/>
      <c r="K2511" s="163"/>
      <c r="L2511" s="160"/>
      <c r="M2511" s="174"/>
      <c r="N2511" s="168"/>
      <c r="O2511" s="163"/>
      <c r="P2511" s="160"/>
      <c r="Q2511" s="175"/>
      <c r="R2511" s="5"/>
      <c r="S2511" s="5"/>
      <c r="T2511" s="5"/>
      <c r="U2511" s="165"/>
      <c r="V2511" s="164"/>
      <c r="W2511" s="116"/>
      <c r="X2511" s="116"/>
      <c r="Y2511" s="116"/>
    </row>
    <row r="2512" customFormat="false" ht="15" hidden="false" customHeight="true" outlineLevel="0" collapsed="false">
      <c r="B2512" s="5"/>
      <c r="C2512" s="155"/>
      <c r="D2512" s="156"/>
      <c r="F2512" s="170"/>
      <c r="G2512" s="5"/>
      <c r="H2512" s="5"/>
      <c r="I2512" s="5"/>
      <c r="J2512" s="158"/>
      <c r="K2512" s="163"/>
      <c r="L2512" s="160"/>
      <c r="M2512" s="174"/>
      <c r="N2512" s="168"/>
      <c r="O2512" s="163"/>
      <c r="P2512" s="160"/>
      <c r="Q2512" s="175"/>
      <c r="R2512" s="5"/>
      <c r="S2512" s="5"/>
      <c r="T2512" s="5"/>
      <c r="U2512" s="165"/>
      <c r="V2512" s="164"/>
      <c r="W2512" s="116"/>
      <c r="X2512" s="116"/>
      <c r="Y2512" s="116"/>
    </row>
    <row r="2513" customFormat="false" ht="15" hidden="false" customHeight="true" outlineLevel="0" collapsed="false">
      <c r="B2513" s="5"/>
      <c r="C2513" s="155"/>
      <c r="D2513" s="156"/>
      <c r="F2513" s="170"/>
      <c r="G2513" s="5"/>
      <c r="H2513" s="5"/>
      <c r="I2513" s="5"/>
      <c r="J2513" s="158"/>
      <c r="K2513" s="163"/>
      <c r="L2513" s="160"/>
      <c r="M2513" s="174"/>
      <c r="N2513" s="168"/>
      <c r="O2513" s="160"/>
      <c r="P2513" s="160"/>
      <c r="Q2513" s="175"/>
      <c r="R2513" s="5"/>
      <c r="S2513" s="5"/>
      <c r="T2513" s="5"/>
      <c r="U2513" s="165"/>
      <c r="V2513" s="171"/>
      <c r="W2513" s="116"/>
      <c r="X2513" s="116"/>
      <c r="Y2513" s="116"/>
    </row>
    <row r="2514" customFormat="false" ht="15" hidden="false" customHeight="true" outlineLevel="0" collapsed="false">
      <c r="B2514" s="5"/>
      <c r="C2514" s="155"/>
      <c r="D2514" s="156"/>
      <c r="F2514" s="170"/>
      <c r="G2514" s="5"/>
      <c r="H2514" s="5"/>
      <c r="I2514" s="5"/>
      <c r="J2514" s="158"/>
      <c r="K2514" s="163"/>
      <c r="L2514" s="160"/>
      <c r="M2514" s="174"/>
      <c r="N2514" s="168"/>
      <c r="O2514" s="163"/>
      <c r="P2514" s="160"/>
      <c r="Q2514" s="175"/>
      <c r="R2514" s="5"/>
      <c r="S2514" s="5"/>
      <c r="T2514" s="5"/>
      <c r="U2514" s="35"/>
      <c r="V2514" s="171"/>
      <c r="W2514" s="170"/>
      <c r="X2514" s="176"/>
    </row>
    <row r="2515" customFormat="false" ht="15" hidden="false" customHeight="true" outlineLevel="0" collapsed="false">
      <c r="B2515" s="5"/>
      <c r="C2515" s="155"/>
      <c r="D2515" s="156"/>
      <c r="F2515" s="170"/>
      <c r="G2515" s="5"/>
      <c r="H2515" s="5"/>
      <c r="I2515" s="5"/>
      <c r="J2515" s="158"/>
      <c r="K2515" s="163"/>
      <c r="L2515" s="160"/>
      <c r="M2515" s="174"/>
      <c r="N2515" s="168"/>
      <c r="O2515" s="163"/>
      <c r="P2515" s="160"/>
      <c r="Q2515" s="175"/>
      <c r="R2515" s="5"/>
      <c r="S2515" s="5"/>
      <c r="T2515" s="5"/>
      <c r="U2515" s="35"/>
      <c r="V2515" s="171"/>
      <c r="W2515" s="170"/>
      <c r="X2515" s="176"/>
    </row>
    <row r="2516" customFormat="false" ht="15" hidden="false" customHeight="true" outlineLevel="0" collapsed="false">
      <c r="B2516" s="5"/>
      <c r="C2516" s="155"/>
      <c r="D2516" s="156"/>
      <c r="F2516" s="170"/>
      <c r="G2516" s="5"/>
      <c r="H2516" s="5"/>
      <c r="I2516" s="5"/>
      <c r="J2516" s="158"/>
      <c r="K2516" s="159"/>
      <c r="L2516" s="160"/>
      <c r="M2516" s="161"/>
      <c r="N2516" s="162"/>
      <c r="O2516" s="163"/>
      <c r="P2516" s="163"/>
      <c r="Q2516" s="5"/>
      <c r="R2516" s="5"/>
      <c r="S2516" s="5"/>
      <c r="T2516" s="5"/>
      <c r="U2516" s="35"/>
      <c r="V2516" s="171"/>
      <c r="W2516" s="172"/>
      <c r="X2516" s="173"/>
    </row>
    <row r="2517" customFormat="false" ht="15" hidden="false" customHeight="true" outlineLevel="0" collapsed="false">
      <c r="B2517" s="5"/>
      <c r="C2517" s="155"/>
      <c r="D2517" s="156"/>
      <c r="F2517" s="157"/>
      <c r="G2517" s="5"/>
      <c r="H2517" s="5"/>
      <c r="I2517" s="5"/>
      <c r="J2517" s="158"/>
      <c r="K2517" s="159"/>
      <c r="L2517" s="160"/>
      <c r="M2517" s="161"/>
      <c r="N2517" s="162"/>
      <c r="O2517" s="163"/>
      <c r="P2517" s="163"/>
      <c r="Q2517" s="158"/>
      <c r="R2517" s="5"/>
      <c r="S2517" s="5"/>
      <c r="T2517" s="5"/>
      <c r="U2517" s="35"/>
      <c r="V2517" s="171"/>
    </row>
    <row r="2518" customFormat="false" ht="15" hidden="false" customHeight="true" outlineLevel="0" collapsed="false">
      <c r="B2518" s="5"/>
      <c r="C2518" s="155"/>
      <c r="D2518" s="156"/>
      <c r="F2518" s="157"/>
      <c r="G2518" s="5"/>
      <c r="H2518" s="5"/>
      <c r="I2518" s="5"/>
      <c r="J2518" s="158"/>
      <c r="K2518" s="159"/>
      <c r="L2518" s="160"/>
      <c r="M2518" s="177"/>
      <c r="N2518" s="162"/>
      <c r="O2518" s="163"/>
      <c r="P2518" s="163"/>
      <c r="Q2518" s="158"/>
      <c r="R2518" s="5"/>
      <c r="S2518" s="5"/>
      <c r="T2518" s="5"/>
      <c r="U2518" s="35"/>
      <c r="V2518" s="171"/>
    </row>
    <row r="2519" customFormat="false" ht="15" hidden="false" customHeight="true" outlineLevel="0" collapsed="false">
      <c r="B2519" s="5"/>
      <c r="C2519" s="155"/>
      <c r="D2519" s="156"/>
      <c r="F2519" s="157"/>
      <c r="G2519" s="5"/>
      <c r="H2519" s="5"/>
      <c r="I2519" s="5"/>
      <c r="J2519" s="158"/>
      <c r="K2519" s="159"/>
      <c r="L2519" s="160"/>
      <c r="M2519" s="161"/>
      <c r="N2519" s="162"/>
      <c r="O2519" s="163"/>
      <c r="P2519" s="163"/>
      <c r="Q2519" s="158"/>
      <c r="R2519" s="5"/>
      <c r="S2519" s="5"/>
      <c r="T2519" s="5"/>
      <c r="U2519" s="35"/>
      <c r="V2519" s="164"/>
    </row>
    <row r="2520" customFormat="false" ht="15" hidden="false" customHeight="true" outlineLevel="0" collapsed="false">
      <c r="C2520" s="155"/>
      <c r="D2520" s="156"/>
      <c r="F2520" s="157"/>
      <c r="G2520" s="5"/>
      <c r="H2520" s="165"/>
      <c r="I2520" s="165"/>
      <c r="J2520" s="158"/>
      <c r="K2520" s="159"/>
      <c r="L2520" s="166"/>
      <c r="M2520" s="167"/>
      <c r="N2520" s="168"/>
      <c r="O2520" s="163"/>
      <c r="P2520" s="163"/>
      <c r="Q2520" s="158"/>
      <c r="R2520" s="5"/>
      <c r="S2520" s="169"/>
      <c r="T2520" s="158"/>
      <c r="U2520" s="35"/>
      <c r="V2520" s="164"/>
    </row>
    <row r="2521" customFormat="false" ht="15" hidden="false" customHeight="true" outlineLevel="0" collapsed="false">
      <c r="B2521" s="5"/>
      <c r="C2521" s="155"/>
      <c r="D2521" s="156"/>
      <c r="F2521" s="170"/>
      <c r="G2521" s="5"/>
      <c r="H2521" s="5"/>
      <c r="I2521" s="5"/>
      <c r="J2521" s="158"/>
      <c r="K2521" s="163"/>
      <c r="L2521" s="160"/>
      <c r="M2521" s="174"/>
      <c r="N2521" s="168"/>
      <c r="O2521" s="163"/>
      <c r="P2521" s="160"/>
      <c r="Q2521" s="175"/>
      <c r="R2521" s="5"/>
      <c r="S2521" s="5"/>
      <c r="T2521" s="5"/>
      <c r="U2521" s="35"/>
      <c r="V2521" s="171"/>
      <c r="W2521" s="170"/>
      <c r="X2521" s="176"/>
    </row>
    <row r="2522" customFormat="false" ht="15" hidden="false" customHeight="true" outlineLevel="0" collapsed="false">
      <c r="B2522" s="5"/>
      <c r="C2522" s="155"/>
      <c r="D2522" s="156"/>
      <c r="F2522" s="170"/>
      <c r="G2522" s="5"/>
      <c r="H2522" s="5"/>
      <c r="I2522" s="5"/>
      <c r="J2522" s="158"/>
      <c r="K2522" s="163"/>
      <c r="L2522" s="160"/>
      <c r="M2522" s="174"/>
      <c r="N2522" s="168"/>
      <c r="O2522" s="163"/>
      <c r="P2522" s="160"/>
      <c r="Q2522" s="175"/>
      <c r="R2522" s="5"/>
      <c r="S2522" s="5"/>
      <c r="T2522" s="5"/>
      <c r="U2522" s="35"/>
      <c r="V2522" s="171"/>
      <c r="W2522" s="116"/>
      <c r="X2522" s="176"/>
    </row>
    <row r="2523" customFormat="false" ht="15" hidden="false" customHeight="true" outlineLevel="0" collapsed="false">
      <c r="B2523" s="5"/>
      <c r="C2523" s="155"/>
      <c r="D2523" s="156"/>
      <c r="F2523" s="157"/>
      <c r="G2523" s="5"/>
      <c r="H2523" s="5"/>
      <c r="I2523" s="5"/>
      <c r="J2523" s="158"/>
      <c r="K2523" s="159"/>
      <c r="L2523" s="160"/>
      <c r="M2523" s="161"/>
      <c r="N2523" s="162"/>
      <c r="O2523" s="163"/>
      <c r="P2523" s="163"/>
      <c r="Q2523" s="158"/>
      <c r="R2523" s="5"/>
      <c r="S2523" s="5"/>
      <c r="T2523" s="5"/>
      <c r="U2523" s="35"/>
      <c r="V2523" s="164"/>
    </row>
    <row r="2524" customFormat="false" ht="15" hidden="false" customHeight="true" outlineLevel="0" collapsed="false">
      <c r="B2524" s="5"/>
      <c r="C2524" s="155"/>
      <c r="D2524" s="156"/>
      <c r="F2524" s="157"/>
      <c r="G2524" s="5"/>
      <c r="H2524" s="5"/>
      <c r="I2524" s="5"/>
      <c r="J2524" s="158"/>
      <c r="K2524" s="159"/>
      <c r="L2524" s="160"/>
      <c r="M2524" s="161"/>
      <c r="N2524" s="162"/>
      <c r="O2524" s="163"/>
      <c r="P2524" s="163"/>
      <c r="Q2524" s="158"/>
      <c r="R2524" s="5"/>
      <c r="S2524" s="5"/>
      <c r="T2524" s="5"/>
      <c r="U2524" s="35"/>
      <c r="V2524" s="164"/>
    </row>
    <row r="2525" customFormat="false" ht="15" hidden="false" customHeight="true" outlineLevel="0" collapsed="false">
      <c r="B2525" s="5"/>
      <c r="C2525" s="155"/>
      <c r="D2525" s="156"/>
      <c r="F2525" s="157"/>
      <c r="G2525" s="5"/>
      <c r="H2525" s="5"/>
      <c r="I2525" s="5"/>
      <c r="J2525" s="158"/>
      <c r="K2525" s="159"/>
      <c r="L2525" s="160"/>
      <c r="M2525" s="161"/>
      <c r="N2525" s="162"/>
      <c r="O2525" s="163"/>
      <c r="P2525" s="163"/>
      <c r="Q2525" s="158"/>
      <c r="R2525" s="5"/>
      <c r="S2525" s="5"/>
      <c r="T2525" s="5"/>
      <c r="U2525" s="35"/>
      <c r="V2525" s="164"/>
    </row>
    <row r="2526" customFormat="false" ht="15" hidden="false" customHeight="true" outlineLevel="0" collapsed="false">
      <c r="C2526" s="155"/>
      <c r="D2526" s="156"/>
      <c r="F2526" s="157"/>
      <c r="G2526" s="5"/>
      <c r="H2526" s="165"/>
      <c r="I2526" s="165"/>
      <c r="J2526" s="158"/>
      <c r="K2526" s="159"/>
      <c r="L2526" s="166"/>
      <c r="M2526" s="167"/>
      <c r="N2526" s="168"/>
      <c r="O2526" s="163"/>
      <c r="P2526" s="163"/>
      <c r="Q2526" s="158"/>
      <c r="R2526" s="5"/>
      <c r="S2526" s="169"/>
      <c r="T2526" s="158"/>
      <c r="U2526" s="35"/>
      <c r="V2526" s="164"/>
    </row>
    <row r="2527" customFormat="false" ht="15" hidden="false" customHeight="true" outlineLevel="0" collapsed="false">
      <c r="B2527" s="5"/>
      <c r="C2527" s="155"/>
      <c r="D2527" s="156"/>
      <c r="F2527" s="170"/>
      <c r="G2527" s="5"/>
      <c r="H2527" s="5"/>
      <c r="I2527" s="5"/>
      <c r="J2527" s="158"/>
      <c r="K2527" s="159"/>
      <c r="L2527" s="160"/>
      <c r="M2527" s="178"/>
      <c r="N2527" s="162"/>
      <c r="O2527" s="163"/>
      <c r="P2527" s="163"/>
      <c r="Q2527" s="5"/>
      <c r="R2527" s="5"/>
      <c r="S2527" s="5"/>
      <c r="T2527" s="5"/>
      <c r="U2527" s="35"/>
      <c r="V2527" s="171"/>
      <c r="W2527" s="172"/>
      <c r="X2527" s="173"/>
    </row>
    <row r="2528" customFormat="false" ht="15" hidden="false" customHeight="true" outlineLevel="0" collapsed="false">
      <c r="B2528" s="5"/>
      <c r="C2528" s="155"/>
      <c r="D2528" s="156"/>
      <c r="F2528" s="170"/>
      <c r="G2528" s="5"/>
      <c r="H2528" s="5"/>
      <c r="I2528" s="5"/>
      <c r="J2528" s="158"/>
      <c r="K2528" s="159"/>
      <c r="L2528" s="160"/>
      <c r="M2528" s="178"/>
      <c r="N2528" s="162"/>
      <c r="O2528" s="163"/>
      <c r="P2528" s="163"/>
      <c r="Q2528" s="5"/>
      <c r="R2528" s="5"/>
      <c r="S2528" s="5"/>
      <c r="T2528" s="5"/>
      <c r="U2528" s="35"/>
      <c r="V2528" s="171"/>
    </row>
    <row r="2529" customFormat="false" ht="15" hidden="false" customHeight="true" outlineLevel="0" collapsed="false">
      <c r="B2529" s="5"/>
      <c r="C2529" s="155"/>
      <c r="D2529" s="156"/>
      <c r="F2529" s="157"/>
      <c r="G2529" s="5"/>
      <c r="H2529" s="5"/>
      <c r="I2529" s="5"/>
      <c r="J2529" s="158"/>
      <c r="K2529" s="159"/>
      <c r="L2529" s="160"/>
      <c r="M2529" s="161"/>
      <c r="N2529" s="162"/>
      <c r="O2529" s="163"/>
      <c r="P2529" s="163"/>
      <c r="Q2529" s="158"/>
      <c r="R2529" s="5"/>
      <c r="S2529" s="5"/>
      <c r="T2529" s="5"/>
      <c r="U2529" s="35"/>
      <c r="V2529" s="171"/>
    </row>
    <row r="2530" customFormat="false" ht="15" hidden="false" customHeight="true" outlineLevel="0" collapsed="false">
      <c r="B2530" s="5"/>
      <c r="C2530" s="155"/>
      <c r="D2530" s="156"/>
      <c r="F2530" s="170"/>
      <c r="G2530" s="5"/>
      <c r="H2530" s="5"/>
      <c r="I2530" s="5"/>
      <c r="J2530" s="158"/>
      <c r="K2530" s="163"/>
      <c r="L2530" s="160"/>
      <c r="M2530" s="174"/>
      <c r="N2530" s="168"/>
      <c r="O2530" s="163"/>
      <c r="P2530" s="160"/>
      <c r="Q2530" s="175"/>
      <c r="R2530" s="5"/>
      <c r="S2530" s="5"/>
      <c r="T2530" s="5"/>
      <c r="U2530" s="35"/>
      <c r="V2530" s="171"/>
      <c r="W2530" s="116"/>
      <c r="X2530" s="176"/>
    </row>
    <row r="2531" customFormat="false" ht="15" hidden="false" customHeight="true" outlineLevel="0" collapsed="false">
      <c r="B2531" s="5"/>
      <c r="C2531" s="155"/>
      <c r="D2531" s="156"/>
      <c r="F2531" s="170"/>
      <c r="G2531" s="5"/>
      <c r="H2531" s="5"/>
      <c r="I2531" s="5"/>
      <c r="J2531" s="158"/>
      <c r="K2531" s="159"/>
      <c r="L2531" s="160"/>
      <c r="M2531" s="174"/>
      <c r="N2531" s="168"/>
      <c r="O2531" s="163"/>
      <c r="P2531" s="160"/>
      <c r="Q2531" s="5"/>
      <c r="R2531" s="5"/>
      <c r="S2531" s="5"/>
      <c r="T2531" s="5"/>
      <c r="U2531" s="35"/>
      <c r="V2531" s="171"/>
    </row>
    <row r="2532" customFormat="false" ht="15" hidden="false" customHeight="true" outlineLevel="0" collapsed="false">
      <c r="B2532" s="5"/>
      <c r="C2532" s="155"/>
      <c r="D2532" s="156"/>
      <c r="F2532" s="157"/>
      <c r="G2532" s="5"/>
      <c r="H2532" s="5"/>
      <c r="I2532" s="5"/>
      <c r="J2532" s="158"/>
      <c r="K2532" s="159"/>
      <c r="L2532" s="160"/>
      <c r="M2532" s="161"/>
      <c r="N2532" s="162"/>
      <c r="O2532" s="163"/>
      <c r="P2532" s="163"/>
      <c r="Q2532" s="158"/>
      <c r="R2532" s="5"/>
      <c r="S2532" s="5"/>
      <c r="T2532" s="5"/>
      <c r="U2532" s="35"/>
      <c r="V2532" s="164"/>
    </row>
    <row r="2533" customFormat="false" ht="15" hidden="false" customHeight="true" outlineLevel="0" collapsed="false">
      <c r="B2533" s="5"/>
      <c r="C2533" s="155"/>
      <c r="D2533" s="156"/>
      <c r="F2533" s="157"/>
      <c r="G2533" s="5"/>
      <c r="H2533" s="5"/>
      <c r="I2533" s="5"/>
      <c r="J2533" s="158"/>
      <c r="K2533" s="159"/>
      <c r="L2533" s="160"/>
      <c r="M2533" s="161"/>
      <c r="N2533" s="162"/>
      <c r="O2533" s="163"/>
      <c r="P2533" s="163"/>
      <c r="Q2533" s="158"/>
      <c r="R2533" s="5"/>
      <c r="S2533" s="5"/>
      <c r="T2533" s="5"/>
      <c r="U2533" s="35"/>
      <c r="V2533" s="164"/>
    </row>
    <row r="2534" customFormat="false" ht="15" hidden="false" customHeight="true" outlineLevel="0" collapsed="false">
      <c r="B2534" s="5"/>
      <c r="C2534" s="155"/>
      <c r="D2534" s="156"/>
      <c r="F2534" s="157"/>
      <c r="G2534" s="5"/>
      <c r="H2534" s="5"/>
      <c r="I2534" s="5"/>
      <c r="J2534" s="158"/>
      <c r="K2534" s="159"/>
      <c r="L2534" s="160"/>
      <c r="M2534" s="161"/>
      <c r="N2534" s="162"/>
      <c r="O2534" s="163"/>
      <c r="P2534" s="163"/>
      <c r="Q2534" s="158"/>
      <c r="R2534" s="5"/>
      <c r="S2534" s="5"/>
      <c r="T2534" s="5"/>
      <c r="U2534" s="35"/>
      <c r="V2534" s="164"/>
    </row>
    <row r="2535" customFormat="false" ht="15" hidden="false" customHeight="true" outlineLevel="0" collapsed="false">
      <c r="C2535" s="155"/>
      <c r="D2535" s="156"/>
      <c r="F2535" s="157"/>
      <c r="G2535" s="5"/>
      <c r="H2535" s="165"/>
      <c r="I2535" s="165"/>
      <c r="J2535" s="158"/>
      <c r="K2535" s="159"/>
      <c r="L2535" s="166"/>
      <c r="M2535" s="167"/>
      <c r="N2535" s="168"/>
      <c r="O2535" s="163"/>
      <c r="P2535" s="163"/>
      <c r="Q2535" s="158"/>
      <c r="R2535" s="5"/>
      <c r="S2535" s="169"/>
      <c r="T2535" s="158"/>
      <c r="U2535" s="35"/>
      <c r="V2535" s="164"/>
    </row>
    <row r="2536" customFormat="false" ht="15" hidden="false" customHeight="true" outlineLevel="0" collapsed="false">
      <c r="B2536" s="5"/>
      <c r="C2536" s="155"/>
      <c r="D2536" s="156"/>
      <c r="F2536" s="170"/>
      <c r="G2536" s="5"/>
      <c r="H2536" s="5"/>
      <c r="I2536" s="5"/>
      <c r="J2536" s="158"/>
      <c r="K2536" s="159"/>
      <c r="L2536" s="160"/>
      <c r="M2536" s="161"/>
      <c r="N2536" s="162"/>
      <c r="O2536" s="163"/>
      <c r="P2536" s="163"/>
      <c r="Q2536" s="5"/>
      <c r="R2536" s="5"/>
      <c r="S2536" s="5"/>
      <c r="T2536" s="5"/>
      <c r="U2536" s="35"/>
      <c r="V2536" s="171"/>
      <c r="W2536" s="172"/>
      <c r="X2536" s="173"/>
    </row>
    <row r="2537" customFormat="false" ht="15" hidden="false" customHeight="true" outlineLevel="0" collapsed="false">
      <c r="C2537" s="155"/>
      <c r="D2537" s="156"/>
      <c r="F2537" s="157"/>
      <c r="G2537" s="5"/>
      <c r="H2537" s="165"/>
      <c r="I2537" s="165"/>
      <c r="J2537" s="158"/>
      <c r="K2537" s="159"/>
      <c r="L2537" s="166"/>
      <c r="M2537" s="167"/>
      <c r="N2537" s="168"/>
      <c r="O2537" s="163"/>
      <c r="P2537" s="163"/>
      <c r="Q2537" s="158"/>
      <c r="R2537" s="5"/>
      <c r="S2537" s="169"/>
      <c r="T2537" s="158"/>
      <c r="U2537" s="35"/>
      <c r="V2537" s="164"/>
    </row>
    <row r="2538" customFormat="false" ht="15" hidden="false" customHeight="true" outlineLevel="0" collapsed="false">
      <c r="C2538" s="155"/>
      <c r="D2538" s="156"/>
      <c r="F2538" s="157"/>
      <c r="G2538" s="5"/>
      <c r="H2538" s="165"/>
      <c r="I2538" s="165"/>
      <c r="J2538" s="158"/>
      <c r="K2538" s="159"/>
      <c r="L2538" s="166"/>
      <c r="M2538" s="167"/>
      <c r="N2538" s="168"/>
      <c r="O2538" s="163"/>
      <c r="P2538" s="163"/>
      <c r="Q2538" s="158"/>
      <c r="R2538" s="5"/>
      <c r="S2538" s="169"/>
      <c r="T2538" s="158"/>
      <c r="U2538" s="35"/>
      <c r="V2538" s="164"/>
    </row>
    <row r="2539" customFormat="false" ht="15" hidden="false" customHeight="true" outlineLevel="0" collapsed="false">
      <c r="B2539" s="5"/>
      <c r="C2539" s="155"/>
      <c r="D2539" s="156"/>
      <c r="F2539" s="170"/>
      <c r="G2539" s="5"/>
      <c r="H2539" s="5"/>
      <c r="I2539" s="5"/>
      <c r="J2539" s="158"/>
      <c r="K2539" s="163"/>
      <c r="L2539" s="160"/>
      <c r="M2539" s="174"/>
      <c r="N2539" s="168"/>
      <c r="O2539" s="163"/>
      <c r="P2539" s="160"/>
      <c r="Q2539" s="175"/>
      <c r="R2539" s="5"/>
      <c r="S2539" s="5"/>
      <c r="T2539" s="5"/>
      <c r="U2539" s="165"/>
      <c r="V2539" s="164"/>
      <c r="W2539" s="116"/>
      <c r="X2539" s="116"/>
      <c r="Y2539" s="116"/>
    </row>
    <row r="2540" customFormat="false" ht="15" hidden="false" customHeight="true" outlineLevel="0" collapsed="false">
      <c r="B2540" s="5"/>
      <c r="C2540" s="155"/>
      <c r="D2540" s="156"/>
      <c r="F2540" s="170"/>
      <c r="G2540" s="5"/>
      <c r="H2540" s="5"/>
      <c r="I2540" s="5"/>
      <c r="J2540" s="158"/>
      <c r="K2540" s="163"/>
      <c r="L2540" s="160"/>
      <c r="M2540" s="174"/>
      <c r="N2540" s="168"/>
      <c r="O2540" s="163"/>
      <c r="P2540" s="160"/>
      <c r="Q2540" s="175"/>
      <c r="R2540" s="5"/>
      <c r="S2540" s="5"/>
      <c r="T2540" s="5"/>
      <c r="U2540" s="165"/>
      <c r="V2540" s="164"/>
      <c r="W2540" s="116"/>
      <c r="X2540" s="116"/>
      <c r="Y2540" s="116"/>
    </row>
    <row r="2541" customFormat="false" ht="15" hidden="false" customHeight="true" outlineLevel="0" collapsed="false">
      <c r="B2541" s="5"/>
      <c r="C2541" s="155"/>
      <c r="D2541" s="156"/>
      <c r="F2541" s="170"/>
      <c r="G2541" s="5"/>
      <c r="H2541" s="5"/>
      <c r="I2541" s="5"/>
      <c r="J2541" s="158"/>
      <c r="K2541" s="163"/>
      <c r="L2541" s="160"/>
      <c r="M2541" s="174"/>
      <c r="N2541" s="168"/>
      <c r="O2541" s="163"/>
      <c r="P2541" s="160"/>
      <c r="Q2541" s="175"/>
      <c r="R2541" s="5"/>
      <c r="S2541" s="5"/>
      <c r="T2541" s="5"/>
      <c r="U2541" s="35"/>
      <c r="V2541" s="171"/>
      <c r="W2541" s="170"/>
      <c r="X2541" s="176"/>
    </row>
    <row r="2542" customFormat="false" ht="15" hidden="false" customHeight="true" outlineLevel="0" collapsed="false">
      <c r="B2542" s="5"/>
      <c r="C2542" s="155"/>
      <c r="D2542" s="156"/>
      <c r="F2542" s="170"/>
      <c r="G2542" s="5"/>
      <c r="H2542" s="5"/>
      <c r="I2542" s="5"/>
      <c r="J2542" s="158"/>
      <c r="K2542" s="159"/>
      <c r="L2542" s="160"/>
      <c r="M2542" s="161"/>
      <c r="N2542" s="162"/>
      <c r="O2542" s="163"/>
      <c r="P2542" s="163"/>
      <c r="Q2542" s="5"/>
      <c r="R2542" s="5"/>
      <c r="S2542" s="5"/>
      <c r="T2542" s="5"/>
      <c r="U2542" s="35"/>
      <c r="V2542" s="171"/>
      <c r="W2542" s="172"/>
      <c r="X2542" s="173"/>
    </row>
    <row r="2543" customFormat="false" ht="15" hidden="false" customHeight="true" outlineLevel="0" collapsed="false">
      <c r="B2543" s="5"/>
      <c r="C2543" s="155"/>
      <c r="D2543" s="156"/>
      <c r="F2543" s="157"/>
      <c r="G2543" s="5"/>
      <c r="H2543" s="5"/>
      <c r="I2543" s="5"/>
      <c r="J2543" s="158"/>
      <c r="K2543" s="159"/>
      <c r="L2543" s="160"/>
      <c r="M2543" s="161"/>
      <c r="N2543" s="162"/>
      <c r="O2543" s="163"/>
      <c r="P2543" s="163"/>
      <c r="Q2543" s="158"/>
      <c r="R2543" s="5"/>
      <c r="S2543" s="5"/>
      <c r="T2543" s="5"/>
      <c r="U2543" s="35"/>
      <c r="V2543" s="164"/>
    </row>
    <row r="2544" customFormat="false" ht="15" hidden="false" customHeight="true" outlineLevel="0" collapsed="false">
      <c r="B2544" s="5"/>
      <c r="C2544" s="155"/>
      <c r="D2544" s="156"/>
      <c r="F2544" s="157"/>
      <c r="G2544" s="5"/>
      <c r="H2544" s="5"/>
      <c r="I2544" s="5"/>
      <c r="J2544" s="158"/>
      <c r="K2544" s="159"/>
      <c r="L2544" s="160"/>
      <c r="M2544" s="161"/>
      <c r="N2544" s="162"/>
      <c r="O2544" s="163"/>
      <c r="P2544" s="163"/>
      <c r="Q2544" s="158"/>
      <c r="R2544" s="5"/>
      <c r="S2544" s="5"/>
      <c r="T2544" s="5"/>
      <c r="U2544" s="35"/>
      <c r="V2544" s="164"/>
    </row>
    <row r="2545" customFormat="false" ht="15" hidden="false" customHeight="true" outlineLevel="0" collapsed="false">
      <c r="B2545" s="5"/>
      <c r="C2545" s="155"/>
      <c r="D2545" s="156"/>
      <c r="F2545" s="157"/>
      <c r="G2545" s="5"/>
      <c r="H2545" s="5"/>
      <c r="I2545" s="5"/>
      <c r="J2545" s="158"/>
      <c r="K2545" s="159"/>
      <c r="L2545" s="160"/>
      <c r="M2545" s="161"/>
      <c r="N2545" s="162"/>
      <c r="O2545" s="163"/>
      <c r="P2545" s="163"/>
      <c r="Q2545" s="158"/>
      <c r="R2545" s="5"/>
      <c r="S2545" s="5"/>
      <c r="T2545" s="5"/>
      <c r="U2545" s="35"/>
      <c r="V2545" s="164"/>
    </row>
    <row r="2546" customFormat="false" ht="15" hidden="false" customHeight="true" outlineLevel="0" collapsed="false">
      <c r="B2546" s="5"/>
      <c r="C2546" s="155"/>
      <c r="D2546" s="156"/>
      <c r="F2546" s="157"/>
      <c r="G2546" s="5"/>
      <c r="H2546" s="5"/>
      <c r="I2546" s="5"/>
      <c r="J2546" s="158"/>
      <c r="K2546" s="159"/>
      <c r="L2546" s="160"/>
      <c r="M2546" s="161"/>
      <c r="N2546" s="162"/>
      <c r="O2546" s="163"/>
      <c r="P2546" s="163"/>
      <c r="Q2546" s="158"/>
      <c r="R2546" s="5"/>
      <c r="S2546" s="5"/>
      <c r="T2546" s="5"/>
      <c r="U2546" s="35"/>
      <c r="V2546" s="164"/>
    </row>
    <row r="2547" customFormat="false" ht="15" hidden="false" customHeight="true" outlineLevel="0" collapsed="false">
      <c r="C2547" s="155"/>
      <c r="D2547" s="156"/>
      <c r="F2547" s="157"/>
      <c r="G2547" s="5"/>
      <c r="H2547" s="165"/>
      <c r="I2547" s="165"/>
      <c r="J2547" s="158"/>
      <c r="K2547" s="159"/>
      <c r="L2547" s="166"/>
      <c r="M2547" s="167"/>
      <c r="N2547" s="168"/>
      <c r="O2547" s="163"/>
      <c r="P2547" s="163"/>
      <c r="Q2547" s="158"/>
      <c r="R2547" s="5"/>
      <c r="S2547" s="169"/>
      <c r="T2547" s="158"/>
      <c r="U2547" s="35"/>
      <c r="V2547" s="164"/>
    </row>
    <row r="2548" customFormat="false" ht="15" hidden="false" customHeight="true" outlineLevel="0" collapsed="false">
      <c r="C2548" s="155"/>
      <c r="D2548" s="156"/>
      <c r="F2548" s="157"/>
      <c r="G2548" s="5"/>
      <c r="H2548" s="165"/>
      <c r="I2548" s="165"/>
      <c r="J2548" s="158"/>
      <c r="K2548" s="159"/>
      <c r="L2548" s="166"/>
      <c r="M2548" s="167"/>
      <c r="N2548" s="168"/>
      <c r="O2548" s="163"/>
      <c r="P2548" s="163"/>
      <c r="Q2548" s="158"/>
      <c r="R2548" s="5"/>
      <c r="S2548" s="169"/>
      <c r="T2548" s="158"/>
      <c r="U2548" s="35"/>
      <c r="V2548" s="164"/>
    </row>
    <row r="2549" customFormat="false" ht="15" hidden="false" customHeight="true" outlineLevel="0" collapsed="false">
      <c r="C2549" s="155"/>
      <c r="D2549" s="156"/>
      <c r="F2549" s="157"/>
      <c r="G2549" s="5"/>
      <c r="H2549" s="165"/>
      <c r="I2549" s="165"/>
      <c r="J2549" s="158"/>
      <c r="K2549" s="159"/>
      <c r="L2549" s="166"/>
      <c r="M2549" s="167"/>
      <c r="N2549" s="168"/>
      <c r="O2549" s="163"/>
      <c r="P2549" s="163"/>
      <c r="Q2549" s="158"/>
      <c r="R2549" s="5"/>
      <c r="S2549" s="169"/>
      <c r="T2549" s="158"/>
      <c r="U2549" s="35"/>
      <c r="V2549" s="164"/>
    </row>
    <row r="2550" customFormat="false" ht="15" hidden="false" customHeight="true" outlineLevel="0" collapsed="false">
      <c r="C2550" s="155"/>
      <c r="D2550" s="156"/>
      <c r="F2550" s="157"/>
      <c r="G2550" s="5"/>
      <c r="H2550" s="165"/>
      <c r="I2550" s="165"/>
      <c r="J2550" s="158"/>
      <c r="K2550" s="159"/>
      <c r="L2550" s="166"/>
      <c r="M2550" s="167"/>
      <c r="N2550" s="168"/>
      <c r="O2550" s="163"/>
      <c r="P2550" s="163"/>
      <c r="Q2550" s="158"/>
      <c r="R2550" s="5"/>
      <c r="S2550" s="169"/>
      <c r="T2550" s="158"/>
      <c r="U2550" s="35"/>
      <c r="V2550" s="164"/>
    </row>
    <row r="2551" customFormat="false" ht="15" hidden="false" customHeight="true" outlineLevel="0" collapsed="false">
      <c r="C2551" s="155"/>
      <c r="D2551" s="156"/>
      <c r="F2551" s="157"/>
      <c r="G2551" s="5"/>
      <c r="H2551" s="165"/>
      <c r="I2551" s="165"/>
      <c r="J2551" s="158"/>
      <c r="K2551" s="159"/>
      <c r="L2551" s="166"/>
      <c r="M2551" s="167"/>
      <c r="N2551" s="168"/>
      <c r="O2551" s="163"/>
      <c r="P2551" s="163"/>
      <c r="Q2551" s="158"/>
      <c r="R2551" s="5"/>
      <c r="S2551" s="169"/>
      <c r="T2551" s="158"/>
      <c r="U2551" s="35"/>
      <c r="V2551" s="164"/>
    </row>
    <row r="2552" customFormat="false" ht="15" hidden="false" customHeight="true" outlineLevel="0" collapsed="false">
      <c r="B2552" s="5"/>
      <c r="C2552" s="155"/>
      <c r="D2552" s="156"/>
      <c r="F2552" s="170"/>
      <c r="G2552" s="5"/>
      <c r="H2552" s="5"/>
      <c r="I2552" s="5"/>
      <c r="J2552" s="158"/>
      <c r="K2552" s="163"/>
      <c r="L2552" s="160"/>
      <c r="M2552" s="174"/>
      <c r="N2552" s="168"/>
      <c r="O2552" s="160"/>
      <c r="P2552" s="160"/>
      <c r="Q2552" s="175"/>
      <c r="R2552" s="5"/>
      <c r="S2552" s="5"/>
      <c r="T2552" s="5"/>
      <c r="U2552" s="165"/>
      <c r="V2552" s="171"/>
      <c r="W2552" s="116"/>
      <c r="X2552" s="116"/>
      <c r="Y2552" s="116"/>
    </row>
    <row r="2553" customFormat="false" ht="15" hidden="false" customHeight="true" outlineLevel="0" collapsed="false">
      <c r="B2553" s="5"/>
      <c r="C2553" s="155"/>
      <c r="D2553" s="156"/>
      <c r="F2553" s="170"/>
      <c r="G2553" s="5"/>
      <c r="H2553" s="5"/>
      <c r="I2553" s="5"/>
      <c r="J2553" s="158"/>
      <c r="K2553" s="163"/>
      <c r="L2553" s="160"/>
      <c r="M2553" s="174"/>
      <c r="N2553" s="168"/>
      <c r="O2553" s="163"/>
      <c r="P2553" s="160"/>
      <c r="Q2553" s="175"/>
      <c r="R2553" s="5"/>
      <c r="S2553" s="5"/>
      <c r="T2553" s="5"/>
      <c r="U2553" s="165"/>
      <c r="V2553" s="171"/>
      <c r="W2553" s="116"/>
      <c r="X2553" s="116"/>
      <c r="Y2553" s="116"/>
    </row>
    <row r="2554" customFormat="false" ht="15" hidden="false" customHeight="true" outlineLevel="0" collapsed="false">
      <c r="B2554" s="5"/>
      <c r="C2554" s="155"/>
      <c r="D2554" s="156"/>
      <c r="F2554" s="170"/>
      <c r="G2554" s="5"/>
      <c r="H2554" s="5"/>
      <c r="I2554" s="5"/>
      <c r="J2554" s="158"/>
      <c r="K2554" s="163"/>
      <c r="L2554" s="160"/>
      <c r="M2554" s="174"/>
      <c r="N2554" s="168"/>
      <c r="O2554" s="163"/>
      <c r="P2554" s="160"/>
      <c r="Q2554" s="175"/>
      <c r="R2554" s="5"/>
      <c r="S2554" s="5"/>
      <c r="T2554" s="5"/>
      <c r="U2554" s="35"/>
      <c r="V2554" s="171"/>
      <c r="W2554" s="116"/>
      <c r="X2554" s="116"/>
      <c r="Y2554" s="116"/>
    </row>
    <row r="2555" customFormat="false" ht="15" hidden="false" customHeight="true" outlineLevel="0" collapsed="false">
      <c r="C2555" s="155"/>
      <c r="D2555" s="156"/>
      <c r="F2555" s="157"/>
      <c r="G2555" s="5"/>
      <c r="H2555" s="165"/>
      <c r="I2555" s="165"/>
      <c r="J2555" s="158"/>
      <c r="K2555" s="159"/>
      <c r="L2555" s="166"/>
      <c r="M2555" s="167"/>
      <c r="N2555" s="168"/>
      <c r="O2555" s="163"/>
      <c r="P2555" s="163"/>
      <c r="Q2555" s="158"/>
      <c r="R2555" s="5"/>
      <c r="S2555" s="169"/>
      <c r="T2555" s="158"/>
      <c r="U2555" s="35"/>
      <c r="V2555" s="164"/>
    </row>
    <row r="2556" customFormat="false" ht="15" hidden="false" customHeight="true" outlineLevel="0" collapsed="false">
      <c r="B2556" s="5"/>
      <c r="C2556" s="155"/>
      <c r="D2556" s="156"/>
      <c r="F2556" s="157"/>
      <c r="G2556" s="5"/>
      <c r="H2556" s="5"/>
      <c r="I2556" s="5"/>
      <c r="J2556" s="158"/>
      <c r="K2556" s="159"/>
      <c r="L2556" s="160"/>
      <c r="M2556" s="161"/>
      <c r="N2556" s="162"/>
      <c r="O2556" s="163"/>
      <c r="P2556" s="163"/>
      <c r="Q2556" s="158"/>
      <c r="R2556" s="5"/>
      <c r="S2556" s="5"/>
      <c r="T2556" s="5"/>
      <c r="U2556" s="35"/>
      <c r="V2556" s="164"/>
    </row>
    <row r="2557" customFormat="false" ht="15" hidden="false" customHeight="true" outlineLevel="0" collapsed="false">
      <c r="C2557" s="155"/>
      <c r="D2557" s="156"/>
      <c r="F2557" s="157"/>
      <c r="G2557" s="5"/>
      <c r="H2557" s="165"/>
      <c r="I2557" s="165"/>
      <c r="J2557" s="158"/>
      <c r="K2557" s="159"/>
      <c r="L2557" s="166"/>
      <c r="M2557" s="167"/>
      <c r="N2557" s="168"/>
      <c r="O2557" s="163"/>
      <c r="P2557" s="163"/>
      <c r="Q2557" s="158"/>
      <c r="R2557" s="5"/>
      <c r="S2557" s="169"/>
      <c r="T2557" s="158"/>
      <c r="U2557" s="35"/>
      <c r="V2557" s="164"/>
    </row>
    <row r="2558" customFormat="false" ht="15" hidden="false" customHeight="true" outlineLevel="0" collapsed="false">
      <c r="B2558" s="5"/>
      <c r="C2558" s="155"/>
      <c r="D2558" s="156"/>
      <c r="F2558" s="170"/>
      <c r="G2558" s="5"/>
      <c r="H2558" s="5"/>
      <c r="I2558" s="5"/>
      <c r="J2558" s="158"/>
      <c r="K2558" s="163"/>
      <c r="L2558" s="160"/>
      <c r="M2558" s="174"/>
      <c r="N2558" s="168"/>
      <c r="O2558" s="163"/>
      <c r="P2558" s="160"/>
      <c r="Q2558" s="175"/>
      <c r="R2558" s="5"/>
      <c r="S2558" s="5"/>
      <c r="T2558" s="5"/>
      <c r="U2558" s="165"/>
      <c r="V2558" s="164"/>
      <c r="W2558" s="116"/>
      <c r="X2558" s="116"/>
      <c r="Y2558" s="116"/>
    </row>
    <row r="2559" customFormat="false" ht="15" hidden="false" customHeight="true" outlineLevel="0" collapsed="false">
      <c r="B2559" s="5"/>
      <c r="C2559" s="155"/>
      <c r="D2559" s="156"/>
      <c r="F2559" s="170"/>
      <c r="G2559" s="5"/>
      <c r="H2559" s="5"/>
      <c r="I2559" s="5"/>
      <c r="J2559" s="158"/>
      <c r="K2559" s="163"/>
      <c r="L2559" s="160"/>
      <c r="M2559" s="174"/>
      <c r="N2559" s="168"/>
      <c r="O2559" s="163"/>
      <c r="P2559" s="160"/>
      <c r="Q2559" s="175"/>
      <c r="R2559" s="5"/>
      <c r="S2559" s="5"/>
      <c r="T2559" s="5"/>
      <c r="U2559" s="35"/>
      <c r="V2559" s="171"/>
      <c r="W2559" s="170"/>
      <c r="X2559" s="176"/>
    </row>
    <row r="2560" customFormat="false" ht="15" hidden="false" customHeight="true" outlineLevel="0" collapsed="false">
      <c r="B2560" s="5"/>
      <c r="C2560" s="155"/>
      <c r="D2560" s="156"/>
      <c r="F2560" s="170"/>
      <c r="G2560" s="5"/>
      <c r="H2560" s="5"/>
      <c r="J2560" s="5"/>
      <c r="K2560" s="159"/>
      <c r="L2560" s="160"/>
      <c r="M2560" s="174"/>
      <c r="N2560" s="168"/>
      <c r="O2560" s="163"/>
      <c r="P2560" s="160"/>
      <c r="Q2560" s="175"/>
      <c r="R2560" s="5"/>
      <c r="S2560" s="5"/>
      <c r="T2560" s="5"/>
      <c r="U2560" s="35"/>
      <c r="V2560" s="171"/>
    </row>
    <row r="2561" customFormat="false" ht="15" hidden="false" customHeight="true" outlineLevel="0" collapsed="false">
      <c r="B2561" s="5"/>
      <c r="C2561" s="155"/>
      <c r="D2561" s="156"/>
      <c r="F2561" s="157"/>
      <c r="G2561" s="5"/>
      <c r="H2561" s="5"/>
      <c r="I2561" s="5"/>
      <c r="J2561" s="158"/>
      <c r="K2561" s="159"/>
      <c r="L2561" s="160"/>
      <c r="M2561" s="161"/>
      <c r="N2561" s="162"/>
      <c r="O2561" s="163"/>
      <c r="P2561" s="163"/>
      <c r="Q2561" s="158"/>
      <c r="R2561" s="5"/>
      <c r="S2561" s="5"/>
      <c r="T2561" s="5"/>
      <c r="U2561" s="35"/>
      <c r="V2561" s="164"/>
    </row>
    <row r="2562" customFormat="false" ht="15" hidden="false" customHeight="true" outlineLevel="0" collapsed="false">
      <c r="B2562" s="5"/>
      <c r="C2562" s="155"/>
      <c r="D2562" s="156"/>
      <c r="F2562" s="157"/>
      <c r="G2562" s="5"/>
      <c r="H2562" s="5"/>
      <c r="I2562" s="5"/>
      <c r="J2562" s="158"/>
      <c r="K2562" s="159"/>
      <c r="L2562" s="160"/>
      <c r="M2562" s="161"/>
      <c r="N2562" s="162"/>
      <c r="O2562" s="163"/>
      <c r="P2562" s="163"/>
      <c r="Q2562" s="158"/>
      <c r="R2562" s="5"/>
      <c r="S2562" s="5"/>
      <c r="T2562" s="5"/>
      <c r="U2562" s="35"/>
      <c r="V2562" s="164"/>
    </row>
    <row r="2563" customFormat="false" ht="15" hidden="false" customHeight="true" outlineLevel="0" collapsed="false">
      <c r="B2563" s="5"/>
      <c r="C2563" s="155"/>
      <c r="D2563" s="156"/>
      <c r="F2563" s="157"/>
      <c r="G2563" s="5"/>
      <c r="H2563" s="5"/>
      <c r="I2563" s="5"/>
      <c r="J2563" s="158"/>
      <c r="K2563" s="159"/>
      <c r="L2563" s="160"/>
      <c r="M2563" s="161"/>
      <c r="N2563" s="162"/>
      <c r="O2563" s="163"/>
      <c r="P2563" s="163"/>
      <c r="Q2563" s="158"/>
      <c r="R2563" s="5"/>
      <c r="S2563" s="5"/>
      <c r="T2563" s="5"/>
      <c r="U2563" s="35"/>
      <c r="V2563" s="164"/>
    </row>
    <row r="2564" customFormat="false" ht="15" hidden="false" customHeight="true" outlineLevel="0" collapsed="false">
      <c r="C2564" s="155"/>
      <c r="D2564" s="156"/>
      <c r="F2564" s="157"/>
      <c r="G2564" s="5"/>
      <c r="H2564" s="165"/>
      <c r="I2564" s="165"/>
      <c r="J2564" s="158"/>
      <c r="K2564" s="159"/>
      <c r="L2564" s="166"/>
      <c r="M2564" s="167"/>
      <c r="N2564" s="168"/>
      <c r="O2564" s="163"/>
      <c r="P2564" s="163"/>
      <c r="Q2564" s="158"/>
      <c r="R2564" s="5"/>
      <c r="S2564" s="169"/>
      <c r="T2564" s="158"/>
      <c r="U2564" s="35"/>
      <c r="V2564" s="164"/>
    </row>
    <row r="2565" customFormat="false" ht="15" hidden="false" customHeight="true" outlineLevel="0" collapsed="false">
      <c r="B2565" s="5"/>
      <c r="C2565" s="155"/>
      <c r="D2565" s="156"/>
      <c r="F2565" s="170"/>
      <c r="G2565" s="5"/>
      <c r="H2565" s="5"/>
      <c r="I2565" s="5"/>
      <c r="J2565" s="158"/>
      <c r="K2565" s="159"/>
      <c r="L2565" s="160"/>
      <c r="M2565" s="174"/>
      <c r="N2565" s="168"/>
      <c r="O2565" s="163"/>
      <c r="P2565" s="160"/>
      <c r="Q2565" s="5"/>
      <c r="R2565" s="5"/>
      <c r="S2565" s="5"/>
      <c r="T2565" s="5"/>
      <c r="U2565" s="35"/>
      <c r="V2565" s="171"/>
    </row>
    <row r="2566" customFormat="false" ht="15" hidden="false" customHeight="true" outlineLevel="0" collapsed="false">
      <c r="B2566" s="5"/>
      <c r="C2566" s="155"/>
      <c r="D2566" s="156"/>
      <c r="F2566" s="72"/>
      <c r="G2566" s="73"/>
      <c r="H2566" s="73"/>
      <c r="I2566" s="5"/>
      <c r="J2566" s="158"/>
      <c r="K2566" s="159"/>
      <c r="L2566" s="160"/>
      <c r="M2566" s="177"/>
      <c r="N2566" s="162"/>
      <c r="O2566" s="163"/>
      <c r="P2566" s="163"/>
      <c r="Q2566" s="158"/>
      <c r="R2566" s="5"/>
      <c r="S2566" s="5"/>
      <c r="T2566" s="5"/>
      <c r="U2566" s="35"/>
      <c r="V2566" s="171"/>
    </row>
    <row r="2567" customFormat="false" ht="15" hidden="false" customHeight="true" outlineLevel="0" collapsed="false">
      <c r="B2567" s="5"/>
      <c r="C2567" s="155"/>
      <c r="D2567" s="156"/>
      <c r="F2567" s="157"/>
      <c r="G2567" s="5"/>
      <c r="H2567" s="5"/>
      <c r="I2567" s="5"/>
      <c r="J2567" s="158"/>
      <c r="K2567" s="159"/>
      <c r="L2567" s="160"/>
      <c r="M2567" s="177"/>
      <c r="N2567" s="162"/>
      <c r="O2567" s="163"/>
      <c r="P2567" s="163"/>
      <c r="Q2567" s="158"/>
      <c r="R2567" s="5"/>
      <c r="S2567" s="5"/>
      <c r="T2567" s="5"/>
      <c r="U2567" s="35"/>
      <c r="V2567" s="171"/>
    </row>
    <row r="2568" customFormat="false" ht="15" hidden="false" customHeight="true" outlineLevel="0" collapsed="false">
      <c r="B2568" s="5"/>
      <c r="C2568" s="155"/>
      <c r="D2568" s="156"/>
      <c r="F2568" s="157"/>
      <c r="G2568" s="5"/>
      <c r="H2568" s="5"/>
      <c r="I2568" s="5"/>
      <c r="J2568" s="158"/>
      <c r="K2568" s="159"/>
      <c r="L2568" s="160"/>
      <c r="M2568" s="161"/>
      <c r="N2568" s="162"/>
      <c r="O2568" s="163"/>
      <c r="P2568" s="163"/>
      <c r="Q2568" s="158"/>
      <c r="R2568" s="5"/>
      <c r="S2568" s="5"/>
      <c r="T2568" s="5"/>
      <c r="U2568" s="35"/>
      <c r="V2568" s="164"/>
    </row>
    <row r="2569" customFormat="false" ht="15" hidden="false" customHeight="true" outlineLevel="0" collapsed="false">
      <c r="B2569" s="5"/>
      <c r="C2569" s="155"/>
      <c r="D2569" s="156"/>
      <c r="F2569" s="157"/>
      <c r="G2569" s="5"/>
      <c r="H2569" s="5"/>
      <c r="I2569" s="5"/>
      <c r="J2569" s="158"/>
      <c r="K2569" s="159"/>
      <c r="L2569" s="160"/>
      <c r="M2569" s="161"/>
      <c r="N2569" s="162"/>
      <c r="O2569" s="163"/>
      <c r="P2569" s="163"/>
      <c r="Q2569" s="158"/>
      <c r="R2569" s="5"/>
      <c r="S2569" s="5"/>
      <c r="T2569" s="5"/>
      <c r="U2569" s="35"/>
      <c r="V2569" s="164"/>
    </row>
    <row r="2570" customFormat="false" ht="15" hidden="false" customHeight="true" outlineLevel="0" collapsed="false">
      <c r="B2570" s="5"/>
      <c r="C2570" s="155"/>
      <c r="D2570" s="156"/>
      <c r="F2570" s="157"/>
      <c r="G2570" s="5"/>
      <c r="H2570" s="5"/>
      <c r="I2570" s="5"/>
      <c r="J2570" s="158"/>
      <c r="K2570" s="159"/>
      <c r="L2570" s="160"/>
      <c r="M2570" s="161"/>
      <c r="N2570" s="162"/>
      <c r="O2570" s="163"/>
      <c r="P2570" s="163"/>
      <c r="Q2570" s="158"/>
      <c r="R2570" s="5"/>
      <c r="S2570" s="5"/>
      <c r="T2570" s="5"/>
      <c r="U2570" s="35"/>
      <c r="V2570" s="164"/>
    </row>
    <row r="2571" customFormat="false" ht="15" hidden="false" customHeight="true" outlineLevel="0" collapsed="false">
      <c r="C2571" s="155"/>
      <c r="D2571" s="156"/>
      <c r="F2571" s="157"/>
      <c r="G2571" s="5"/>
      <c r="H2571" s="165"/>
      <c r="I2571" s="165"/>
      <c r="J2571" s="158"/>
      <c r="K2571" s="159"/>
      <c r="L2571" s="166"/>
      <c r="M2571" s="167"/>
      <c r="N2571" s="168"/>
      <c r="O2571" s="163"/>
      <c r="P2571" s="163"/>
      <c r="Q2571" s="158"/>
      <c r="R2571" s="5"/>
      <c r="S2571" s="169"/>
      <c r="T2571" s="158"/>
      <c r="U2571" s="35"/>
      <c r="V2571" s="164"/>
    </row>
    <row r="2572" customFormat="false" ht="15" hidden="false" customHeight="true" outlineLevel="0" collapsed="false">
      <c r="C2572" s="155"/>
      <c r="D2572" s="156"/>
      <c r="F2572" s="157"/>
      <c r="G2572" s="5"/>
      <c r="H2572" s="165"/>
      <c r="I2572" s="5"/>
      <c r="J2572" s="158"/>
      <c r="K2572" s="159"/>
      <c r="L2572" s="166"/>
      <c r="M2572" s="167"/>
      <c r="N2572" s="168"/>
      <c r="O2572" s="163"/>
      <c r="P2572" s="163"/>
      <c r="Q2572" s="158"/>
      <c r="R2572" s="5"/>
      <c r="S2572" s="169"/>
      <c r="T2572" s="158"/>
      <c r="U2572" s="35"/>
      <c r="V2572" s="164"/>
    </row>
    <row r="2573" customFormat="false" ht="15" hidden="false" customHeight="true" outlineLevel="0" collapsed="false">
      <c r="C2573" s="155"/>
      <c r="D2573" s="156"/>
      <c r="F2573" s="157"/>
      <c r="G2573" s="5"/>
      <c r="H2573" s="165"/>
      <c r="I2573" s="165"/>
      <c r="J2573" s="158"/>
      <c r="K2573" s="159"/>
      <c r="L2573" s="166"/>
      <c r="M2573" s="167"/>
      <c r="N2573" s="168"/>
      <c r="O2573" s="163"/>
      <c r="P2573" s="163"/>
      <c r="Q2573" s="158"/>
      <c r="R2573" s="5"/>
      <c r="S2573" s="169"/>
      <c r="T2573" s="158"/>
      <c r="U2573" s="35"/>
      <c r="V2573" s="164"/>
    </row>
    <row r="2574" customFormat="false" ht="15" hidden="false" customHeight="true" outlineLevel="0" collapsed="false">
      <c r="B2574" s="5"/>
      <c r="C2574" s="155"/>
      <c r="D2574" s="156"/>
      <c r="F2574" s="170"/>
      <c r="G2574" s="5"/>
      <c r="H2574" s="5"/>
      <c r="I2574" s="5"/>
      <c r="J2574" s="158"/>
      <c r="K2574" s="163"/>
      <c r="L2574" s="160"/>
      <c r="M2574" s="174"/>
      <c r="N2574" s="168"/>
      <c r="O2574" s="163"/>
      <c r="P2574" s="160"/>
      <c r="Q2574" s="175"/>
      <c r="R2574" s="5"/>
      <c r="S2574" s="5"/>
      <c r="T2574" s="5"/>
      <c r="U2574" s="165"/>
      <c r="V2574" s="171"/>
      <c r="W2574" s="116"/>
      <c r="X2574" s="116"/>
      <c r="Y2574" s="116"/>
    </row>
    <row r="2575" customFormat="false" ht="15" hidden="false" customHeight="true" outlineLevel="0" collapsed="false">
      <c r="B2575" s="5"/>
      <c r="C2575" s="155"/>
      <c r="D2575" s="156"/>
      <c r="F2575" s="170"/>
      <c r="G2575" s="5"/>
      <c r="H2575" s="5"/>
      <c r="I2575" s="5"/>
      <c r="J2575" s="158"/>
      <c r="K2575" s="163"/>
      <c r="L2575" s="160"/>
      <c r="M2575" s="174"/>
      <c r="N2575" s="168"/>
      <c r="O2575" s="163"/>
      <c r="P2575" s="160"/>
      <c r="Q2575" s="175"/>
      <c r="R2575" s="5"/>
      <c r="S2575" s="5"/>
      <c r="T2575" s="5"/>
      <c r="U2575" s="165"/>
      <c r="V2575" s="171"/>
      <c r="W2575" s="116"/>
      <c r="X2575" s="116"/>
      <c r="Y2575" s="116"/>
    </row>
    <row r="2576" customFormat="false" ht="15" hidden="false" customHeight="true" outlineLevel="0" collapsed="false">
      <c r="B2576" s="5"/>
      <c r="C2576" s="155"/>
      <c r="D2576" s="156"/>
      <c r="F2576" s="170"/>
      <c r="G2576" s="5"/>
      <c r="H2576" s="5"/>
      <c r="I2576" s="5"/>
      <c r="J2576" s="158"/>
      <c r="K2576" s="163"/>
      <c r="L2576" s="160"/>
      <c r="M2576" s="174"/>
      <c r="N2576" s="168"/>
      <c r="O2576" s="163"/>
      <c r="P2576" s="160"/>
      <c r="Q2576" s="175"/>
      <c r="R2576" s="5"/>
      <c r="S2576" s="5"/>
      <c r="T2576" s="5"/>
      <c r="U2576" s="35"/>
      <c r="V2576" s="171"/>
      <c r="W2576" s="116"/>
      <c r="X2576" s="116"/>
      <c r="Y2576" s="116"/>
    </row>
    <row r="2577" customFormat="false" ht="15" hidden="false" customHeight="true" outlineLevel="0" collapsed="false">
      <c r="B2577" s="5"/>
      <c r="C2577" s="155"/>
      <c r="D2577" s="156"/>
      <c r="F2577" s="170"/>
      <c r="G2577" s="5"/>
      <c r="H2577" s="5"/>
      <c r="I2577" s="5"/>
      <c r="J2577" s="158"/>
      <c r="K2577" s="159"/>
      <c r="L2577" s="160"/>
      <c r="M2577" s="174"/>
      <c r="N2577" s="168"/>
      <c r="O2577" s="163"/>
      <c r="P2577" s="160"/>
      <c r="Q2577" s="175"/>
      <c r="R2577" s="5"/>
      <c r="S2577" s="5"/>
      <c r="T2577" s="5"/>
      <c r="U2577" s="35"/>
      <c r="V2577" s="171"/>
    </row>
    <row r="2578" customFormat="false" ht="15" hidden="false" customHeight="true" outlineLevel="0" collapsed="false">
      <c r="B2578" s="5"/>
      <c r="C2578" s="155"/>
      <c r="D2578" s="156"/>
      <c r="F2578" s="170"/>
      <c r="G2578" s="5"/>
      <c r="H2578" s="5"/>
      <c r="I2578" s="5"/>
      <c r="J2578" s="158"/>
      <c r="K2578" s="159"/>
      <c r="L2578" s="160"/>
      <c r="M2578" s="174"/>
      <c r="N2578" s="168"/>
      <c r="O2578" s="163"/>
      <c r="P2578" s="160"/>
      <c r="Q2578" s="175"/>
      <c r="R2578" s="5"/>
      <c r="S2578" s="5"/>
      <c r="T2578" s="5"/>
      <c r="U2578" s="35"/>
      <c r="V2578" s="171"/>
    </row>
    <row r="2579" customFormat="false" ht="15" hidden="false" customHeight="true" outlineLevel="0" collapsed="false">
      <c r="B2579" s="5"/>
      <c r="C2579" s="155"/>
      <c r="D2579" s="156"/>
      <c r="F2579" s="157"/>
      <c r="G2579" s="5"/>
      <c r="H2579" s="5"/>
      <c r="I2579" s="5"/>
      <c r="J2579" s="158"/>
      <c r="K2579" s="159"/>
      <c r="L2579" s="160"/>
      <c r="M2579" s="161"/>
      <c r="N2579" s="162"/>
      <c r="O2579" s="163"/>
      <c r="P2579" s="163"/>
      <c r="Q2579" s="158"/>
      <c r="R2579" s="5"/>
      <c r="S2579" s="5"/>
      <c r="T2579" s="5"/>
      <c r="U2579" s="35"/>
      <c r="V2579" s="171"/>
    </row>
    <row r="2580" customFormat="false" ht="15" hidden="false" customHeight="true" outlineLevel="0" collapsed="false">
      <c r="B2580" s="5"/>
      <c r="C2580" s="155"/>
      <c r="D2580" s="156"/>
      <c r="F2580" s="157"/>
      <c r="G2580" s="5"/>
      <c r="H2580" s="5"/>
      <c r="I2580" s="5"/>
      <c r="J2580" s="158"/>
      <c r="K2580" s="159"/>
      <c r="L2580" s="160"/>
      <c r="M2580" s="177"/>
      <c r="N2580" s="162"/>
      <c r="O2580" s="163"/>
      <c r="P2580" s="163"/>
      <c r="Q2580" s="158"/>
      <c r="R2580" s="5"/>
      <c r="S2580" s="5"/>
      <c r="T2580" s="5"/>
      <c r="U2580" s="35"/>
      <c r="V2580" s="171"/>
    </row>
    <row r="2581" customFormat="false" ht="15" hidden="false" customHeight="true" outlineLevel="0" collapsed="false">
      <c r="B2581" s="5"/>
      <c r="C2581" s="155"/>
      <c r="D2581" s="156"/>
      <c r="F2581" s="157"/>
      <c r="G2581" s="5"/>
      <c r="H2581" s="5"/>
      <c r="I2581" s="5"/>
      <c r="J2581" s="158"/>
      <c r="K2581" s="159"/>
      <c r="L2581" s="160"/>
      <c r="M2581" s="177"/>
      <c r="N2581" s="162"/>
      <c r="O2581" s="163"/>
      <c r="P2581" s="163"/>
      <c r="Q2581" s="158"/>
      <c r="R2581" s="5"/>
      <c r="S2581" s="5"/>
      <c r="T2581" s="5"/>
      <c r="U2581" s="35"/>
      <c r="V2581" s="171"/>
    </row>
    <row r="2582" customFormat="false" ht="15" hidden="false" customHeight="true" outlineLevel="0" collapsed="false">
      <c r="B2582" s="5"/>
      <c r="C2582" s="155"/>
      <c r="D2582" s="156"/>
      <c r="F2582" s="157"/>
      <c r="G2582" s="5"/>
      <c r="H2582" s="5"/>
      <c r="I2582" s="5"/>
      <c r="J2582" s="158"/>
      <c r="K2582" s="159"/>
      <c r="L2582" s="160"/>
      <c r="M2582" s="161"/>
      <c r="N2582" s="162"/>
      <c r="O2582" s="163"/>
      <c r="P2582" s="163"/>
      <c r="Q2582" s="158"/>
      <c r="R2582" s="5"/>
      <c r="S2582" s="5"/>
      <c r="T2582" s="5"/>
      <c r="U2582" s="35"/>
      <c r="V2582" s="171"/>
    </row>
    <row r="2583" customFormat="false" ht="15" hidden="false" customHeight="true" outlineLevel="0" collapsed="false">
      <c r="B2583" s="5"/>
      <c r="C2583" s="155"/>
      <c r="D2583" s="156"/>
      <c r="F2583" s="157"/>
      <c r="G2583" s="5"/>
      <c r="H2583" s="5"/>
      <c r="I2583" s="5"/>
      <c r="J2583" s="158"/>
      <c r="K2583" s="159"/>
      <c r="L2583" s="160"/>
      <c r="M2583" s="161"/>
      <c r="N2583" s="162"/>
      <c r="O2583" s="163"/>
      <c r="P2583" s="163"/>
      <c r="Q2583" s="158"/>
      <c r="R2583" s="5"/>
      <c r="S2583" s="5"/>
      <c r="T2583" s="5"/>
      <c r="U2583" s="35"/>
      <c r="V2583" s="164"/>
    </row>
    <row r="2584" customFormat="false" ht="15" hidden="false" customHeight="true" outlineLevel="0" collapsed="false">
      <c r="B2584" s="5"/>
      <c r="C2584" s="155"/>
      <c r="D2584" s="156"/>
      <c r="F2584" s="157"/>
      <c r="G2584" s="5"/>
      <c r="H2584" s="5"/>
      <c r="I2584" s="5"/>
      <c r="J2584" s="158"/>
      <c r="K2584" s="159"/>
      <c r="L2584" s="160"/>
      <c r="M2584" s="161"/>
      <c r="N2584" s="162"/>
      <c r="O2584" s="163"/>
      <c r="P2584" s="163"/>
      <c r="Q2584" s="158"/>
      <c r="R2584" s="5"/>
      <c r="S2584" s="5"/>
      <c r="T2584" s="5"/>
      <c r="U2584" s="35"/>
      <c r="V2584" s="164"/>
    </row>
    <row r="2585" customFormat="false" ht="15" hidden="false" customHeight="true" outlineLevel="0" collapsed="false">
      <c r="B2585" s="5"/>
      <c r="C2585" s="155"/>
      <c r="D2585" s="156"/>
      <c r="F2585" s="157"/>
      <c r="G2585" s="5"/>
      <c r="H2585" s="5"/>
      <c r="I2585" s="5"/>
      <c r="J2585" s="158"/>
      <c r="K2585" s="159"/>
      <c r="L2585" s="160"/>
      <c r="M2585" s="161"/>
      <c r="N2585" s="162"/>
      <c r="O2585" s="163"/>
      <c r="P2585" s="163"/>
      <c r="Q2585" s="158"/>
      <c r="R2585" s="5"/>
      <c r="S2585" s="5"/>
      <c r="T2585" s="5"/>
      <c r="U2585" s="35"/>
      <c r="V2585" s="164"/>
    </row>
    <row r="2586" customFormat="false" ht="15" hidden="false" customHeight="true" outlineLevel="0" collapsed="false">
      <c r="B2586" s="5"/>
      <c r="C2586" s="155"/>
      <c r="D2586" s="156"/>
      <c r="F2586" s="157"/>
      <c r="G2586" s="5"/>
      <c r="H2586" s="5"/>
      <c r="I2586" s="5"/>
      <c r="J2586" s="158"/>
      <c r="K2586" s="159"/>
      <c r="L2586" s="160"/>
      <c r="M2586" s="161"/>
      <c r="N2586" s="162"/>
      <c r="O2586" s="163"/>
      <c r="P2586" s="163"/>
      <c r="Q2586" s="158"/>
      <c r="R2586" s="5"/>
      <c r="S2586" s="5"/>
      <c r="T2586" s="5"/>
      <c r="U2586" s="35"/>
      <c r="V2586" s="164"/>
    </row>
    <row r="2587" customFormat="false" ht="15" hidden="false" customHeight="true" outlineLevel="0" collapsed="false">
      <c r="B2587" s="5"/>
      <c r="C2587" s="155"/>
      <c r="D2587" s="156"/>
      <c r="F2587" s="157"/>
      <c r="G2587" s="5"/>
      <c r="H2587" s="5"/>
      <c r="I2587" s="5"/>
      <c r="J2587" s="158"/>
      <c r="K2587" s="159"/>
      <c r="L2587" s="160"/>
      <c r="M2587" s="161"/>
      <c r="N2587" s="162"/>
      <c r="O2587" s="163"/>
      <c r="P2587" s="163"/>
      <c r="Q2587" s="158"/>
      <c r="R2587" s="5"/>
      <c r="S2587" s="5"/>
      <c r="T2587" s="5"/>
      <c r="U2587" s="35"/>
      <c r="V2587" s="164"/>
    </row>
    <row r="2588" customFormat="false" ht="15" hidden="false" customHeight="true" outlineLevel="0" collapsed="false">
      <c r="B2588" s="5"/>
      <c r="C2588" s="155"/>
      <c r="D2588" s="156"/>
      <c r="F2588" s="157"/>
      <c r="G2588" s="5"/>
      <c r="H2588" s="5"/>
      <c r="I2588" s="5"/>
      <c r="J2588" s="158"/>
      <c r="K2588" s="159"/>
      <c r="L2588" s="160"/>
      <c r="M2588" s="161"/>
      <c r="N2588" s="162"/>
      <c r="O2588" s="163"/>
      <c r="P2588" s="163"/>
      <c r="Q2588" s="158"/>
      <c r="R2588" s="5"/>
      <c r="S2588" s="5"/>
      <c r="T2588" s="5"/>
      <c r="U2588" s="35"/>
      <c r="V2588" s="164"/>
    </row>
    <row r="2589" customFormat="false" ht="15" hidden="false" customHeight="true" outlineLevel="0" collapsed="false">
      <c r="B2589" s="5"/>
      <c r="C2589" s="155"/>
      <c r="D2589" s="156"/>
      <c r="F2589" s="157"/>
      <c r="G2589" s="5"/>
      <c r="H2589" s="5"/>
      <c r="I2589" s="5"/>
      <c r="J2589" s="158"/>
      <c r="K2589" s="159"/>
      <c r="L2589" s="160"/>
      <c r="M2589" s="161"/>
      <c r="N2589" s="162"/>
      <c r="O2589" s="163"/>
      <c r="P2589" s="163"/>
      <c r="Q2589" s="158"/>
      <c r="R2589" s="5"/>
      <c r="S2589" s="5"/>
      <c r="T2589" s="5"/>
      <c r="U2589" s="35"/>
      <c r="V2589" s="164"/>
    </row>
    <row r="2590" customFormat="false" ht="15" hidden="false" customHeight="true" outlineLevel="0" collapsed="false">
      <c r="C2590" s="155"/>
      <c r="D2590" s="156"/>
      <c r="F2590" s="157"/>
      <c r="G2590" s="5"/>
      <c r="H2590" s="165"/>
      <c r="I2590" s="165"/>
      <c r="J2590" s="158"/>
      <c r="K2590" s="159"/>
      <c r="L2590" s="166"/>
      <c r="M2590" s="167"/>
      <c r="N2590" s="168"/>
      <c r="O2590" s="163"/>
      <c r="P2590" s="163"/>
      <c r="Q2590" s="158"/>
      <c r="R2590" s="5"/>
      <c r="S2590" s="169"/>
      <c r="T2590" s="158"/>
      <c r="U2590" s="35"/>
      <c r="V2590" s="164"/>
    </row>
    <row r="2591" customFormat="false" ht="15" hidden="false" customHeight="true" outlineLevel="0" collapsed="false">
      <c r="C2591" s="155"/>
      <c r="D2591" s="156"/>
      <c r="F2591" s="157"/>
      <c r="G2591" s="5"/>
      <c r="H2591" s="165"/>
      <c r="I2591" s="165"/>
      <c r="J2591" s="158"/>
      <c r="K2591" s="159"/>
      <c r="L2591" s="166"/>
      <c r="M2591" s="167"/>
      <c r="N2591" s="168"/>
      <c r="O2591" s="163"/>
      <c r="P2591" s="163"/>
      <c r="Q2591" s="158"/>
      <c r="R2591" s="5"/>
      <c r="S2591" s="169"/>
      <c r="T2591" s="158"/>
      <c r="U2591" s="35"/>
      <c r="V2591" s="164"/>
    </row>
    <row r="2592" customFormat="false" ht="15" hidden="false" customHeight="true" outlineLevel="0" collapsed="false">
      <c r="C2592" s="155"/>
      <c r="D2592" s="156"/>
      <c r="F2592" s="157"/>
      <c r="G2592" s="5"/>
      <c r="H2592" s="165"/>
      <c r="I2592" s="165"/>
      <c r="J2592" s="158"/>
      <c r="K2592" s="159"/>
      <c r="L2592" s="166"/>
      <c r="M2592" s="167"/>
      <c r="N2592" s="168"/>
      <c r="O2592" s="163"/>
      <c r="P2592" s="163"/>
      <c r="Q2592" s="158"/>
      <c r="R2592" s="5"/>
      <c r="S2592" s="169"/>
      <c r="T2592" s="158"/>
      <c r="U2592" s="35"/>
      <c r="V2592" s="164"/>
    </row>
    <row r="2593" customFormat="false" ht="15" hidden="false" customHeight="true" outlineLevel="0" collapsed="false">
      <c r="C2593" s="155"/>
      <c r="D2593" s="156"/>
      <c r="F2593" s="157"/>
      <c r="G2593" s="5"/>
      <c r="H2593" s="165"/>
      <c r="I2593" s="165"/>
      <c r="J2593" s="158"/>
      <c r="K2593" s="159"/>
      <c r="L2593" s="166"/>
      <c r="M2593" s="167"/>
      <c r="N2593" s="168"/>
      <c r="O2593" s="163"/>
      <c r="P2593" s="163"/>
      <c r="Q2593" s="158"/>
      <c r="R2593" s="5"/>
      <c r="S2593" s="169"/>
      <c r="T2593" s="158"/>
      <c r="U2593" s="35"/>
      <c r="V2593" s="164"/>
    </row>
    <row r="2594" customFormat="false" ht="15" hidden="false" customHeight="true" outlineLevel="0" collapsed="false">
      <c r="C2594" s="155"/>
      <c r="D2594" s="156"/>
      <c r="F2594" s="157"/>
      <c r="G2594" s="5"/>
      <c r="H2594" s="165"/>
      <c r="I2594" s="165"/>
      <c r="J2594" s="158"/>
      <c r="K2594" s="159"/>
      <c r="L2594" s="166"/>
      <c r="M2594" s="167"/>
      <c r="N2594" s="168"/>
      <c r="O2594" s="163"/>
      <c r="P2594" s="163"/>
      <c r="Q2594" s="158"/>
      <c r="R2594" s="5"/>
      <c r="S2594" s="169"/>
      <c r="T2594" s="158"/>
      <c r="U2594" s="35"/>
      <c r="V2594" s="164"/>
    </row>
    <row r="2595" customFormat="false" ht="15" hidden="false" customHeight="true" outlineLevel="0" collapsed="false">
      <c r="B2595" s="5"/>
      <c r="C2595" s="155"/>
      <c r="D2595" s="156"/>
      <c r="F2595" s="170"/>
      <c r="G2595" s="5"/>
      <c r="H2595" s="5"/>
      <c r="I2595" s="5"/>
      <c r="J2595" s="158"/>
      <c r="K2595" s="159"/>
      <c r="L2595" s="160"/>
      <c r="M2595" s="174"/>
      <c r="N2595" s="168"/>
      <c r="O2595" s="163"/>
      <c r="P2595" s="160"/>
      <c r="Q2595" s="5"/>
      <c r="R2595" s="5"/>
      <c r="S2595" s="5"/>
      <c r="T2595" s="5"/>
      <c r="U2595" s="35"/>
      <c r="V2595" s="171"/>
    </row>
    <row r="2596" customFormat="false" ht="15" hidden="false" customHeight="true" outlineLevel="0" collapsed="false">
      <c r="B2596" s="5"/>
      <c r="C2596" s="155"/>
      <c r="D2596" s="156"/>
      <c r="F2596" s="157"/>
      <c r="G2596" s="5"/>
      <c r="H2596" s="5"/>
      <c r="I2596" s="5"/>
      <c r="J2596" s="158"/>
      <c r="K2596" s="159"/>
      <c r="L2596" s="160"/>
      <c r="M2596" s="161"/>
      <c r="N2596" s="162"/>
      <c r="O2596" s="163"/>
      <c r="P2596" s="163"/>
      <c r="Q2596" s="158"/>
      <c r="R2596" s="5"/>
      <c r="S2596" s="5"/>
      <c r="T2596" s="5"/>
      <c r="U2596" s="35"/>
      <c r="V2596" s="164"/>
    </row>
    <row r="2597" customFormat="false" ht="15" hidden="false" customHeight="true" outlineLevel="0" collapsed="false">
      <c r="B2597" s="5"/>
      <c r="C2597" s="155"/>
      <c r="D2597" s="156"/>
      <c r="F2597" s="170"/>
      <c r="G2597" s="5"/>
      <c r="H2597" s="5"/>
      <c r="I2597" s="5"/>
      <c r="J2597" s="158"/>
      <c r="K2597" s="163"/>
      <c r="L2597" s="160"/>
      <c r="M2597" s="174"/>
      <c r="N2597" s="168"/>
      <c r="O2597" s="163"/>
      <c r="P2597" s="160"/>
      <c r="Q2597" s="175"/>
      <c r="R2597" s="5"/>
      <c r="S2597" s="5"/>
      <c r="T2597" s="5"/>
      <c r="U2597" s="165"/>
      <c r="V2597" s="164"/>
      <c r="W2597" s="116"/>
      <c r="X2597" s="116"/>
      <c r="Y2597" s="116"/>
    </row>
    <row r="2598" customFormat="false" ht="15" hidden="false" customHeight="true" outlineLevel="0" collapsed="false">
      <c r="B2598" s="5"/>
      <c r="C2598" s="155"/>
      <c r="D2598" s="156"/>
      <c r="F2598" s="170"/>
      <c r="G2598" s="5"/>
      <c r="H2598" s="5"/>
      <c r="I2598" s="5"/>
      <c r="J2598" s="158"/>
      <c r="K2598" s="163"/>
      <c r="L2598" s="160"/>
      <c r="M2598" s="174"/>
      <c r="N2598" s="168"/>
      <c r="O2598" s="163"/>
      <c r="P2598" s="160"/>
      <c r="Q2598" s="175"/>
      <c r="R2598" s="5"/>
      <c r="S2598" s="5"/>
      <c r="T2598" s="5"/>
      <c r="U2598" s="35"/>
      <c r="V2598" s="171"/>
      <c r="W2598" s="116"/>
    </row>
    <row r="2599" customFormat="false" ht="15" hidden="false" customHeight="true" outlineLevel="0" collapsed="false">
      <c r="B2599" s="5"/>
      <c r="C2599" s="155"/>
      <c r="D2599" s="156"/>
      <c r="F2599" s="157"/>
      <c r="G2599" s="5"/>
      <c r="H2599" s="5"/>
      <c r="I2599" s="5"/>
      <c r="J2599" s="158"/>
      <c r="K2599" s="159"/>
      <c r="L2599" s="160"/>
      <c r="M2599" s="161"/>
      <c r="N2599" s="162"/>
      <c r="O2599" s="163"/>
      <c r="P2599" s="163"/>
      <c r="Q2599" s="158"/>
      <c r="R2599" s="5"/>
      <c r="S2599" s="5"/>
      <c r="T2599" s="5"/>
      <c r="U2599" s="35"/>
      <c r="V2599" s="164"/>
    </row>
    <row r="2600" customFormat="false" ht="15" hidden="false" customHeight="true" outlineLevel="0" collapsed="false">
      <c r="C2600" s="155"/>
      <c r="D2600" s="156"/>
      <c r="F2600" s="157"/>
      <c r="G2600" s="5"/>
      <c r="H2600" s="165"/>
      <c r="I2600" s="165"/>
      <c r="J2600" s="158"/>
      <c r="K2600" s="159"/>
      <c r="L2600" s="166"/>
      <c r="M2600" s="167"/>
      <c r="N2600" s="168"/>
      <c r="O2600" s="163"/>
      <c r="P2600" s="163"/>
      <c r="Q2600" s="158"/>
      <c r="R2600" s="5"/>
      <c r="S2600" s="169"/>
      <c r="T2600" s="158"/>
      <c r="U2600" s="35"/>
      <c r="V2600" s="164"/>
    </row>
    <row r="2601" customFormat="false" ht="15" hidden="false" customHeight="true" outlineLevel="0" collapsed="false">
      <c r="C2601" s="155"/>
      <c r="D2601" s="156"/>
      <c r="F2601" s="157"/>
      <c r="G2601" s="5"/>
      <c r="H2601" s="165"/>
      <c r="I2601" s="165"/>
      <c r="J2601" s="158"/>
      <c r="K2601" s="159"/>
      <c r="L2601" s="166"/>
      <c r="M2601" s="167"/>
      <c r="N2601" s="168"/>
      <c r="O2601" s="163"/>
      <c r="P2601" s="163"/>
      <c r="Q2601" s="158"/>
      <c r="R2601" s="5"/>
      <c r="S2601" s="169"/>
      <c r="T2601" s="158"/>
      <c r="U2601" s="35"/>
      <c r="V2601" s="164"/>
    </row>
    <row r="2602" customFormat="false" ht="15" hidden="false" customHeight="true" outlineLevel="0" collapsed="false">
      <c r="C2602" s="155"/>
      <c r="D2602" s="156"/>
      <c r="F2602" s="157"/>
      <c r="G2602" s="5"/>
      <c r="H2602" s="165"/>
      <c r="I2602" s="165"/>
      <c r="J2602" s="158"/>
      <c r="K2602" s="159"/>
      <c r="L2602" s="166"/>
      <c r="M2602" s="167"/>
      <c r="N2602" s="168"/>
      <c r="O2602" s="163"/>
      <c r="P2602" s="163"/>
      <c r="Q2602" s="158"/>
      <c r="R2602" s="5"/>
      <c r="S2602" s="169"/>
      <c r="T2602" s="158"/>
      <c r="U2602" s="35"/>
      <c r="V2602" s="164"/>
    </row>
    <row r="2603" customFormat="false" ht="15" hidden="false" customHeight="true" outlineLevel="0" collapsed="false">
      <c r="C2603" s="155"/>
      <c r="D2603" s="156"/>
      <c r="F2603" s="157"/>
      <c r="G2603" s="73"/>
      <c r="H2603" s="165"/>
      <c r="I2603" s="165"/>
      <c r="J2603" s="158"/>
      <c r="K2603" s="159"/>
      <c r="L2603" s="166"/>
      <c r="M2603" s="167"/>
      <c r="N2603" s="168"/>
      <c r="O2603" s="163"/>
      <c r="P2603" s="163"/>
      <c r="Q2603" s="158"/>
      <c r="R2603" s="5"/>
      <c r="S2603" s="169"/>
      <c r="T2603" s="158"/>
      <c r="U2603" s="35"/>
      <c r="V2603" s="164"/>
    </row>
    <row r="2604" customFormat="false" ht="15" hidden="false" customHeight="true" outlineLevel="0" collapsed="false">
      <c r="B2604" s="5"/>
      <c r="C2604" s="155"/>
      <c r="D2604" s="156"/>
      <c r="F2604" s="170"/>
      <c r="G2604" s="5"/>
      <c r="H2604" s="5"/>
      <c r="I2604" s="5"/>
      <c r="J2604" s="158"/>
      <c r="K2604" s="163"/>
      <c r="L2604" s="160"/>
      <c r="M2604" s="174"/>
      <c r="N2604" s="168"/>
      <c r="O2604" s="163"/>
      <c r="P2604" s="160"/>
      <c r="Q2604" s="175"/>
      <c r="R2604" s="5"/>
      <c r="S2604" s="5"/>
      <c r="T2604" s="5"/>
      <c r="U2604" s="165"/>
      <c r="V2604" s="164"/>
      <c r="W2604" s="116"/>
      <c r="X2604" s="116"/>
      <c r="Y2604" s="116"/>
    </row>
    <row r="2605" customFormat="false" ht="15" hidden="false" customHeight="true" outlineLevel="0" collapsed="false">
      <c r="B2605" s="5"/>
      <c r="C2605" s="155"/>
      <c r="D2605" s="156"/>
      <c r="F2605" s="170"/>
      <c r="G2605" s="5"/>
      <c r="H2605" s="5"/>
      <c r="I2605" s="5"/>
      <c r="J2605" s="158"/>
      <c r="K2605" s="163"/>
      <c r="L2605" s="160"/>
      <c r="M2605" s="174"/>
      <c r="N2605" s="168"/>
      <c r="O2605" s="163"/>
      <c r="P2605" s="160"/>
      <c r="Q2605" s="175"/>
      <c r="R2605" s="5"/>
      <c r="S2605" s="5"/>
      <c r="T2605" s="5"/>
      <c r="U2605" s="35"/>
      <c r="V2605" s="171"/>
      <c r="W2605" s="170"/>
      <c r="X2605" s="176"/>
    </row>
    <row r="2606" customFormat="false" ht="15" hidden="false" customHeight="true" outlineLevel="0" collapsed="false">
      <c r="B2606" s="5"/>
      <c r="C2606" s="155"/>
      <c r="D2606" s="156"/>
      <c r="F2606" s="170"/>
      <c r="G2606" s="5"/>
      <c r="H2606" s="5"/>
      <c r="I2606" s="5"/>
      <c r="J2606" s="158"/>
      <c r="K2606" s="159"/>
      <c r="L2606" s="160"/>
      <c r="M2606" s="178"/>
      <c r="N2606" s="162"/>
      <c r="O2606" s="163"/>
      <c r="P2606" s="163"/>
      <c r="Q2606" s="5"/>
      <c r="R2606" s="5"/>
      <c r="S2606" s="5"/>
      <c r="T2606" s="5"/>
      <c r="U2606" s="35"/>
      <c r="V2606" s="171"/>
    </row>
    <row r="2607" customFormat="false" ht="15" hidden="false" customHeight="true" outlineLevel="0" collapsed="false">
      <c r="B2607" s="5"/>
      <c r="C2607" s="155"/>
      <c r="D2607" s="156"/>
      <c r="F2607" s="170"/>
      <c r="G2607" s="5"/>
      <c r="H2607" s="5"/>
      <c r="I2607" s="5"/>
      <c r="J2607" s="158"/>
      <c r="K2607" s="159"/>
      <c r="L2607" s="160"/>
      <c r="M2607" s="174"/>
      <c r="N2607" s="168"/>
      <c r="O2607" s="163"/>
      <c r="P2607" s="160"/>
      <c r="Q2607" s="5"/>
      <c r="R2607" s="5"/>
      <c r="S2607" s="5"/>
      <c r="T2607" s="5"/>
      <c r="U2607" s="35"/>
      <c r="V2607" s="171"/>
    </row>
    <row r="2608" customFormat="false" ht="15" hidden="false" customHeight="true" outlineLevel="0" collapsed="false">
      <c r="B2608" s="5"/>
      <c r="C2608" s="155"/>
      <c r="D2608" s="156"/>
      <c r="F2608" s="170"/>
      <c r="G2608" s="5"/>
      <c r="H2608" s="5"/>
      <c r="I2608" s="5"/>
      <c r="J2608" s="158"/>
      <c r="K2608" s="159"/>
      <c r="L2608" s="160"/>
      <c r="M2608" s="174"/>
      <c r="N2608" s="168"/>
      <c r="O2608" s="163"/>
      <c r="P2608" s="160"/>
      <c r="Q2608" s="5"/>
      <c r="R2608" s="5"/>
      <c r="S2608" s="5"/>
      <c r="T2608" s="5"/>
      <c r="U2608" s="35"/>
      <c r="V2608" s="171"/>
    </row>
    <row r="2609" customFormat="false" ht="15" hidden="false" customHeight="true" outlineLevel="0" collapsed="false">
      <c r="B2609" s="5"/>
      <c r="C2609" s="155"/>
      <c r="D2609" s="156"/>
      <c r="F2609" s="157"/>
      <c r="G2609" s="5"/>
      <c r="H2609" s="5"/>
      <c r="I2609" s="5"/>
      <c r="J2609" s="158"/>
      <c r="K2609" s="159"/>
      <c r="L2609" s="160"/>
      <c r="M2609" s="177"/>
      <c r="N2609" s="162"/>
      <c r="O2609" s="163"/>
      <c r="P2609" s="163"/>
      <c r="Q2609" s="158"/>
      <c r="R2609" s="5"/>
      <c r="S2609" s="5"/>
      <c r="T2609" s="5"/>
      <c r="U2609" s="35"/>
      <c r="V2609" s="171"/>
    </row>
    <row r="2610" customFormat="false" ht="15" hidden="false" customHeight="true" outlineLevel="0" collapsed="false">
      <c r="B2610" s="5"/>
      <c r="C2610" s="155"/>
      <c r="D2610" s="156"/>
      <c r="F2610" s="157"/>
      <c r="G2610" s="5"/>
      <c r="H2610" s="5"/>
      <c r="I2610" s="5"/>
      <c r="J2610" s="158"/>
      <c r="K2610" s="159"/>
      <c r="L2610" s="160"/>
      <c r="M2610" s="161"/>
      <c r="N2610" s="162"/>
      <c r="O2610" s="163"/>
      <c r="P2610" s="163"/>
      <c r="Q2610" s="158"/>
      <c r="R2610" s="5"/>
      <c r="S2610" s="5"/>
      <c r="T2610" s="5"/>
      <c r="U2610" s="35"/>
      <c r="V2610" s="171"/>
    </row>
    <row r="2611" customFormat="false" ht="15" hidden="false" customHeight="true" outlineLevel="0" collapsed="false">
      <c r="B2611" s="5"/>
      <c r="C2611" s="155"/>
      <c r="D2611" s="156"/>
      <c r="F2611" s="157"/>
      <c r="G2611" s="5"/>
      <c r="H2611" s="5"/>
      <c r="I2611" s="5"/>
      <c r="J2611" s="179"/>
      <c r="K2611" s="159"/>
      <c r="L2611" s="160"/>
      <c r="M2611" s="161"/>
      <c r="N2611" s="162"/>
      <c r="O2611" s="163"/>
      <c r="P2611" s="163"/>
      <c r="Q2611" s="158"/>
      <c r="R2611" s="5"/>
      <c r="S2611" s="5"/>
      <c r="T2611" s="5"/>
      <c r="U2611" s="35"/>
      <c r="V2611" s="164"/>
    </row>
    <row r="2612" customFormat="false" ht="15" hidden="false" customHeight="true" outlineLevel="0" collapsed="false">
      <c r="B2612" s="5"/>
      <c r="C2612" s="155"/>
      <c r="D2612" s="156"/>
      <c r="F2612" s="157"/>
      <c r="G2612" s="5"/>
      <c r="H2612" s="5"/>
      <c r="I2612" s="5"/>
      <c r="J2612" s="158"/>
      <c r="K2612" s="159"/>
      <c r="L2612" s="160"/>
      <c r="M2612" s="161"/>
      <c r="N2612" s="162"/>
      <c r="O2612" s="163"/>
      <c r="P2612" s="163"/>
      <c r="Q2612" s="158"/>
      <c r="R2612" s="5"/>
      <c r="S2612" s="5"/>
      <c r="T2612" s="5"/>
      <c r="U2612" s="35"/>
      <c r="V2612" s="164"/>
    </row>
    <row r="2613" customFormat="false" ht="15" hidden="false" customHeight="true" outlineLevel="0" collapsed="false">
      <c r="B2613" s="5"/>
      <c r="C2613" s="155"/>
      <c r="D2613" s="156"/>
      <c r="F2613" s="157"/>
      <c r="G2613" s="5"/>
      <c r="H2613" s="5"/>
      <c r="I2613" s="5"/>
      <c r="J2613" s="158"/>
      <c r="K2613" s="159"/>
      <c r="L2613" s="160"/>
      <c r="M2613" s="161"/>
      <c r="N2613" s="162"/>
      <c r="O2613" s="163"/>
      <c r="P2613" s="163"/>
      <c r="Q2613" s="158"/>
      <c r="R2613" s="5"/>
      <c r="S2613" s="5"/>
      <c r="T2613" s="5"/>
      <c r="U2613" s="35"/>
      <c r="V2613" s="164"/>
    </row>
    <row r="2614" customFormat="false" ht="15" hidden="false" customHeight="true" outlineLevel="0" collapsed="false">
      <c r="B2614" s="5"/>
      <c r="C2614" s="155"/>
      <c r="D2614" s="156"/>
      <c r="F2614" s="157"/>
      <c r="G2614" s="5"/>
      <c r="H2614" s="5"/>
      <c r="I2614" s="5"/>
      <c r="J2614" s="158"/>
      <c r="K2614" s="159"/>
      <c r="L2614" s="160"/>
      <c r="M2614" s="161"/>
      <c r="N2614" s="162"/>
      <c r="O2614" s="163"/>
      <c r="P2614" s="163"/>
      <c r="Q2614" s="158"/>
      <c r="R2614" s="5"/>
      <c r="S2614" s="5"/>
      <c r="T2614" s="5"/>
      <c r="U2614" s="35"/>
      <c r="V2614" s="164"/>
    </row>
    <row r="2615" customFormat="false" ht="15" hidden="false" customHeight="true" outlineLevel="0" collapsed="false">
      <c r="C2615" s="155"/>
      <c r="D2615" s="156"/>
      <c r="F2615" s="157"/>
      <c r="G2615" s="5"/>
      <c r="H2615" s="165"/>
      <c r="I2615" s="165"/>
      <c r="J2615" s="158"/>
      <c r="K2615" s="159"/>
      <c r="L2615" s="166"/>
      <c r="M2615" s="167"/>
      <c r="N2615" s="168"/>
      <c r="O2615" s="163"/>
      <c r="P2615" s="163"/>
      <c r="Q2615" s="158"/>
      <c r="R2615" s="5"/>
      <c r="S2615" s="169"/>
      <c r="T2615" s="158"/>
      <c r="U2615" s="35"/>
      <c r="V2615" s="164"/>
    </row>
    <row r="2616" customFormat="false" ht="15" hidden="false" customHeight="true" outlineLevel="0" collapsed="false">
      <c r="C2616" s="155"/>
      <c r="D2616" s="156"/>
      <c r="F2616" s="157"/>
      <c r="G2616" s="5"/>
      <c r="H2616" s="165"/>
      <c r="I2616" s="165"/>
      <c r="J2616" s="179"/>
      <c r="K2616" s="159"/>
      <c r="L2616" s="166"/>
      <c r="M2616" s="167"/>
      <c r="N2616" s="168"/>
      <c r="O2616" s="163"/>
      <c r="P2616" s="163"/>
      <c r="Q2616" s="158"/>
      <c r="R2616" s="5"/>
      <c r="S2616" s="169"/>
      <c r="T2616" s="158"/>
      <c r="U2616" s="35"/>
      <c r="V2616" s="164"/>
    </row>
    <row r="2617" customFormat="false" ht="15" hidden="false" customHeight="true" outlineLevel="0" collapsed="false">
      <c r="C2617" s="155"/>
      <c r="D2617" s="156"/>
      <c r="F2617" s="157"/>
      <c r="G2617" s="5"/>
      <c r="H2617" s="165"/>
      <c r="I2617" s="165"/>
      <c r="J2617" s="158"/>
      <c r="K2617" s="159"/>
      <c r="L2617" s="166"/>
      <c r="M2617" s="167"/>
      <c r="N2617" s="168"/>
      <c r="O2617" s="163"/>
      <c r="P2617" s="163"/>
      <c r="Q2617" s="158"/>
      <c r="R2617" s="5"/>
      <c r="S2617" s="169"/>
      <c r="T2617" s="158"/>
      <c r="U2617" s="35"/>
      <c r="V2617" s="164"/>
    </row>
    <row r="2618" customFormat="false" ht="15" hidden="false" customHeight="true" outlineLevel="0" collapsed="false">
      <c r="B2618" s="5"/>
      <c r="C2618" s="155"/>
      <c r="D2618" s="156"/>
      <c r="F2618" s="170"/>
      <c r="G2618" s="5"/>
      <c r="H2618" s="5"/>
      <c r="I2618" s="5"/>
      <c r="J2618" s="158"/>
      <c r="K2618" s="163"/>
      <c r="L2618" s="160"/>
      <c r="M2618" s="174"/>
      <c r="N2618" s="168"/>
      <c r="O2618" s="163"/>
      <c r="P2618" s="160"/>
      <c r="Q2618" s="175"/>
      <c r="R2618" s="5"/>
      <c r="S2618" s="5"/>
      <c r="T2618" s="5"/>
      <c r="U2618" s="35"/>
      <c r="V2618" s="171"/>
      <c r="W2618" s="116"/>
      <c r="X2618" s="116"/>
      <c r="Y2618" s="116"/>
    </row>
    <row r="2619" customFormat="false" ht="15" hidden="false" customHeight="true" outlineLevel="0" collapsed="false">
      <c r="B2619" s="5"/>
      <c r="C2619" s="155"/>
      <c r="D2619" s="156"/>
      <c r="F2619" s="170"/>
      <c r="G2619" s="5"/>
      <c r="H2619" s="5"/>
      <c r="I2619" s="5"/>
      <c r="J2619" s="158"/>
      <c r="K2619" s="159"/>
      <c r="L2619" s="160"/>
      <c r="M2619" s="174"/>
      <c r="N2619" s="168"/>
      <c r="O2619" s="163"/>
      <c r="P2619" s="160"/>
      <c r="Q2619" s="175"/>
      <c r="R2619" s="5"/>
      <c r="S2619" s="5"/>
      <c r="T2619" s="5"/>
      <c r="U2619" s="35"/>
      <c r="V2619" s="171"/>
    </row>
    <row r="2620" customFormat="false" ht="15" hidden="false" customHeight="true" outlineLevel="0" collapsed="false">
      <c r="B2620" s="5"/>
      <c r="C2620" s="155"/>
      <c r="D2620" s="156"/>
      <c r="F2620" s="170"/>
      <c r="G2620" s="5"/>
      <c r="H2620" s="5"/>
      <c r="I2620" s="5"/>
      <c r="J2620" s="158"/>
      <c r="K2620" s="159"/>
      <c r="L2620" s="160"/>
      <c r="M2620" s="161"/>
      <c r="N2620" s="162"/>
      <c r="O2620" s="163"/>
      <c r="P2620" s="163"/>
      <c r="Q2620" s="180"/>
      <c r="R2620" s="5"/>
      <c r="S2620" s="5"/>
      <c r="T2620" s="5"/>
      <c r="U2620" s="35"/>
      <c r="V2620" s="171"/>
      <c r="W2620" s="172"/>
      <c r="X2620" s="173"/>
    </row>
    <row r="2621" customFormat="false" ht="15" hidden="false" customHeight="true" outlineLevel="0" collapsed="false">
      <c r="C2621" s="155"/>
      <c r="D2621" s="156"/>
      <c r="F2621" s="157"/>
      <c r="G2621" s="5"/>
      <c r="H2621" s="165"/>
      <c r="I2621" s="165"/>
      <c r="J2621" s="158"/>
      <c r="K2621" s="159"/>
      <c r="L2621" s="166"/>
      <c r="M2621" s="167"/>
      <c r="N2621" s="168"/>
      <c r="O2621" s="163"/>
      <c r="P2621" s="163"/>
      <c r="Q2621" s="158"/>
      <c r="R2621" s="5"/>
      <c r="S2621" s="169"/>
      <c r="T2621" s="158"/>
      <c r="U2621" s="35"/>
      <c r="V2621" s="164"/>
    </row>
    <row r="2622" customFormat="false" ht="15" hidden="false" customHeight="true" outlineLevel="0" collapsed="false">
      <c r="B2622" s="5"/>
      <c r="C2622" s="155"/>
      <c r="D2622" s="156"/>
      <c r="F2622" s="170"/>
      <c r="G2622" s="5"/>
      <c r="H2622" s="5"/>
      <c r="I2622" s="5"/>
      <c r="J2622" s="158"/>
      <c r="K2622" s="163"/>
      <c r="L2622" s="160"/>
      <c r="M2622" s="174"/>
      <c r="N2622" s="168"/>
      <c r="O2622" s="163"/>
      <c r="P2622" s="160"/>
      <c r="Q2622" s="175"/>
      <c r="R2622" s="5"/>
      <c r="S2622" s="5"/>
      <c r="T2622" s="5"/>
      <c r="U2622" s="165"/>
      <c r="V2622" s="171"/>
      <c r="W2622" s="116"/>
      <c r="X2622" s="116"/>
      <c r="Y2622" s="116"/>
    </row>
    <row r="2623" customFormat="false" ht="15" hidden="false" customHeight="true" outlineLevel="0" collapsed="false">
      <c r="B2623" s="5"/>
      <c r="C2623" s="155"/>
      <c r="D2623" s="156"/>
      <c r="F2623" s="170"/>
      <c r="G2623" s="5"/>
      <c r="H2623" s="5"/>
      <c r="I2623" s="5"/>
      <c r="J2623" s="158"/>
      <c r="K2623" s="159"/>
      <c r="L2623" s="160"/>
      <c r="M2623" s="178"/>
      <c r="N2623" s="162"/>
      <c r="O2623" s="163"/>
      <c r="P2623" s="163"/>
      <c r="Q2623" s="5"/>
      <c r="R2623" s="5"/>
      <c r="S2623" s="5"/>
      <c r="T2623" s="5"/>
      <c r="U2623" s="35"/>
      <c r="V2623" s="171"/>
      <c r="W2623" s="172"/>
      <c r="X2623" s="173"/>
    </row>
    <row r="2624" customFormat="false" ht="15" hidden="false" customHeight="true" outlineLevel="0" collapsed="false">
      <c r="B2624" s="5"/>
      <c r="C2624" s="155"/>
      <c r="D2624" s="156"/>
      <c r="F2624" s="170"/>
      <c r="G2624" s="5"/>
      <c r="H2624" s="5"/>
      <c r="I2624" s="5"/>
      <c r="J2624" s="158"/>
      <c r="K2624" s="159"/>
      <c r="L2624" s="160"/>
      <c r="M2624" s="174"/>
      <c r="N2624" s="168"/>
      <c r="O2624" s="163"/>
      <c r="P2624" s="160"/>
      <c r="Q2624" s="5"/>
      <c r="R2624" s="5"/>
      <c r="S2624" s="5"/>
      <c r="T2624" s="5"/>
      <c r="U2624" s="35"/>
      <c r="V2624" s="171"/>
    </row>
    <row r="2625" customFormat="false" ht="15" hidden="false" customHeight="true" outlineLevel="0" collapsed="false">
      <c r="C2625" s="155"/>
      <c r="D2625" s="156"/>
      <c r="F2625" s="157"/>
      <c r="G2625" s="5"/>
      <c r="H2625" s="165"/>
      <c r="I2625" s="165"/>
      <c r="J2625" s="158"/>
      <c r="K2625" s="159"/>
      <c r="L2625" s="166"/>
      <c r="M2625" s="167"/>
      <c r="N2625" s="168"/>
      <c r="O2625" s="163"/>
      <c r="P2625" s="163"/>
      <c r="Q2625" s="158"/>
      <c r="R2625" s="5"/>
      <c r="S2625" s="169"/>
      <c r="T2625" s="158"/>
      <c r="U2625" s="35"/>
      <c r="V2625" s="164"/>
    </row>
    <row r="2626" customFormat="false" ht="15" hidden="false" customHeight="true" outlineLevel="0" collapsed="false">
      <c r="B2626" s="5"/>
      <c r="C2626" s="155"/>
      <c r="D2626" s="156"/>
      <c r="F2626" s="170"/>
      <c r="G2626" s="5"/>
      <c r="H2626" s="5"/>
      <c r="I2626" s="5"/>
      <c r="J2626" s="158"/>
      <c r="K2626" s="181"/>
      <c r="L2626" s="182"/>
      <c r="M2626" s="161"/>
      <c r="N2626" s="162"/>
      <c r="O2626" s="163"/>
      <c r="P2626" s="163"/>
      <c r="Q2626" s="180"/>
      <c r="R2626" s="5"/>
      <c r="S2626" s="5"/>
      <c r="T2626" s="5"/>
      <c r="U2626" s="35"/>
      <c r="V2626" s="171"/>
      <c r="W2626" s="172"/>
      <c r="X2626" s="173"/>
    </row>
    <row r="2627" customFormat="false" ht="15" hidden="false" customHeight="true" outlineLevel="0" collapsed="false">
      <c r="B2627" s="5"/>
      <c r="C2627" s="155"/>
      <c r="D2627" s="156"/>
      <c r="F2627" s="157"/>
      <c r="G2627" s="5"/>
      <c r="H2627" s="5"/>
      <c r="I2627" s="5"/>
      <c r="J2627" s="158"/>
      <c r="K2627" s="159"/>
      <c r="L2627" s="160"/>
      <c r="M2627" s="177"/>
      <c r="N2627" s="162"/>
      <c r="O2627" s="163"/>
      <c r="P2627" s="163"/>
      <c r="Q2627" s="158"/>
      <c r="R2627" s="5"/>
      <c r="S2627" s="5"/>
      <c r="T2627" s="5"/>
      <c r="U2627" s="35"/>
      <c r="V2627" s="171"/>
    </row>
    <row r="2628" customFormat="false" ht="15" hidden="false" customHeight="true" outlineLevel="0" collapsed="false">
      <c r="B2628" s="5"/>
      <c r="C2628" s="155"/>
      <c r="D2628" s="156"/>
      <c r="F2628" s="157"/>
      <c r="G2628" s="5"/>
      <c r="H2628" s="5"/>
      <c r="I2628" s="5"/>
      <c r="J2628" s="158"/>
      <c r="K2628" s="159"/>
      <c r="L2628" s="160"/>
      <c r="M2628" s="161"/>
      <c r="N2628" s="162"/>
      <c r="O2628" s="163"/>
      <c r="P2628" s="163"/>
      <c r="Q2628" s="158"/>
      <c r="R2628" s="5"/>
      <c r="S2628" s="5"/>
      <c r="T2628" s="5"/>
      <c r="U2628" s="35"/>
      <c r="V2628" s="171"/>
    </row>
    <row r="2629" customFormat="false" ht="15" hidden="false" customHeight="true" outlineLevel="0" collapsed="false">
      <c r="B2629" s="5"/>
      <c r="C2629" s="155"/>
      <c r="D2629" s="156"/>
      <c r="F2629" s="157"/>
      <c r="G2629" s="5"/>
      <c r="H2629" s="5"/>
      <c r="I2629" s="5"/>
      <c r="J2629" s="158"/>
      <c r="K2629" s="159"/>
      <c r="L2629" s="160"/>
      <c r="M2629" s="177"/>
      <c r="N2629" s="162"/>
      <c r="O2629" s="163"/>
      <c r="P2629" s="163"/>
      <c r="Q2629" s="158"/>
      <c r="R2629" s="5"/>
      <c r="S2629" s="5"/>
      <c r="T2629" s="5"/>
      <c r="U2629" s="35"/>
      <c r="V2629" s="171"/>
    </row>
    <row r="2630" customFormat="false" ht="15" hidden="false" customHeight="true" outlineLevel="0" collapsed="false">
      <c r="B2630" s="5"/>
      <c r="C2630" s="155"/>
      <c r="D2630" s="156"/>
      <c r="F2630" s="170"/>
      <c r="G2630" s="5"/>
      <c r="H2630" s="5"/>
      <c r="I2630" s="5"/>
      <c r="J2630" s="158"/>
      <c r="K2630" s="163"/>
      <c r="L2630" s="160"/>
      <c r="M2630" s="174"/>
      <c r="N2630" s="168"/>
      <c r="O2630" s="163"/>
      <c r="P2630" s="160"/>
      <c r="Q2630" s="175"/>
      <c r="R2630" s="5"/>
      <c r="S2630" s="5"/>
      <c r="T2630" s="5"/>
      <c r="U2630" s="35"/>
      <c r="V2630" s="171"/>
      <c r="W2630" s="170"/>
      <c r="X2630" s="176"/>
    </row>
    <row r="2631" customFormat="false" ht="15" hidden="false" customHeight="true" outlineLevel="0" collapsed="false">
      <c r="B2631" s="5"/>
      <c r="C2631" s="155"/>
      <c r="D2631" s="156"/>
      <c r="F2631" s="170"/>
      <c r="G2631" s="5"/>
      <c r="H2631" s="5"/>
      <c r="I2631" s="5"/>
      <c r="J2631" s="158"/>
      <c r="K2631" s="163"/>
      <c r="L2631" s="160"/>
      <c r="M2631" s="174"/>
      <c r="N2631" s="168"/>
      <c r="O2631" s="163"/>
      <c r="P2631" s="160"/>
      <c r="Q2631" s="175"/>
      <c r="R2631" s="5"/>
      <c r="S2631" s="5"/>
      <c r="T2631" s="5"/>
      <c r="U2631" s="35"/>
      <c r="V2631" s="171"/>
      <c r="W2631" s="116"/>
      <c r="X2631" s="116"/>
      <c r="Y2631" s="116"/>
    </row>
    <row r="2632" customFormat="false" ht="15" hidden="false" customHeight="true" outlineLevel="0" collapsed="false">
      <c r="B2632" s="5"/>
      <c r="C2632" s="155"/>
      <c r="D2632" s="156"/>
      <c r="F2632" s="157"/>
      <c r="G2632" s="5"/>
      <c r="H2632" s="5"/>
      <c r="I2632" s="5"/>
      <c r="J2632" s="158"/>
      <c r="K2632" s="159"/>
      <c r="L2632" s="160"/>
      <c r="M2632" s="161"/>
      <c r="N2632" s="162"/>
      <c r="O2632" s="163"/>
      <c r="P2632" s="163"/>
      <c r="Q2632" s="158"/>
      <c r="R2632" s="5"/>
      <c r="S2632" s="5"/>
      <c r="T2632" s="5"/>
      <c r="U2632" s="35"/>
      <c r="V2632" s="171"/>
    </row>
    <row r="2633" customFormat="false" ht="15" hidden="false" customHeight="true" outlineLevel="0" collapsed="false">
      <c r="C2633" s="155"/>
      <c r="D2633" s="156"/>
      <c r="F2633" s="157"/>
      <c r="G2633" s="5"/>
      <c r="H2633" s="165"/>
      <c r="I2633" s="165"/>
      <c r="J2633" s="158"/>
      <c r="K2633" s="159"/>
      <c r="L2633" s="166"/>
      <c r="M2633" s="167"/>
      <c r="N2633" s="168"/>
      <c r="O2633" s="163"/>
      <c r="P2633" s="163"/>
      <c r="Q2633" s="158"/>
      <c r="R2633" s="5"/>
      <c r="S2633" s="169"/>
      <c r="T2633" s="158"/>
      <c r="U2633" s="35"/>
      <c r="V2633" s="164"/>
    </row>
    <row r="2634" customFormat="false" ht="15" hidden="false" customHeight="true" outlineLevel="0" collapsed="false">
      <c r="C2634" s="155"/>
      <c r="D2634" s="156"/>
      <c r="F2634" s="157"/>
      <c r="G2634" s="5"/>
      <c r="H2634" s="165"/>
      <c r="I2634" s="165"/>
      <c r="J2634" s="158"/>
      <c r="K2634" s="159"/>
      <c r="L2634" s="166"/>
      <c r="M2634" s="167"/>
      <c r="N2634" s="168"/>
      <c r="O2634" s="163"/>
      <c r="P2634" s="163"/>
      <c r="Q2634" s="158"/>
      <c r="R2634" s="5"/>
      <c r="S2634" s="169"/>
      <c r="T2634" s="158"/>
      <c r="U2634" s="35"/>
      <c r="V2634" s="164"/>
    </row>
    <row r="2635" customFormat="false" ht="15" hidden="false" customHeight="true" outlineLevel="0" collapsed="false">
      <c r="C2635" s="155"/>
      <c r="D2635" s="156"/>
      <c r="F2635" s="157"/>
      <c r="G2635" s="5"/>
      <c r="H2635" s="165"/>
      <c r="I2635" s="165"/>
      <c r="J2635" s="158"/>
      <c r="K2635" s="159"/>
      <c r="L2635" s="166"/>
      <c r="M2635" s="167"/>
      <c r="N2635" s="168"/>
      <c r="O2635" s="163"/>
      <c r="P2635" s="163"/>
      <c r="Q2635" s="158"/>
      <c r="R2635" s="5"/>
      <c r="S2635" s="169"/>
      <c r="T2635" s="158"/>
      <c r="U2635" s="35"/>
      <c r="V2635" s="164"/>
    </row>
    <row r="2636" customFormat="false" ht="15" hidden="false" customHeight="true" outlineLevel="0" collapsed="false">
      <c r="C2636" s="155"/>
      <c r="D2636" s="156"/>
      <c r="F2636" s="157"/>
      <c r="G2636" s="5"/>
      <c r="H2636" s="165"/>
      <c r="I2636" s="165"/>
      <c r="J2636" s="158"/>
      <c r="K2636" s="159"/>
      <c r="L2636" s="166"/>
      <c r="M2636" s="167"/>
      <c r="N2636" s="168"/>
      <c r="O2636" s="163"/>
      <c r="P2636" s="163"/>
      <c r="Q2636" s="158"/>
      <c r="R2636" s="5"/>
      <c r="S2636" s="169"/>
      <c r="T2636" s="158"/>
      <c r="U2636" s="35"/>
      <c r="V2636" s="164"/>
    </row>
    <row r="2637" customFormat="false" ht="15" hidden="false" customHeight="true" outlineLevel="0" collapsed="false">
      <c r="C2637" s="155"/>
      <c r="D2637" s="156"/>
      <c r="F2637" s="183"/>
      <c r="G2637" s="180"/>
      <c r="H2637" s="184"/>
      <c r="I2637" s="165"/>
      <c r="J2637" s="158"/>
      <c r="K2637" s="159"/>
      <c r="L2637" s="166"/>
      <c r="M2637" s="167"/>
      <c r="N2637" s="168"/>
      <c r="O2637" s="163"/>
      <c r="P2637" s="163"/>
      <c r="Q2637" s="158"/>
      <c r="R2637" s="5"/>
      <c r="S2637" s="169"/>
      <c r="T2637" s="158"/>
      <c r="U2637" s="35"/>
      <c r="V2637" s="164"/>
    </row>
    <row r="2638" customFormat="false" ht="15" hidden="false" customHeight="true" outlineLevel="0" collapsed="false">
      <c r="C2638" s="155"/>
      <c r="D2638" s="156"/>
      <c r="F2638" s="183"/>
      <c r="G2638" s="180"/>
      <c r="H2638" s="184"/>
      <c r="I2638" s="165"/>
      <c r="J2638" s="158"/>
      <c r="K2638" s="159"/>
      <c r="L2638" s="166"/>
      <c r="M2638" s="167"/>
      <c r="N2638" s="168"/>
      <c r="O2638" s="163"/>
      <c r="P2638" s="163"/>
      <c r="Q2638" s="158"/>
      <c r="R2638" s="5"/>
      <c r="S2638" s="169"/>
      <c r="T2638" s="158"/>
      <c r="U2638" s="35"/>
      <c r="V2638" s="164"/>
    </row>
    <row r="2639" customFormat="false" ht="15" hidden="false" customHeight="true" outlineLevel="0" collapsed="false">
      <c r="B2639" s="5"/>
      <c r="C2639" s="155"/>
      <c r="D2639" s="156"/>
      <c r="F2639" s="170"/>
      <c r="G2639" s="5"/>
      <c r="H2639" s="5"/>
      <c r="I2639" s="5"/>
      <c r="J2639" s="158"/>
      <c r="K2639" s="163"/>
      <c r="L2639" s="160"/>
      <c r="M2639" s="174"/>
      <c r="N2639" s="168"/>
      <c r="O2639" s="163"/>
      <c r="P2639" s="160"/>
      <c r="Q2639" s="175"/>
      <c r="R2639" s="5"/>
      <c r="S2639" s="5"/>
      <c r="T2639" s="5"/>
      <c r="U2639" s="35"/>
      <c r="V2639" s="171"/>
      <c r="W2639" s="116"/>
      <c r="X2639" s="116"/>
      <c r="Y2639" s="116"/>
    </row>
    <row r="2640" customFormat="false" ht="15" hidden="false" customHeight="true" outlineLevel="0" collapsed="false">
      <c r="B2640" s="5"/>
      <c r="C2640" s="155"/>
      <c r="D2640" s="156"/>
      <c r="F2640" s="170"/>
      <c r="G2640" s="5"/>
      <c r="H2640" s="5"/>
      <c r="I2640" s="5"/>
      <c r="J2640" s="158"/>
      <c r="K2640" s="163"/>
      <c r="L2640" s="160"/>
      <c r="M2640" s="174"/>
      <c r="N2640" s="168"/>
      <c r="O2640" s="163"/>
      <c r="P2640" s="160"/>
      <c r="Q2640" s="175"/>
      <c r="R2640" s="5"/>
      <c r="S2640" s="5"/>
      <c r="T2640" s="5"/>
      <c r="U2640" s="35"/>
      <c r="V2640" s="171"/>
      <c r="W2640" s="170"/>
      <c r="X2640" s="176"/>
    </row>
    <row r="2641" customFormat="false" ht="15" hidden="false" customHeight="true" outlineLevel="0" collapsed="false">
      <c r="B2641" s="5"/>
      <c r="C2641" s="155"/>
      <c r="D2641" s="156"/>
      <c r="F2641" s="170"/>
      <c r="G2641" s="5"/>
      <c r="H2641" s="5"/>
      <c r="I2641" s="5"/>
      <c r="J2641" s="158"/>
      <c r="K2641" s="159"/>
      <c r="L2641" s="160"/>
      <c r="M2641" s="174"/>
      <c r="N2641" s="168"/>
      <c r="O2641" s="163"/>
      <c r="P2641" s="160"/>
      <c r="Q2641" s="180"/>
      <c r="R2641" s="5"/>
      <c r="S2641" s="5"/>
      <c r="T2641" s="5"/>
      <c r="U2641" s="35"/>
      <c r="V2641" s="171"/>
    </row>
    <row r="2642" customFormat="false" ht="15" hidden="false" customHeight="true" outlineLevel="0" collapsed="false">
      <c r="B2642" s="5"/>
      <c r="C2642" s="155"/>
      <c r="D2642" s="156"/>
      <c r="F2642" s="170"/>
      <c r="G2642" s="5"/>
      <c r="H2642" s="5"/>
      <c r="I2642" s="5"/>
      <c r="J2642" s="158"/>
      <c r="K2642" s="159"/>
      <c r="L2642" s="160"/>
      <c r="M2642" s="174"/>
      <c r="N2642" s="168"/>
      <c r="O2642" s="163"/>
      <c r="P2642" s="160"/>
      <c r="Q2642" s="180"/>
      <c r="R2642" s="5"/>
      <c r="S2642" s="5"/>
      <c r="T2642" s="5"/>
      <c r="U2642" s="35"/>
      <c r="V2642" s="171"/>
    </row>
    <row r="2643" customFormat="false" ht="15" hidden="false" customHeight="true" outlineLevel="0" collapsed="false">
      <c r="B2643" s="5"/>
      <c r="C2643" s="155"/>
      <c r="D2643" s="156"/>
      <c r="F2643" s="170"/>
      <c r="G2643" s="5"/>
      <c r="H2643" s="5"/>
      <c r="I2643" s="5"/>
      <c r="J2643" s="158"/>
      <c r="K2643" s="163"/>
      <c r="L2643" s="160"/>
      <c r="M2643" s="174"/>
      <c r="N2643" s="168"/>
      <c r="O2643" s="163"/>
      <c r="P2643" s="160"/>
      <c r="Q2643" s="175"/>
      <c r="R2643" s="5"/>
      <c r="S2643" s="5"/>
      <c r="T2643" s="5"/>
      <c r="U2643" s="165"/>
      <c r="V2643" s="164"/>
      <c r="W2643" s="116"/>
      <c r="X2643" s="116"/>
      <c r="Y2643" s="116"/>
    </row>
    <row r="2644" customFormat="false" ht="15" hidden="false" customHeight="true" outlineLevel="0" collapsed="false">
      <c r="B2644" s="5"/>
      <c r="C2644" s="155"/>
      <c r="D2644" s="156"/>
      <c r="F2644" s="170"/>
      <c r="G2644" s="5"/>
      <c r="H2644" s="5"/>
      <c r="I2644" s="5"/>
      <c r="J2644" s="158"/>
      <c r="K2644" s="163"/>
      <c r="L2644" s="160"/>
      <c r="M2644" s="174"/>
      <c r="N2644" s="168"/>
      <c r="O2644" s="163"/>
      <c r="P2644" s="160"/>
      <c r="Q2644" s="175"/>
      <c r="R2644" s="5"/>
      <c r="S2644" s="5"/>
      <c r="T2644" s="5"/>
      <c r="U2644" s="35"/>
      <c r="V2644" s="171"/>
      <c r="W2644" s="170"/>
      <c r="X2644" s="176"/>
    </row>
    <row r="2645" customFormat="false" ht="15" hidden="false" customHeight="true" outlineLevel="0" collapsed="false">
      <c r="B2645" s="5"/>
      <c r="C2645" s="155"/>
      <c r="D2645" s="156"/>
      <c r="F2645" s="170"/>
      <c r="G2645" s="5"/>
      <c r="H2645" s="5"/>
      <c r="I2645" s="5"/>
      <c r="J2645" s="158"/>
      <c r="K2645" s="163"/>
      <c r="L2645" s="160"/>
      <c r="M2645" s="174"/>
      <c r="N2645" s="168"/>
      <c r="O2645" s="163"/>
      <c r="P2645" s="160"/>
      <c r="Q2645" s="175"/>
      <c r="R2645" s="5"/>
      <c r="S2645" s="5"/>
      <c r="T2645" s="5"/>
      <c r="U2645" s="35"/>
      <c r="V2645" s="171"/>
      <c r="W2645" s="116"/>
    </row>
    <row r="2646" customFormat="false" ht="15" hidden="false" customHeight="true" outlineLevel="0" collapsed="false">
      <c r="B2646" s="5"/>
      <c r="C2646" s="155"/>
      <c r="D2646" s="156"/>
      <c r="F2646" s="157"/>
      <c r="G2646" s="5"/>
      <c r="H2646" s="5"/>
      <c r="I2646" s="5"/>
      <c r="J2646" s="158"/>
      <c r="K2646" s="159"/>
      <c r="L2646" s="160"/>
      <c r="M2646" s="161"/>
      <c r="N2646" s="162"/>
      <c r="O2646" s="163"/>
      <c r="P2646" s="163"/>
      <c r="Q2646" s="158"/>
      <c r="R2646" s="5"/>
      <c r="S2646" s="5"/>
      <c r="T2646" s="5"/>
      <c r="U2646" s="35"/>
      <c r="V2646" s="164"/>
    </row>
    <row r="2647" customFormat="false" ht="15" hidden="false" customHeight="true" outlineLevel="0" collapsed="false">
      <c r="B2647" s="5"/>
      <c r="C2647" s="155"/>
      <c r="D2647" s="156"/>
      <c r="F2647" s="157"/>
      <c r="G2647" s="5"/>
      <c r="H2647" s="5"/>
      <c r="I2647" s="5"/>
      <c r="J2647" s="158"/>
      <c r="K2647" s="159"/>
      <c r="L2647" s="160"/>
      <c r="M2647" s="161"/>
      <c r="N2647" s="162"/>
      <c r="O2647" s="163"/>
      <c r="P2647" s="163"/>
      <c r="Q2647" s="158"/>
      <c r="R2647" s="5"/>
      <c r="S2647" s="5"/>
      <c r="T2647" s="5"/>
      <c r="U2647" s="35"/>
      <c r="V2647" s="164"/>
    </row>
    <row r="2648" customFormat="false" ht="15" hidden="false" customHeight="true" outlineLevel="0" collapsed="false">
      <c r="B2648" s="5"/>
      <c r="C2648" s="155"/>
      <c r="D2648" s="156"/>
      <c r="F2648" s="170"/>
      <c r="G2648" s="5"/>
      <c r="H2648" s="5"/>
      <c r="I2648" s="5"/>
      <c r="J2648" s="158"/>
      <c r="K2648" s="163"/>
      <c r="L2648" s="160"/>
      <c r="M2648" s="174"/>
      <c r="N2648" s="168"/>
      <c r="O2648" s="163"/>
      <c r="P2648" s="160"/>
      <c r="Q2648" s="175"/>
      <c r="R2648" s="5"/>
      <c r="S2648" s="5"/>
      <c r="T2648" s="5"/>
      <c r="U2648" s="35"/>
      <c r="V2648" s="171"/>
      <c r="W2648" s="116"/>
      <c r="X2648" s="176"/>
    </row>
    <row r="2649" customFormat="false" ht="15" hidden="false" customHeight="true" outlineLevel="0" collapsed="false">
      <c r="B2649" s="5"/>
      <c r="C2649" s="155"/>
      <c r="D2649" s="156"/>
      <c r="F2649" s="157"/>
      <c r="G2649" s="5"/>
      <c r="H2649" s="5"/>
      <c r="I2649" s="5"/>
      <c r="J2649" s="158"/>
      <c r="K2649" s="159"/>
      <c r="L2649" s="160"/>
      <c r="M2649" s="161"/>
      <c r="N2649" s="162"/>
      <c r="O2649" s="163"/>
      <c r="P2649" s="163"/>
      <c r="Q2649" s="158"/>
      <c r="R2649" s="5"/>
      <c r="S2649" s="5"/>
      <c r="T2649" s="5"/>
      <c r="U2649" s="35"/>
      <c r="V2649" s="164"/>
    </row>
    <row r="2650" customFormat="false" ht="15" hidden="false" customHeight="true" outlineLevel="0" collapsed="false">
      <c r="B2650" s="5"/>
      <c r="C2650" s="155"/>
      <c r="D2650" s="156"/>
      <c r="F2650" s="157"/>
      <c r="G2650" s="5"/>
      <c r="H2650" s="5"/>
      <c r="I2650" s="5"/>
      <c r="J2650" s="158"/>
      <c r="K2650" s="159"/>
      <c r="L2650" s="160"/>
      <c r="M2650" s="161"/>
      <c r="N2650" s="162"/>
      <c r="O2650" s="163"/>
      <c r="P2650" s="163"/>
      <c r="Q2650" s="158"/>
      <c r="R2650" s="5"/>
      <c r="S2650" s="5"/>
      <c r="T2650" s="5"/>
      <c r="U2650" s="35"/>
      <c r="V2650" s="164"/>
    </row>
    <row r="2651" customFormat="false" ht="15" hidden="false" customHeight="true" outlineLevel="0" collapsed="false">
      <c r="C2651" s="155"/>
      <c r="D2651" s="156"/>
      <c r="F2651" s="157"/>
      <c r="G2651" s="5"/>
      <c r="H2651" s="165"/>
      <c r="I2651" s="165"/>
      <c r="J2651" s="158"/>
      <c r="K2651" s="159"/>
      <c r="L2651" s="166"/>
      <c r="M2651" s="167"/>
      <c r="N2651" s="168"/>
      <c r="O2651" s="163"/>
      <c r="P2651" s="163"/>
      <c r="Q2651" s="158"/>
      <c r="R2651" s="5"/>
      <c r="S2651" s="169"/>
      <c r="T2651" s="158"/>
      <c r="U2651" s="35"/>
      <c r="V2651" s="164"/>
    </row>
    <row r="2652" customFormat="false" ht="15" hidden="false" customHeight="true" outlineLevel="0" collapsed="false">
      <c r="C2652" s="155"/>
      <c r="D2652" s="156"/>
      <c r="F2652" s="157"/>
      <c r="G2652" s="5"/>
      <c r="H2652" s="165"/>
      <c r="I2652" s="165"/>
      <c r="J2652" s="158"/>
      <c r="K2652" s="159"/>
      <c r="L2652" s="166"/>
      <c r="M2652" s="167"/>
      <c r="N2652" s="168"/>
      <c r="O2652" s="163"/>
      <c r="P2652" s="163"/>
      <c r="Q2652" s="158"/>
      <c r="R2652" s="5"/>
      <c r="S2652" s="169"/>
      <c r="T2652" s="158"/>
      <c r="U2652" s="35"/>
      <c r="V2652" s="164"/>
    </row>
    <row r="2653" customFormat="false" ht="15" hidden="false" customHeight="true" outlineLevel="0" collapsed="false">
      <c r="C2653" s="155"/>
      <c r="D2653" s="156"/>
      <c r="F2653" s="157"/>
      <c r="G2653" s="5"/>
      <c r="H2653" s="165"/>
      <c r="I2653" s="165"/>
      <c r="J2653" s="158"/>
      <c r="K2653" s="159"/>
      <c r="L2653" s="166"/>
      <c r="M2653" s="167"/>
      <c r="N2653" s="168"/>
      <c r="O2653" s="163"/>
      <c r="P2653" s="163"/>
      <c r="Q2653" s="158"/>
      <c r="R2653" s="5"/>
      <c r="S2653" s="169"/>
      <c r="T2653" s="158"/>
      <c r="U2653" s="35"/>
      <c r="V2653" s="164"/>
    </row>
    <row r="2654" customFormat="false" ht="15" hidden="false" customHeight="true" outlineLevel="0" collapsed="false">
      <c r="B2654" s="5"/>
      <c r="C2654" s="155"/>
      <c r="D2654" s="156"/>
      <c r="F2654" s="170"/>
      <c r="G2654" s="5"/>
      <c r="H2654" s="5"/>
      <c r="I2654" s="5"/>
      <c r="J2654" s="158"/>
      <c r="K2654" s="163"/>
      <c r="L2654" s="160"/>
      <c r="M2654" s="174"/>
      <c r="N2654" s="168"/>
      <c r="O2654" s="163"/>
      <c r="P2654" s="160"/>
      <c r="Q2654" s="175"/>
      <c r="R2654" s="5"/>
      <c r="S2654" s="5"/>
      <c r="T2654" s="5"/>
      <c r="U2654" s="165"/>
      <c r="V2654" s="164"/>
      <c r="W2654" s="116"/>
      <c r="X2654" s="116"/>
      <c r="Y2654" s="116"/>
    </row>
    <row r="2655" customFormat="false" ht="15" hidden="false" customHeight="true" outlineLevel="0" collapsed="false">
      <c r="B2655" s="73"/>
      <c r="C2655" s="185"/>
      <c r="D2655" s="156"/>
      <c r="F2655" s="170"/>
      <c r="G2655" s="5"/>
      <c r="H2655" s="5"/>
      <c r="I2655" s="5"/>
      <c r="J2655" s="158"/>
      <c r="K2655" s="159"/>
      <c r="L2655" s="160"/>
      <c r="M2655" s="178"/>
      <c r="N2655" s="162"/>
      <c r="O2655" s="163"/>
      <c r="P2655" s="163"/>
      <c r="Q2655" s="5"/>
      <c r="R2655" s="5"/>
      <c r="S2655" s="5"/>
      <c r="T2655" s="5"/>
      <c r="U2655" s="35"/>
      <c r="V2655" s="171"/>
      <c r="W2655" s="172"/>
      <c r="X2655" s="173"/>
    </row>
    <row r="2656" customFormat="false" ht="15" hidden="false" customHeight="true" outlineLevel="0" collapsed="false">
      <c r="B2656" s="5"/>
      <c r="C2656" s="155"/>
      <c r="D2656" s="156"/>
      <c r="F2656" s="170"/>
      <c r="G2656" s="5"/>
      <c r="H2656" s="5"/>
      <c r="I2656" s="5"/>
      <c r="J2656" s="158"/>
      <c r="K2656" s="159"/>
      <c r="L2656" s="160"/>
      <c r="M2656" s="161"/>
      <c r="N2656" s="162"/>
      <c r="O2656" s="163"/>
      <c r="P2656" s="160"/>
      <c r="Q2656" s="5"/>
      <c r="R2656" s="5"/>
      <c r="S2656" s="5"/>
      <c r="T2656" s="5"/>
      <c r="U2656" s="35"/>
      <c r="V2656" s="171"/>
      <c r="W2656" s="172"/>
      <c r="X2656" s="173"/>
    </row>
    <row r="2657" customFormat="false" ht="15" hidden="false" customHeight="true" outlineLevel="0" collapsed="false">
      <c r="B2657" s="5"/>
      <c r="C2657" s="155"/>
      <c r="D2657" s="156"/>
      <c r="F2657" s="157"/>
      <c r="G2657" s="5"/>
      <c r="H2657" s="5"/>
      <c r="I2657" s="5"/>
      <c r="J2657" s="158"/>
      <c r="K2657" s="159"/>
      <c r="L2657" s="160"/>
      <c r="M2657" s="161"/>
      <c r="N2657" s="162"/>
      <c r="O2657" s="163"/>
      <c r="P2657" s="163"/>
      <c r="Q2657" s="158"/>
      <c r="R2657" s="5"/>
      <c r="S2657" s="5"/>
      <c r="T2657" s="5"/>
      <c r="U2657" s="35"/>
      <c r="V2657" s="164"/>
    </row>
    <row r="2658" customFormat="false" ht="15" hidden="false" customHeight="true" outlineLevel="0" collapsed="false">
      <c r="B2658" s="5"/>
      <c r="C2658" s="155"/>
      <c r="D2658" s="156"/>
      <c r="F2658" s="157"/>
      <c r="G2658" s="5"/>
      <c r="H2658" s="5"/>
      <c r="I2658" s="5"/>
      <c r="J2658" s="158"/>
      <c r="K2658" s="159"/>
      <c r="L2658" s="160"/>
      <c r="M2658" s="161"/>
      <c r="N2658" s="162"/>
      <c r="O2658" s="163"/>
      <c r="P2658" s="163"/>
      <c r="Q2658" s="158"/>
      <c r="R2658" s="5"/>
      <c r="S2658" s="5"/>
      <c r="T2658" s="5"/>
      <c r="U2658" s="35"/>
      <c r="V2658" s="164"/>
    </row>
    <row r="2659" customFormat="false" ht="15" hidden="false" customHeight="true" outlineLevel="0" collapsed="false">
      <c r="B2659" s="5"/>
      <c r="C2659" s="155"/>
      <c r="D2659" s="156"/>
      <c r="F2659" s="157"/>
      <c r="G2659" s="5"/>
      <c r="H2659" s="5"/>
      <c r="I2659" s="5"/>
      <c r="J2659" s="158"/>
      <c r="K2659" s="159"/>
      <c r="L2659" s="160"/>
      <c r="M2659" s="161"/>
      <c r="N2659" s="162"/>
      <c r="O2659" s="163"/>
      <c r="P2659" s="163"/>
      <c r="Q2659" s="158"/>
      <c r="R2659" s="5"/>
      <c r="S2659" s="5"/>
      <c r="T2659" s="5"/>
      <c r="U2659" s="35"/>
      <c r="V2659" s="164"/>
    </row>
    <row r="2660" customFormat="false" ht="15" hidden="false" customHeight="true" outlineLevel="0" collapsed="false">
      <c r="B2660" s="5"/>
      <c r="C2660" s="155"/>
      <c r="D2660" s="156"/>
      <c r="F2660" s="157"/>
      <c r="G2660" s="5"/>
      <c r="H2660" s="5"/>
      <c r="I2660" s="5"/>
      <c r="J2660" s="158"/>
      <c r="K2660" s="159"/>
      <c r="L2660" s="160"/>
      <c r="M2660" s="161"/>
      <c r="N2660" s="162"/>
      <c r="O2660" s="163"/>
      <c r="P2660" s="163"/>
      <c r="Q2660" s="158"/>
      <c r="R2660" s="5"/>
      <c r="S2660" s="5"/>
      <c r="T2660" s="5"/>
      <c r="U2660" s="35"/>
      <c r="V2660" s="164"/>
    </row>
    <row r="2661" customFormat="false" ht="15" hidden="false" customHeight="true" outlineLevel="0" collapsed="false">
      <c r="C2661" s="155"/>
      <c r="D2661" s="156"/>
      <c r="F2661" s="157"/>
      <c r="G2661" s="5"/>
      <c r="H2661" s="165"/>
      <c r="I2661" s="165"/>
      <c r="J2661" s="158"/>
      <c r="K2661" s="159"/>
      <c r="L2661" s="166"/>
      <c r="M2661" s="167"/>
      <c r="N2661" s="168"/>
      <c r="O2661" s="163"/>
      <c r="P2661" s="163"/>
      <c r="Q2661" s="158"/>
      <c r="R2661" s="5"/>
      <c r="S2661" s="169"/>
      <c r="T2661" s="158"/>
      <c r="U2661" s="35"/>
      <c r="V2661" s="164"/>
    </row>
    <row r="2662" customFormat="false" ht="15" hidden="false" customHeight="true" outlineLevel="0" collapsed="false">
      <c r="B2662" s="5"/>
      <c r="C2662" s="155"/>
      <c r="D2662" s="156"/>
      <c r="F2662" s="170"/>
      <c r="G2662" s="5"/>
      <c r="H2662" s="5"/>
      <c r="I2662" s="5"/>
      <c r="J2662" s="158"/>
      <c r="K2662" s="163"/>
      <c r="L2662" s="160"/>
      <c r="M2662" s="174"/>
      <c r="N2662" s="168"/>
      <c r="O2662" s="163"/>
      <c r="P2662" s="160"/>
      <c r="Q2662" s="175"/>
      <c r="R2662" s="5"/>
      <c r="S2662" s="5"/>
      <c r="T2662" s="5"/>
      <c r="U2662" s="165"/>
      <c r="V2662" s="171"/>
      <c r="W2662" s="116"/>
      <c r="X2662" s="116"/>
      <c r="Y2662" s="116"/>
    </row>
    <row r="2663" customFormat="false" ht="15" hidden="false" customHeight="true" outlineLevel="0" collapsed="false">
      <c r="B2663" s="5"/>
      <c r="C2663" s="155"/>
      <c r="D2663" s="156"/>
      <c r="F2663" s="170"/>
      <c r="G2663" s="5"/>
      <c r="H2663" s="5"/>
      <c r="I2663" s="5"/>
      <c r="J2663" s="158"/>
      <c r="K2663" s="159"/>
      <c r="L2663" s="160"/>
      <c r="M2663" s="174"/>
      <c r="N2663" s="168"/>
      <c r="O2663" s="163"/>
      <c r="P2663" s="160"/>
      <c r="Q2663" s="175"/>
      <c r="R2663" s="5"/>
      <c r="S2663" s="5"/>
      <c r="T2663" s="5"/>
      <c r="U2663" s="35"/>
      <c r="V2663" s="171"/>
    </row>
    <row r="2664" customFormat="false" ht="15" hidden="false" customHeight="true" outlineLevel="0" collapsed="false">
      <c r="C2664" s="155"/>
      <c r="D2664" s="156"/>
      <c r="F2664" s="157"/>
      <c r="G2664" s="5"/>
      <c r="H2664" s="165"/>
      <c r="I2664" s="165"/>
      <c r="J2664" s="158"/>
      <c r="K2664" s="159"/>
      <c r="L2664" s="166"/>
      <c r="M2664" s="167"/>
      <c r="N2664" s="168"/>
      <c r="O2664" s="163"/>
      <c r="P2664" s="163"/>
      <c r="Q2664" s="158"/>
      <c r="R2664" s="5"/>
      <c r="S2664" s="169"/>
      <c r="T2664" s="158"/>
      <c r="U2664" s="35"/>
      <c r="V2664" s="164"/>
    </row>
    <row r="2665" customFormat="false" ht="15" hidden="false" customHeight="true" outlineLevel="0" collapsed="false">
      <c r="B2665" s="5"/>
      <c r="C2665" s="155"/>
      <c r="D2665" s="156"/>
      <c r="F2665" s="170"/>
      <c r="G2665" s="5"/>
      <c r="H2665" s="5"/>
      <c r="I2665" s="5"/>
      <c r="J2665" s="158"/>
      <c r="K2665" s="163"/>
      <c r="L2665" s="160"/>
      <c r="M2665" s="174"/>
      <c r="N2665" s="168"/>
      <c r="O2665" s="163"/>
      <c r="P2665" s="160"/>
      <c r="Q2665" s="175"/>
      <c r="R2665" s="5"/>
      <c r="S2665" s="5"/>
      <c r="T2665" s="5"/>
      <c r="U2665" s="35"/>
      <c r="V2665" s="171"/>
      <c r="W2665" s="170"/>
      <c r="X2665" s="176"/>
    </row>
    <row r="2666" customFormat="false" ht="15" hidden="false" customHeight="true" outlineLevel="0" collapsed="false">
      <c r="B2666" s="5"/>
      <c r="C2666" s="155"/>
      <c r="D2666" s="156"/>
      <c r="F2666" s="157"/>
      <c r="G2666" s="5"/>
      <c r="H2666" s="5"/>
      <c r="I2666" s="5"/>
      <c r="J2666" s="158"/>
      <c r="K2666" s="159"/>
      <c r="L2666" s="160"/>
      <c r="M2666" s="177"/>
      <c r="N2666" s="162"/>
      <c r="O2666" s="163"/>
      <c r="P2666" s="163"/>
      <c r="Q2666" s="158"/>
      <c r="R2666" s="5"/>
      <c r="S2666" s="5"/>
      <c r="T2666" s="5"/>
      <c r="U2666" s="35"/>
      <c r="V2666" s="171"/>
    </row>
    <row r="2667" customFormat="false" ht="15" hidden="false" customHeight="true" outlineLevel="0" collapsed="false">
      <c r="B2667" s="5"/>
      <c r="C2667" s="155"/>
      <c r="D2667" s="156"/>
      <c r="F2667" s="157"/>
      <c r="G2667" s="5"/>
      <c r="H2667" s="5"/>
      <c r="I2667" s="5"/>
      <c r="J2667" s="158"/>
      <c r="K2667" s="159"/>
      <c r="L2667" s="160"/>
      <c r="M2667" s="161"/>
      <c r="N2667" s="162"/>
      <c r="O2667" s="163"/>
      <c r="P2667" s="163"/>
      <c r="Q2667" s="158"/>
      <c r="R2667" s="5"/>
      <c r="S2667" s="5"/>
      <c r="T2667" s="5"/>
      <c r="U2667" s="35"/>
      <c r="V2667" s="171"/>
    </row>
    <row r="2668" customFormat="false" ht="15" hidden="false" customHeight="true" outlineLevel="0" collapsed="false">
      <c r="C2668" s="155"/>
      <c r="D2668" s="156"/>
      <c r="F2668" s="157"/>
      <c r="G2668" s="5"/>
      <c r="H2668" s="165"/>
      <c r="I2668" s="165"/>
      <c r="J2668" s="158"/>
      <c r="K2668" s="159"/>
      <c r="L2668" s="166"/>
      <c r="M2668" s="167"/>
      <c r="N2668" s="168"/>
      <c r="O2668" s="163"/>
      <c r="P2668" s="163"/>
      <c r="Q2668" s="158"/>
      <c r="R2668" s="5"/>
      <c r="S2668" s="169"/>
      <c r="T2668" s="158"/>
      <c r="U2668" s="35"/>
      <c r="V2668" s="164"/>
    </row>
    <row r="2669" customFormat="false" ht="15" hidden="false" customHeight="true" outlineLevel="0" collapsed="false">
      <c r="C2669" s="155"/>
      <c r="D2669" s="156"/>
      <c r="F2669" s="157"/>
      <c r="G2669" s="5"/>
      <c r="H2669" s="165"/>
      <c r="I2669" s="165"/>
      <c r="J2669" s="158"/>
      <c r="K2669" s="159"/>
      <c r="L2669" s="166"/>
      <c r="M2669" s="167"/>
      <c r="N2669" s="168"/>
      <c r="O2669" s="163"/>
      <c r="P2669" s="163"/>
      <c r="Q2669" s="158"/>
      <c r="R2669" s="5"/>
      <c r="S2669" s="169"/>
      <c r="T2669" s="158"/>
      <c r="U2669" s="35"/>
      <c r="V2669" s="164"/>
    </row>
    <row r="2670" customFormat="false" ht="15" hidden="false" customHeight="true" outlineLevel="0" collapsed="false">
      <c r="C2670" s="155"/>
      <c r="D2670" s="156"/>
      <c r="F2670" s="157"/>
      <c r="G2670" s="5"/>
      <c r="H2670" s="165"/>
      <c r="I2670" s="165"/>
      <c r="J2670" s="158"/>
      <c r="K2670" s="159"/>
      <c r="L2670" s="166"/>
      <c r="M2670" s="167"/>
      <c r="N2670" s="168"/>
      <c r="O2670" s="163"/>
      <c r="P2670" s="163"/>
      <c r="Q2670" s="158"/>
      <c r="R2670" s="5"/>
      <c r="S2670" s="169"/>
      <c r="T2670" s="158"/>
      <c r="U2670" s="35"/>
      <c r="V2670" s="164"/>
    </row>
    <row r="2671" customFormat="false" ht="15" hidden="false" customHeight="true" outlineLevel="0" collapsed="false">
      <c r="C2671" s="155"/>
      <c r="D2671" s="156"/>
      <c r="F2671" s="157"/>
      <c r="G2671" s="5"/>
      <c r="H2671" s="165"/>
      <c r="I2671" s="165"/>
      <c r="J2671" s="158"/>
      <c r="K2671" s="159"/>
      <c r="L2671" s="166"/>
      <c r="M2671" s="167"/>
      <c r="N2671" s="168"/>
      <c r="O2671" s="163"/>
      <c r="P2671" s="163"/>
      <c r="Q2671" s="158"/>
      <c r="R2671" s="5"/>
      <c r="S2671" s="169"/>
      <c r="T2671" s="158"/>
      <c r="U2671" s="35"/>
      <c r="V2671" s="164"/>
    </row>
    <row r="2672" customFormat="false" ht="15" hidden="false" customHeight="true" outlineLevel="0" collapsed="false">
      <c r="C2672" s="155"/>
      <c r="D2672" s="156"/>
      <c r="F2672" s="157"/>
      <c r="G2672" s="5"/>
      <c r="H2672" s="165"/>
      <c r="I2672" s="165"/>
      <c r="J2672" s="158"/>
      <c r="K2672" s="159"/>
      <c r="L2672" s="166"/>
      <c r="M2672" s="167"/>
      <c r="N2672" s="168"/>
      <c r="O2672" s="163"/>
      <c r="P2672" s="163"/>
      <c r="Q2672" s="158"/>
      <c r="R2672" s="5"/>
      <c r="S2672" s="169"/>
      <c r="T2672" s="158"/>
      <c r="U2672" s="35"/>
      <c r="V2672" s="164"/>
    </row>
    <row r="2673" customFormat="false" ht="15" hidden="false" customHeight="true" outlineLevel="0" collapsed="false">
      <c r="B2673" s="5"/>
      <c r="C2673" s="155"/>
      <c r="D2673" s="156"/>
      <c r="F2673" s="170"/>
      <c r="G2673" s="5"/>
      <c r="H2673" s="5"/>
      <c r="I2673" s="5"/>
      <c r="J2673" s="158"/>
      <c r="K2673" s="163"/>
      <c r="L2673" s="160"/>
      <c r="M2673" s="174"/>
      <c r="N2673" s="168"/>
      <c r="O2673" s="160"/>
      <c r="P2673" s="160"/>
      <c r="Q2673" s="175"/>
      <c r="R2673" s="5"/>
      <c r="S2673" s="5"/>
      <c r="T2673" s="5"/>
      <c r="U2673" s="165"/>
      <c r="V2673" s="171"/>
      <c r="W2673" s="116"/>
      <c r="X2673" s="116"/>
      <c r="Y2673" s="116"/>
    </row>
    <row r="2674" customFormat="false" ht="15" hidden="false" customHeight="true" outlineLevel="0" collapsed="false">
      <c r="B2674" s="5"/>
      <c r="C2674" s="155"/>
      <c r="D2674" s="156"/>
      <c r="F2674" s="170"/>
      <c r="G2674" s="5"/>
      <c r="H2674" s="5"/>
      <c r="I2674" s="5"/>
      <c r="J2674" s="158"/>
      <c r="K2674" s="159"/>
      <c r="L2674" s="160"/>
      <c r="M2674" s="161"/>
      <c r="N2674" s="162"/>
      <c r="O2674" s="163"/>
      <c r="P2674" s="163"/>
      <c r="Q2674" s="5"/>
      <c r="R2674" s="5"/>
      <c r="S2674" s="5"/>
      <c r="T2674" s="5"/>
      <c r="U2674" s="35"/>
      <c r="V2674" s="171"/>
      <c r="W2674" s="172"/>
      <c r="X2674" s="173"/>
    </row>
    <row r="2675" customFormat="false" ht="15" hidden="false" customHeight="true" outlineLevel="0" collapsed="false">
      <c r="B2675" s="5"/>
      <c r="C2675" s="155"/>
      <c r="D2675" s="156"/>
      <c r="F2675" s="157"/>
      <c r="G2675" s="5"/>
      <c r="H2675" s="5"/>
      <c r="I2675" s="5"/>
      <c r="J2675" s="179"/>
      <c r="K2675" s="159"/>
      <c r="L2675" s="160"/>
      <c r="M2675" s="161"/>
      <c r="N2675" s="162"/>
      <c r="O2675" s="163"/>
      <c r="P2675" s="163"/>
      <c r="Q2675" s="158"/>
      <c r="R2675" s="5"/>
      <c r="S2675" s="5"/>
      <c r="T2675" s="5"/>
      <c r="U2675" s="35"/>
      <c r="V2675" s="164"/>
    </row>
    <row r="2676" customFormat="false" ht="15" hidden="false" customHeight="true" outlineLevel="0" collapsed="false">
      <c r="C2676" s="155"/>
      <c r="D2676" s="156"/>
      <c r="F2676" s="157"/>
      <c r="G2676" s="5"/>
      <c r="H2676" s="165"/>
      <c r="I2676" s="165"/>
      <c r="J2676" s="158"/>
      <c r="K2676" s="159"/>
      <c r="L2676" s="166"/>
      <c r="M2676" s="167"/>
      <c r="N2676" s="168"/>
      <c r="O2676" s="163"/>
      <c r="P2676" s="163"/>
      <c r="Q2676" s="158"/>
      <c r="R2676" s="5"/>
      <c r="S2676" s="169"/>
      <c r="T2676" s="158"/>
      <c r="U2676" s="35"/>
      <c r="V2676" s="164"/>
    </row>
    <row r="2677" customFormat="false" ht="15" hidden="false" customHeight="true" outlineLevel="0" collapsed="false">
      <c r="C2677" s="155"/>
      <c r="D2677" s="156"/>
      <c r="F2677" s="157"/>
      <c r="G2677" s="5"/>
      <c r="H2677" s="165"/>
      <c r="I2677" s="165"/>
      <c r="J2677" s="158"/>
      <c r="K2677" s="159"/>
      <c r="L2677" s="166"/>
      <c r="M2677" s="167"/>
      <c r="N2677" s="168"/>
      <c r="O2677" s="163"/>
      <c r="P2677" s="163"/>
      <c r="Q2677" s="158"/>
      <c r="R2677" s="5"/>
      <c r="S2677" s="169"/>
      <c r="T2677" s="158"/>
      <c r="U2677" s="35"/>
      <c r="V2677" s="164"/>
    </row>
    <row r="2678" customFormat="false" ht="15" hidden="false" customHeight="true" outlineLevel="0" collapsed="false">
      <c r="C2678" s="155"/>
      <c r="D2678" s="156"/>
      <c r="F2678" s="157"/>
      <c r="G2678" s="5"/>
      <c r="H2678" s="165"/>
      <c r="I2678" s="165"/>
      <c r="J2678" s="158"/>
      <c r="K2678" s="159"/>
      <c r="L2678" s="166"/>
      <c r="M2678" s="167"/>
      <c r="N2678" s="168"/>
      <c r="O2678" s="163"/>
      <c r="P2678" s="163"/>
      <c r="Q2678" s="158"/>
      <c r="R2678" s="5"/>
      <c r="S2678" s="169"/>
      <c r="T2678" s="158"/>
      <c r="U2678" s="35"/>
      <c r="V2678" s="164"/>
    </row>
    <row r="2679" customFormat="false" ht="15" hidden="false" customHeight="true" outlineLevel="0" collapsed="false">
      <c r="C2679" s="155"/>
      <c r="D2679" s="156"/>
      <c r="F2679" s="157"/>
      <c r="G2679" s="5"/>
      <c r="H2679" s="165"/>
      <c r="I2679" s="165"/>
      <c r="J2679" s="158"/>
      <c r="K2679" s="159"/>
      <c r="L2679" s="166"/>
      <c r="M2679" s="167"/>
      <c r="N2679" s="168"/>
      <c r="O2679" s="163"/>
      <c r="P2679" s="163"/>
      <c r="Q2679" s="158"/>
      <c r="R2679" s="5"/>
      <c r="S2679" s="169"/>
      <c r="T2679" s="158"/>
      <c r="U2679" s="35"/>
      <c r="V2679" s="164"/>
    </row>
    <row r="2680" customFormat="false" ht="15" hidden="false" customHeight="true" outlineLevel="0" collapsed="false">
      <c r="C2680" s="155"/>
      <c r="D2680" s="156"/>
      <c r="F2680" s="157"/>
      <c r="G2680" s="5"/>
      <c r="H2680" s="165"/>
      <c r="I2680" s="165"/>
      <c r="J2680" s="158"/>
      <c r="K2680" s="159"/>
      <c r="L2680" s="166"/>
      <c r="M2680" s="167"/>
      <c r="N2680" s="168"/>
      <c r="O2680" s="163"/>
      <c r="P2680" s="163"/>
      <c r="Q2680" s="158"/>
      <c r="R2680" s="5"/>
      <c r="S2680" s="169"/>
      <c r="T2680" s="158"/>
      <c r="U2680" s="35"/>
      <c r="V2680" s="164"/>
    </row>
    <row r="2681" customFormat="false" ht="15" hidden="false" customHeight="true" outlineLevel="0" collapsed="false">
      <c r="B2681" s="5"/>
      <c r="C2681" s="155"/>
      <c r="D2681" s="156"/>
      <c r="F2681" s="170"/>
      <c r="G2681" s="5"/>
      <c r="H2681" s="5"/>
      <c r="I2681" s="5"/>
      <c r="J2681" s="158"/>
      <c r="K2681" s="163"/>
      <c r="L2681" s="160"/>
      <c r="M2681" s="174"/>
      <c r="N2681" s="168"/>
      <c r="O2681" s="163"/>
      <c r="P2681" s="160"/>
      <c r="Q2681" s="175"/>
      <c r="R2681" s="5"/>
      <c r="S2681" s="5"/>
      <c r="T2681" s="5"/>
      <c r="U2681" s="35"/>
      <c r="V2681" s="171"/>
      <c r="W2681" s="170"/>
      <c r="X2681" s="176"/>
    </row>
    <row r="2682" customFormat="false" ht="15" hidden="false" customHeight="true" outlineLevel="0" collapsed="false">
      <c r="B2682" s="5"/>
      <c r="C2682" s="155"/>
      <c r="D2682" s="156"/>
      <c r="F2682" s="170"/>
      <c r="G2682" s="5"/>
      <c r="H2682" s="5"/>
      <c r="I2682" s="5"/>
      <c r="J2682" s="158"/>
      <c r="K2682" s="163"/>
      <c r="L2682" s="160"/>
      <c r="M2682" s="174"/>
      <c r="N2682" s="168"/>
      <c r="O2682" s="163"/>
      <c r="P2682" s="160"/>
      <c r="Q2682" s="175"/>
      <c r="R2682" s="5"/>
      <c r="S2682" s="5"/>
      <c r="T2682" s="5"/>
      <c r="U2682" s="35"/>
      <c r="V2682" s="171"/>
      <c r="W2682" s="116"/>
      <c r="X2682" s="176"/>
    </row>
    <row r="2683" customFormat="false" ht="15" hidden="false" customHeight="true" outlineLevel="0" collapsed="false">
      <c r="B2683" s="5"/>
      <c r="C2683" s="155"/>
      <c r="D2683" s="156"/>
      <c r="F2683" s="170"/>
      <c r="G2683" s="5"/>
      <c r="H2683" s="5"/>
      <c r="I2683" s="5"/>
      <c r="J2683" s="158"/>
      <c r="K2683" s="163"/>
      <c r="L2683" s="160"/>
      <c r="M2683" s="174"/>
      <c r="N2683" s="168"/>
      <c r="O2683" s="163"/>
      <c r="P2683" s="160"/>
      <c r="Q2683" s="175"/>
      <c r="R2683" s="5"/>
      <c r="S2683" s="5"/>
      <c r="T2683" s="5"/>
      <c r="U2683" s="35"/>
      <c r="V2683" s="171"/>
      <c r="W2683" s="116"/>
      <c r="X2683" s="116"/>
      <c r="Y2683" s="116"/>
    </row>
    <row r="2684" customFormat="false" ht="15" hidden="false" customHeight="true" outlineLevel="0" collapsed="false">
      <c r="B2684" s="5"/>
      <c r="C2684" s="155"/>
      <c r="D2684" s="156"/>
      <c r="F2684" s="170"/>
      <c r="G2684" s="5"/>
      <c r="H2684" s="5"/>
      <c r="I2684" s="5"/>
      <c r="J2684" s="158"/>
      <c r="K2684" s="159"/>
      <c r="L2684" s="160"/>
      <c r="M2684" s="161"/>
      <c r="N2684" s="162"/>
      <c r="O2684" s="163"/>
      <c r="P2684" s="160"/>
      <c r="Q2684" s="5"/>
      <c r="R2684" s="5"/>
      <c r="S2684" s="5"/>
      <c r="T2684" s="5"/>
      <c r="U2684" s="35"/>
      <c r="V2684" s="171"/>
      <c r="W2684" s="172"/>
      <c r="X2684" s="173"/>
    </row>
    <row r="2685" customFormat="false" ht="15" hidden="false" customHeight="true" outlineLevel="0" collapsed="false">
      <c r="B2685" s="5"/>
      <c r="C2685" s="155"/>
      <c r="D2685" s="156"/>
      <c r="F2685" s="170"/>
      <c r="G2685" s="5"/>
      <c r="H2685" s="5"/>
      <c r="I2685" s="5"/>
      <c r="J2685" s="158"/>
      <c r="K2685" s="159"/>
      <c r="L2685" s="160"/>
      <c r="M2685" s="174"/>
      <c r="N2685" s="168"/>
      <c r="O2685" s="163"/>
      <c r="P2685" s="160"/>
      <c r="Q2685" s="5"/>
      <c r="R2685" s="5"/>
      <c r="S2685" s="5"/>
      <c r="T2685" s="5"/>
      <c r="U2685" s="35"/>
      <c r="V2685" s="171"/>
    </row>
    <row r="2686" customFormat="false" ht="15" hidden="false" customHeight="true" outlineLevel="0" collapsed="false">
      <c r="B2686" s="5"/>
      <c r="C2686" s="155"/>
      <c r="D2686" s="156"/>
      <c r="F2686" s="157"/>
      <c r="G2686" s="5"/>
      <c r="H2686" s="5"/>
      <c r="I2686" s="5"/>
      <c r="J2686" s="158"/>
      <c r="K2686" s="159"/>
      <c r="L2686" s="160"/>
      <c r="M2686" s="161"/>
      <c r="N2686" s="162"/>
      <c r="O2686" s="163"/>
      <c r="P2686" s="163"/>
      <c r="Q2686" s="158"/>
      <c r="R2686" s="5"/>
      <c r="S2686" s="5"/>
      <c r="T2686" s="5"/>
      <c r="U2686" s="35"/>
      <c r="V2686" s="171"/>
    </row>
    <row r="2687" customFormat="false" ht="15" hidden="false" customHeight="true" outlineLevel="0" collapsed="false">
      <c r="B2687" s="5"/>
      <c r="C2687" s="155"/>
      <c r="D2687" s="156"/>
      <c r="F2687" s="157"/>
      <c r="G2687" s="5"/>
      <c r="H2687" s="5"/>
      <c r="I2687" s="5"/>
      <c r="J2687" s="158"/>
      <c r="K2687" s="159"/>
      <c r="L2687" s="160"/>
      <c r="M2687" s="161"/>
      <c r="N2687" s="162"/>
      <c r="O2687" s="163"/>
      <c r="P2687" s="163"/>
      <c r="Q2687" s="158"/>
      <c r="R2687" s="5"/>
      <c r="S2687" s="5"/>
      <c r="T2687" s="5"/>
      <c r="U2687" s="35"/>
      <c r="V2687" s="171"/>
    </row>
    <row r="2688" customFormat="false" ht="15" hidden="false" customHeight="true" outlineLevel="0" collapsed="false">
      <c r="B2688" s="5"/>
      <c r="C2688" s="155"/>
      <c r="D2688" s="156"/>
      <c r="F2688" s="157"/>
      <c r="G2688" s="5"/>
      <c r="H2688" s="5"/>
      <c r="I2688" s="5"/>
      <c r="J2688" s="158"/>
      <c r="K2688" s="159"/>
      <c r="L2688" s="160"/>
      <c r="M2688" s="161"/>
      <c r="N2688" s="162"/>
      <c r="O2688" s="163"/>
      <c r="P2688" s="163"/>
      <c r="Q2688" s="158"/>
      <c r="R2688" s="5"/>
      <c r="S2688" s="5"/>
      <c r="T2688" s="5"/>
      <c r="U2688" s="35"/>
      <c r="V2688" s="164"/>
    </row>
    <row r="2689" customFormat="false" ht="15" hidden="false" customHeight="true" outlineLevel="0" collapsed="false">
      <c r="B2689" s="5"/>
      <c r="C2689" s="155"/>
      <c r="D2689" s="156"/>
      <c r="F2689" s="157"/>
      <c r="G2689" s="5"/>
      <c r="H2689" s="5"/>
      <c r="I2689" s="5"/>
      <c r="J2689" s="158"/>
      <c r="K2689" s="159"/>
      <c r="L2689" s="160"/>
      <c r="M2689" s="161"/>
      <c r="N2689" s="162"/>
      <c r="O2689" s="163"/>
      <c r="P2689" s="163"/>
      <c r="Q2689" s="158"/>
      <c r="R2689" s="5"/>
      <c r="S2689" s="5"/>
      <c r="T2689" s="5"/>
      <c r="U2689" s="35"/>
      <c r="V2689" s="164"/>
    </row>
    <row r="2690" customFormat="false" ht="15" hidden="false" customHeight="true" outlineLevel="0" collapsed="false">
      <c r="B2690" s="5"/>
      <c r="C2690" s="155"/>
      <c r="D2690" s="156"/>
      <c r="F2690" s="157"/>
      <c r="G2690" s="5"/>
      <c r="H2690" s="5"/>
      <c r="I2690" s="5"/>
      <c r="J2690" s="158"/>
      <c r="K2690" s="159"/>
      <c r="L2690" s="160"/>
      <c r="M2690" s="161"/>
      <c r="N2690" s="162"/>
      <c r="O2690" s="163"/>
      <c r="P2690" s="163"/>
      <c r="Q2690" s="158"/>
      <c r="R2690" s="5"/>
      <c r="S2690" s="5"/>
      <c r="T2690" s="5"/>
      <c r="U2690" s="35"/>
      <c r="V2690" s="164"/>
    </row>
    <row r="2691" customFormat="false" ht="15" hidden="false" customHeight="true" outlineLevel="0" collapsed="false">
      <c r="B2691" s="5"/>
      <c r="C2691" s="155"/>
      <c r="D2691" s="156"/>
      <c r="F2691" s="157"/>
      <c r="G2691" s="5"/>
      <c r="H2691" s="5"/>
      <c r="I2691" s="5"/>
      <c r="J2691" s="158"/>
      <c r="K2691" s="159"/>
      <c r="L2691" s="160"/>
      <c r="M2691" s="161"/>
      <c r="N2691" s="162"/>
      <c r="O2691" s="163"/>
      <c r="P2691" s="163"/>
      <c r="Q2691" s="158"/>
      <c r="R2691" s="5"/>
      <c r="S2691" s="5"/>
      <c r="T2691" s="5"/>
      <c r="U2691" s="35"/>
      <c r="V2691" s="164"/>
    </row>
    <row r="2692" customFormat="false" ht="15" hidden="false" customHeight="true" outlineLevel="0" collapsed="false">
      <c r="C2692" s="155"/>
      <c r="D2692" s="156"/>
      <c r="F2692" s="157"/>
      <c r="G2692" s="5"/>
      <c r="H2692" s="165"/>
      <c r="I2692" s="165"/>
      <c r="J2692" s="158"/>
      <c r="K2692" s="159"/>
      <c r="L2692" s="166"/>
      <c r="M2692" s="167"/>
      <c r="N2692" s="168"/>
      <c r="O2692" s="163"/>
      <c r="P2692" s="163"/>
      <c r="Q2692" s="158"/>
      <c r="R2692" s="5"/>
      <c r="S2692" s="169"/>
      <c r="T2692" s="158"/>
      <c r="U2692" s="35"/>
      <c r="V2692" s="164"/>
    </row>
    <row r="2693" customFormat="false" ht="15" hidden="false" customHeight="true" outlineLevel="0" collapsed="false">
      <c r="C2693" s="155"/>
      <c r="D2693" s="156"/>
      <c r="F2693" s="157"/>
      <c r="G2693" s="5"/>
      <c r="H2693" s="165"/>
      <c r="I2693" s="165"/>
      <c r="J2693" s="158"/>
      <c r="K2693" s="159"/>
      <c r="L2693" s="166"/>
      <c r="M2693" s="167"/>
      <c r="N2693" s="168"/>
      <c r="O2693" s="163"/>
      <c r="P2693" s="163"/>
      <c r="Q2693" s="158"/>
      <c r="R2693" s="5"/>
      <c r="S2693" s="169"/>
      <c r="T2693" s="158"/>
      <c r="U2693" s="35"/>
      <c r="V2693" s="164"/>
    </row>
    <row r="2694" customFormat="false" ht="15" hidden="false" customHeight="true" outlineLevel="0" collapsed="false">
      <c r="C2694" s="155"/>
      <c r="D2694" s="156"/>
      <c r="F2694" s="157"/>
      <c r="G2694" s="5"/>
      <c r="H2694" s="165"/>
      <c r="I2694" s="165"/>
      <c r="J2694" s="158"/>
      <c r="K2694" s="159"/>
      <c r="L2694" s="166"/>
      <c r="M2694" s="167"/>
      <c r="N2694" s="168"/>
      <c r="O2694" s="163"/>
      <c r="P2694" s="163"/>
      <c r="Q2694" s="158"/>
      <c r="R2694" s="5"/>
      <c r="S2694" s="169"/>
      <c r="T2694" s="158"/>
      <c r="U2694" s="35"/>
      <c r="V2694" s="164"/>
    </row>
    <row r="2695" customFormat="false" ht="15" hidden="false" customHeight="true" outlineLevel="0" collapsed="false">
      <c r="B2695" s="5"/>
      <c r="C2695" s="155"/>
      <c r="D2695" s="156"/>
      <c r="F2695" s="157"/>
      <c r="G2695" s="5"/>
      <c r="H2695" s="5"/>
      <c r="I2695" s="5"/>
      <c r="J2695" s="158"/>
      <c r="K2695" s="159"/>
      <c r="L2695" s="160"/>
      <c r="M2695" s="161"/>
      <c r="N2695" s="162"/>
      <c r="O2695" s="163"/>
      <c r="P2695" s="163"/>
      <c r="Q2695" s="158"/>
      <c r="R2695" s="5"/>
      <c r="S2695" s="5"/>
      <c r="T2695" s="5"/>
      <c r="U2695" s="35"/>
      <c r="V2695" s="171"/>
    </row>
    <row r="2696" customFormat="false" ht="15" hidden="false" customHeight="true" outlineLevel="0" collapsed="false">
      <c r="C2696" s="155"/>
      <c r="D2696" s="156"/>
      <c r="F2696" s="157"/>
      <c r="G2696" s="5"/>
      <c r="H2696" s="165"/>
      <c r="I2696" s="165"/>
      <c r="J2696" s="158"/>
      <c r="K2696" s="159"/>
      <c r="L2696" s="166"/>
      <c r="M2696" s="167"/>
      <c r="N2696" s="168"/>
      <c r="O2696" s="163"/>
      <c r="P2696" s="163"/>
      <c r="Q2696" s="158"/>
      <c r="R2696" s="5"/>
      <c r="S2696" s="169"/>
      <c r="T2696" s="158"/>
      <c r="U2696" s="35"/>
      <c r="V2696" s="164"/>
    </row>
    <row r="2697" customFormat="false" ht="15" hidden="false" customHeight="true" outlineLevel="0" collapsed="false">
      <c r="B2697" s="5"/>
      <c r="C2697" s="155"/>
      <c r="D2697" s="156"/>
      <c r="F2697" s="157"/>
      <c r="G2697" s="5"/>
      <c r="H2697" s="5"/>
      <c r="I2697" s="5"/>
      <c r="J2697" s="158"/>
      <c r="K2697" s="159"/>
      <c r="L2697" s="160"/>
      <c r="M2697" s="177"/>
      <c r="N2697" s="162"/>
      <c r="O2697" s="163"/>
      <c r="P2697" s="163"/>
      <c r="Q2697" s="158"/>
      <c r="R2697" s="5"/>
      <c r="S2697" s="5"/>
      <c r="T2697" s="5"/>
      <c r="U2697" s="35"/>
      <c r="V2697" s="171"/>
    </row>
    <row r="2698" customFormat="false" ht="15" hidden="false" customHeight="true" outlineLevel="0" collapsed="false">
      <c r="B2698" s="5"/>
      <c r="C2698" s="155"/>
      <c r="D2698" s="156"/>
      <c r="F2698" s="157"/>
      <c r="G2698" s="5"/>
      <c r="H2698" s="5"/>
      <c r="I2698" s="5"/>
      <c r="J2698" s="158"/>
      <c r="K2698" s="159"/>
      <c r="L2698" s="160"/>
      <c r="M2698" s="177"/>
      <c r="N2698" s="162"/>
      <c r="O2698" s="163"/>
      <c r="P2698" s="163"/>
      <c r="Q2698" s="158"/>
      <c r="R2698" s="5"/>
      <c r="S2698" s="5"/>
      <c r="T2698" s="5"/>
      <c r="U2698" s="35"/>
      <c r="V2698" s="171"/>
    </row>
    <row r="2699" customFormat="false" ht="15" hidden="false" customHeight="true" outlineLevel="0" collapsed="false">
      <c r="B2699" s="5"/>
      <c r="C2699" s="155"/>
      <c r="D2699" s="156"/>
      <c r="F2699" s="157"/>
      <c r="G2699" s="5"/>
      <c r="H2699" s="5"/>
      <c r="I2699" s="5"/>
      <c r="J2699" s="158"/>
      <c r="K2699" s="159"/>
      <c r="L2699" s="160"/>
      <c r="M2699" s="161"/>
      <c r="N2699" s="162"/>
      <c r="O2699" s="163"/>
      <c r="P2699" s="163"/>
      <c r="Q2699" s="158"/>
      <c r="R2699" s="5"/>
      <c r="S2699" s="5"/>
      <c r="T2699" s="5"/>
      <c r="U2699" s="35"/>
      <c r="V2699" s="164"/>
    </row>
    <row r="2700" customFormat="false" ht="15" hidden="false" customHeight="true" outlineLevel="0" collapsed="false">
      <c r="B2700" s="5"/>
      <c r="C2700" s="155"/>
      <c r="D2700" s="156"/>
      <c r="F2700" s="157"/>
      <c r="G2700" s="5"/>
      <c r="H2700" s="5"/>
      <c r="I2700" s="5"/>
      <c r="J2700" s="158"/>
      <c r="K2700" s="159"/>
      <c r="L2700" s="160"/>
      <c r="M2700" s="161"/>
      <c r="N2700" s="162"/>
      <c r="O2700" s="163"/>
      <c r="P2700" s="163"/>
      <c r="Q2700" s="158"/>
      <c r="R2700" s="5"/>
      <c r="S2700" s="5"/>
      <c r="T2700" s="5"/>
      <c r="U2700" s="35"/>
      <c r="V2700" s="164"/>
    </row>
    <row r="2701" customFormat="false" ht="15" hidden="false" customHeight="true" outlineLevel="0" collapsed="false">
      <c r="B2701" s="5"/>
      <c r="C2701" s="155"/>
      <c r="D2701" s="156"/>
      <c r="F2701" s="157"/>
      <c r="G2701" s="5"/>
      <c r="H2701" s="5"/>
      <c r="I2701" s="5"/>
      <c r="J2701" s="158"/>
      <c r="K2701" s="159"/>
      <c r="L2701" s="160"/>
      <c r="M2701" s="161"/>
      <c r="N2701" s="162"/>
      <c r="O2701" s="163"/>
      <c r="P2701" s="163"/>
      <c r="Q2701" s="158"/>
      <c r="R2701" s="5"/>
      <c r="S2701" s="5"/>
      <c r="T2701" s="5"/>
      <c r="U2701" s="35"/>
      <c r="V2701" s="164"/>
    </row>
    <row r="2702" customFormat="false" ht="15" hidden="false" customHeight="true" outlineLevel="0" collapsed="false">
      <c r="B2702" s="5"/>
      <c r="C2702" s="155"/>
      <c r="D2702" s="156"/>
      <c r="F2702" s="157"/>
      <c r="G2702" s="5"/>
      <c r="H2702" s="5"/>
      <c r="I2702" s="5"/>
      <c r="J2702" s="158"/>
      <c r="K2702" s="159"/>
      <c r="L2702" s="160"/>
      <c r="M2702" s="161"/>
      <c r="N2702" s="162"/>
      <c r="O2702" s="163"/>
      <c r="P2702" s="163"/>
      <c r="Q2702" s="158"/>
      <c r="R2702" s="5"/>
      <c r="S2702" s="5"/>
      <c r="T2702" s="5"/>
      <c r="U2702" s="35"/>
      <c r="V2702" s="164"/>
    </row>
    <row r="2703" customFormat="false" ht="15" hidden="false" customHeight="true" outlineLevel="0" collapsed="false">
      <c r="B2703" s="5"/>
      <c r="C2703" s="155"/>
      <c r="D2703" s="156"/>
      <c r="F2703" s="157"/>
      <c r="G2703" s="5"/>
      <c r="H2703" s="5"/>
      <c r="I2703" s="5"/>
      <c r="J2703" s="158"/>
      <c r="K2703" s="159"/>
      <c r="L2703" s="160"/>
      <c r="M2703" s="161"/>
      <c r="N2703" s="162"/>
      <c r="O2703" s="163"/>
      <c r="P2703" s="163"/>
      <c r="Q2703" s="158"/>
      <c r="R2703" s="5"/>
      <c r="S2703" s="5"/>
      <c r="T2703" s="5"/>
      <c r="U2703" s="35"/>
      <c r="V2703" s="164"/>
    </row>
    <row r="2704" customFormat="false" ht="15" hidden="false" customHeight="true" outlineLevel="0" collapsed="false">
      <c r="B2704" s="5"/>
      <c r="C2704" s="155"/>
      <c r="D2704" s="156"/>
      <c r="F2704" s="157"/>
      <c r="G2704" s="5"/>
      <c r="H2704" s="5"/>
      <c r="I2704" s="5"/>
      <c r="J2704" s="158"/>
      <c r="K2704" s="159"/>
      <c r="L2704" s="160"/>
      <c r="M2704" s="161"/>
      <c r="N2704" s="162"/>
      <c r="O2704" s="163"/>
      <c r="P2704" s="163"/>
      <c r="Q2704" s="158"/>
      <c r="R2704" s="5"/>
      <c r="S2704" s="5"/>
      <c r="T2704" s="5"/>
      <c r="U2704" s="35"/>
      <c r="V2704" s="164"/>
    </row>
    <row r="2705" customFormat="false" ht="15" hidden="false" customHeight="true" outlineLevel="0" collapsed="false">
      <c r="B2705" s="5"/>
      <c r="C2705" s="155"/>
      <c r="D2705" s="156"/>
      <c r="F2705" s="170"/>
      <c r="G2705" s="5"/>
      <c r="H2705" s="5"/>
      <c r="I2705" s="5"/>
      <c r="J2705" s="158"/>
      <c r="K2705" s="163"/>
      <c r="L2705" s="160"/>
      <c r="M2705" s="174"/>
      <c r="N2705" s="168"/>
      <c r="O2705" s="163"/>
      <c r="P2705" s="160"/>
      <c r="Q2705" s="175"/>
      <c r="R2705" s="5"/>
      <c r="S2705" s="5"/>
      <c r="T2705" s="5"/>
      <c r="U2705" s="165"/>
      <c r="V2705" s="171"/>
      <c r="W2705" s="116"/>
      <c r="X2705" s="116"/>
      <c r="Y2705" s="116"/>
    </row>
    <row r="2706" customFormat="false" ht="15" hidden="false" customHeight="true" outlineLevel="0" collapsed="false">
      <c r="B2706" s="5"/>
      <c r="C2706" s="155"/>
      <c r="D2706" s="156"/>
      <c r="F2706" s="170"/>
      <c r="G2706" s="5"/>
      <c r="H2706" s="5"/>
      <c r="I2706" s="5"/>
      <c r="J2706" s="158"/>
      <c r="K2706" s="163"/>
      <c r="L2706" s="160"/>
      <c r="M2706" s="174"/>
      <c r="N2706" s="168"/>
      <c r="O2706" s="163"/>
      <c r="P2706" s="160"/>
      <c r="Q2706" s="175"/>
      <c r="R2706" s="5"/>
      <c r="S2706" s="5"/>
      <c r="T2706" s="5"/>
      <c r="U2706" s="165"/>
      <c r="V2706" s="171"/>
      <c r="W2706" s="116"/>
      <c r="X2706" s="116"/>
      <c r="Y2706" s="116"/>
    </row>
    <row r="2707" customFormat="false" ht="15" hidden="false" customHeight="true" outlineLevel="0" collapsed="false">
      <c r="B2707" s="5"/>
      <c r="C2707" s="155"/>
      <c r="D2707" s="156"/>
      <c r="F2707" s="170"/>
      <c r="G2707" s="5"/>
      <c r="H2707" s="5"/>
      <c r="I2707" s="5"/>
      <c r="J2707" s="158"/>
      <c r="K2707" s="163"/>
      <c r="L2707" s="160"/>
      <c r="M2707" s="174"/>
      <c r="N2707" s="168"/>
      <c r="O2707" s="163"/>
      <c r="P2707" s="160"/>
      <c r="Q2707" s="175"/>
      <c r="R2707" s="5"/>
      <c r="S2707" s="5"/>
      <c r="T2707" s="5"/>
      <c r="U2707" s="35"/>
      <c r="V2707" s="171"/>
      <c r="W2707" s="170"/>
      <c r="X2707" s="176"/>
    </row>
    <row r="2708" customFormat="false" ht="15" hidden="false" customHeight="true" outlineLevel="0" collapsed="false">
      <c r="B2708" s="5"/>
      <c r="C2708" s="155"/>
      <c r="D2708" s="156"/>
      <c r="F2708" s="170"/>
      <c r="G2708" s="5"/>
      <c r="H2708" s="5"/>
      <c r="I2708" s="5"/>
      <c r="J2708" s="158"/>
      <c r="K2708" s="163"/>
      <c r="L2708" s="160"/>
      <c r="M2708" s="174"/>
      <c r="N2708" s="168"/>
      <c r="O2708" s="163"/>
      <c r="P2708" s="160"/>
      <c r="Q2708" s="175"/>
      <c r="R2708" s="5"/>
      <c r="S2708" s="5"/>
      <c r="T2708" s="5"/>
      <c r="U2708" s="35"/>
      <c r="V2708" s="171"/>
      <c r="W2708" s="170"/>
      <c r="X2708" s="176"/>
    </row>
    <row r="2709" customFormat="false" ht="15" hidden="false" customHeight="true" outlineLevel="0" collapsed="false">
      <c r="C2709" s="155"/>
      <c r="D2709" s="156"/>
      <c r="F2709" s="157"/>
      <c r="G2709" s="5"/>
      <c r="H2709" s="165"/>
      <c r="I2709" s="165"/>
      <c r="J2709" s="158"/>
      <c r="K2709" s="159"/>
      <c r="L2709" s="166"/>
      <c r="M2709" s="167"/>
      <c r="N2709" s="168"/>
      <c r="O2709" s="163"/>
      <c r="P2709" s="163"/>
      <c r="Q2709" s="158"/>
      <c r="R2709" s="5"/>
      <c r="S2709" s="169"/>
      <c r="T2709" s="158"/>
      <c r="U2709" s="35"/>
      <c r="V2709" s="164"/>
    </row>
    <row r="2710" customFormat="false" ht="15" hidden="false" customHeight="true" outlineLevel="0" collapsed="false">
      <c r="B2710" s="5"/>
      <c r="C2710" s="155"/>
      <c r="D2710" s="156"/>
      <c r="F2710" s="157"/>
      <c r="G2710" s="5"/>
      <c r="H2710" s="5"/>
      <c r="I2710" s="5"/>
      <c r="J2710" s="158"/>
      <c r="K2710" s="159"/>
      <c r="L2710" s="160"/>
      <c r="M2710" s="161"/>
      <c r="N2710" s="162"/>
      <c r="O2710" s="163"/>
      <c r="P2710" s="163"/>
      <c r="Q2710" s="158"/>
      <c r="R2710" s="5"/>
      <c r="S2710" s="5"/>
      <c r="T2710" s="5"/>
      <c r="U2710" s="35"/>
      <c r="V2710" s="164"/>
    </row>
    <row r="2711" customFormat="false" ht="15" hidden="false" customHeight="true" outlineLevel="0" collapsed="false">
      <c r="C2711" s="155"/>
      <c r="D2711" s="156"/>
      <c r="F2711" s="157"/>
      <c r="G2711" s="5"/>
      <c r="H2711" s="165"/>
      <c r="I2711" s="165"/>
      <c r="J2711" s="158"/>
      <c r="K2711" s="159"/>
      <c r="L2711" s="166"/>
      <c r="M2711" s="167"/>
      <c r="N2711" s="168"/>
      <c r="O2711" s="163"/>
      <c r="P2711" s="163"/>
      <c r="Q2711" s="158"/>
      <c r="R2711" s="5"/>
      <c r="S2711" s="169"/>
      <c r="T2711" s="158"/>
      <c r="U2711" s="35"/>
      <c r="V2711" s="164"/>
    </row>
    <row r="2712" customFormat="false" ht="15" hidden="false" customHeight="true" outlineLevel="0" collapsed="false">
      <c r="C2712" s="155"/>
      <c r="D2712" s="156"/>
      <c r="F2712" s="157"/>
      <c r="G2712" s="5"/>
      <c r="H2712" s="165"/>
      <c r="I2712" s="165"/>
      <c r="J2712" s="158"/>
      <c r="K2712" s="159"/>
      <c r="L2712" s="166"/>
      <c r="M2712" s="167"/>
      <c r="N2712" s="168"/>
      <c r="O2712" s="163"/>
      <c r="P2712" s="163"/>
      <c r="Q2712" s="158"/>
      <c r="R2712" s="5"/>
      <c r="S2712" s="169"/>
      <c r="T2712" s="158"/>
      <c r="U2712" s="35"/>
      <c r="V2712" s="164"/>
    </row>
    <row r="2713" customFormat="false" ht="15" hidden="false" customHeight="true" outlineLevel="0" collapsed="false">
      <c r="C2713" s="155"/>
      <c r="D2713" s="156"/>
      <c r="F2713" s="157"/>
      <c r="G2713" s="5"/>
      <c r="H2713" s="165"/>
      <c r="I2713" s="165"/>
      <c r="J2713" s="158"/>
      <c r="K2713" s="159"/>
      <c r="L2713" s="166"/>
      <c r="M2713" s="167"/>
      <c r="N2713" s="168"/>
      <c r="O2713" s="163"/>
      <c r="P2713" s="163"/>
      <c r="Q2713" s="158"/>
      <c r="R2713" s="5"/>
      <c r="S2713" s="169"/>
      <c r="T2713" s="158"/>
      <c r="U2713" s="35"/>
      <c r="V2713" s="164"/>
    </row>
    <row r="2714" customFormat="false" ht="15" hidden="false" customHeight="true" outlineLevel="0" collapsed="false">
      <c r="B2714" s="5"/>
      <c r="C2714" s="155"/>
      <c r="D2714" s="156"/>
      <c r="F2714" s="157"/>
      <c r="G2714" s="5"/>
      <c r="H2714" s="5"/>
      <c r="I2714" s="5"/>
      <c r="J2714" s="158"/>
      <c r="K2714" s="159"/>
      <c r="L2714" s="160"/>
      <c r="M2714" s="161"/>
      <c r="N2714" s="162"/>
      <c r="O2714" s="163"/>
      <c r="P2714" s="163"/>
      <c r="Q2714" s="158"/>
      <c r="R2714" s="5"/>
      <c r="S2714" s="5"/>
      <c r="T2714" s="5"/>
      <c r="U2714" s="35"/>
      <c r="V2714" s="164"/>
    </row>
    <row r="2715" customFormat="false" ht="15" hidden="false" customHeight="true" outlineLevel="0" collapsed="false">
      <c r="B2715" s="5"/>
      <c r="C2715" s="155"/>
      <c r="D2715" s="156"/>
      <c r="F2715" s="157"/>
      <c r="G2715" s="5"/>
      <c r="H2715" s="5"/>
      <c r="I2715" s="5"/>
      <c r="J2715" s="158"/>
      <c r="K2715" s="159"/>
      <c r="L2715" s="160"/>
      <c r="M2715" s="161"/>
      <c r="N2715" s="162"/>
      <c r="O2715" s="163"/>
      <c r="P2715" s="163"/>
      <c r="Q2715" s="158"/>
      <c r="R2715" s="5"/>
      <c r="S2715" s="5"/>
      <c r="T2715" s="5"/>
      <c r="U2715" s="35"/>
      <c r="V2715" s="164"/>
    </row>
    <row r="2716" customFormat="false" ht="15" hidden="false" customHeight="true" outlineLevel="0" collapsed="false">
      <c r="C2716" s="155"/>
      <c r="D2716" s="156"/>
      <c r="F2716" s="157"/>
      <c r="G2716" s="5"/>
      <c r="H2716" s="165"/>
      <c r="I2716" s="165"/>
      <c r="J2716" s="158"/>
      <c r="K2716" s="159"/>
      <c r="L2716" s="166"/>
      <c r="M2716" s="167"/>
      <c r="N2716" s="168"/>
      <c r="O2716" s="163"/>
      <c r="P2716" s="163"/>
      <c r="Q2716" s="158"/>
      <c r="R2716" s="5"/>
      <c r="S2716" s="169"/>
      <c r="T2716" s="158"/>
      <c r="U2716" s="35"/>
      <c r="V2716" s="164"/>
    </row>
    <row r="2717" customFormat="false" ht="15" hidden="false" customHeight="true" outlineLevel="0" collapsed="false">
      <c r="C2717" s="155"/>
      <c r="D2717" s="156"/>
      <c r="F2717" s="157"/>
      <c r="G2717" s="5"/>
      <c r="H2717" s="165"/>
      <c r="I2717" s="165"/>
      <c r="J2717" s="158"/>
      <c r="K2717" s="159"/>
      <c r="L2717" s="166"/>
      <c r="M2717" s="167"/>
      <c r="N2717" s="168"/>
      <c r="O2717" s="163"/>
      <c r="P2717" s="163"/>
      <c r="Q2717" s="158"/>
      <c r="R2717" s="5"/>
      <c r="S2717" s="169"/>
      <c r="T2717" s="158"/>
      <c r="U2717" s="35"/>
      <c r="V2717" s="164"/>
    </row>
    <row r="2718" customFormat="false" ht="15" hidden="false" customHeight="true" outlineLevel="0" collapsed="false">
      <c r="C2718" s="155"/>
      <c r="D2718" s="156"/>
      <c r="F2718" s="157"/>
      <c r="G2718" s="5"/>
      <c r="H2718" s="165"/>
      <c r="I2718" s="165"/>
      <c r="J2718" s="158"/>
      <c r="K2718" s="159"/>
      <c r="L2718" s="166"/>
      <c r="M2718" s="167"/>
      <c r="N2718" s="168"/>
      <c r="O2718" s="163"/>
      <c r="P2718" s="163"/>
      <c r="Q2718" s="158"/>
      <c r="R2718" s="5"/>
      <c r="S2718" s="169"/>
      <c r="T2718" s="158"/>
      <c r="U2718" s="35"/>
      <c r="V2718" s="164"/>
    </row>
    <row r="2719" customFormat="false" ht="15" hidden="false" customHeight="true" outlineLevel="0" collapsed="false">
      <c r="C2719" s="155"/>
      <c r="D2719" s="156"/>
      <c r="F2719" s="157"/>
      <c r="G2719" s="5"/>
      <c r="H2719" s="165"/>
      <c r="I2719" s="165"/>
      <c r="J2719" s="158"/>
      <c r="K2719" s="159"/>
      <c r="L2719" s="166"/>
      <c r="M2719" s="167"/>
      <c r="N2719" s="168"/>
      <c r="O2719" s="163"/>
      <c r="P2719" s="163"/>
      <c r="Q2719" s="158"/>
      <c r="R2719" s="5"/>
      <c r="S2719" s="169"/>
      <c r="T2719" s="158"/>
      <c r="U2719" s="35"/>
      <c r="V2719" s="164"/>
    </row>
    <row r="2720" customFormat="false" ht="15" hidden="false" customHeight="true" outlineLevel="0" collapsed="false">
      <c r="C2720" s="155"/>
      <c r="D2720" s="156"/>
      <c r="F2720" s="157"/>
      <c r="G2720" s="5"/>
      <c r="H2720" s="165"/>
      <c r="I2720" s="165"/>
      <c r="J2720" s="158"/>
      <c r="K2720" s="159"/>
      <c r="L2720" s="166"/>
      <c r="M2720" s="167"/>
      <c r="N2720" s="168"/>
      <c r="O2720" s="163"/>
      <c r="P2720" s="163"/>
      <c r="Q2720" s="158"/>
      <c r="R2720" s="5"/>
      <c r="S2720" s="169"/>
      <c r="T2720" s="158"/>
      <c r="U2720" s="35"/>
      <c r="V2720" s="164"/>
    </row>
    <row r="2721" customFormat="false" ht="15" hidden="false" customHeight="true" outlineLevel="0" collapsed="false">
      <c r="B2721" s="5"/>
      <c r="C2721" s="155"/>
      <c r="D2721" s="156"/>
      <c r="F2721" s="170"/>
      <c r="G2721" s="5"/>
      <c r="H2721" s="5"/>
      <c r="I2721" s="5"/>
      <c r="J2721" s="158"/>
      <c r="K2721" s="163"/>
      <c r="L2721" s="160"/>
      <c r="M2721" s="174"/>
      <c r="N2721" s="168"/>
      <c r="O2721" s="163"/>
      <c r="P2721" s="160"/>
      <c r="Q2721" s="175"/>
      <c r="R2721" s="5"/>
      <c r="S2721" s="5"/>
      <c r="T2721" s="5"/>
      <c r="U2721" s="35"/>
      <c r="V2721" s="171"/>
      <c r="W2721" s="170"/>
      <c r="X2721" s="176"/>
    </row>
    <row r="2722" customFormat="false" ht="15" hidden="false" customHeight="true" outlineLevel="0" collapsed="false">
      <c r="B2722" s="5"/>
      <c r="C2722" s="155"/>
      <c r="D2722" s="156"/>
      <c r="F2722" s="170"/>
      <c r="G2722" s="5"/>
      <c r="H2722" s="5"/>
      <c r="I2722" s="5"/>
      <c r="J2722" s="158"/>
      <c r="K2722" s="163"/>
      <c r="L2722" s="160"/>
      <c r="M2722" s="174"/>
      <c r="N2722" s="168"/>
      <c r="O2722" s="163"/>
      <c r="P2722" s="160"/>
      <c r="Q2722" s="175"/>
      <c r="R2722" s="5"/>
      <c r="S2722" s="5"/>
      <c r="T2722" s="5"/>
      <c r="U2722" s="35"/>
      <c r="V2722" s="171"/>
      <c r="W2722" s="170"/>
      <c r="X2722" s="176"/>
    </row>
    <row r="2723" customFormat="false" ht="15" hidden="false" customHeight="true" outlineLevel="0" collapsed="false">
      <c r="B2723" s="5"/>
      <c r="C2723" s="155"/>
      <c r="D2723" s="156"/>
      <c r="F2723" s="170"/>
      <c r="G2723" s="5"/>
      <c r="H2723" s="5"/>
      <c r="I2723" s="5"/>
      <c r="J2723" s="158"/>
      <c r="K2723" s="159"/>
      <c r="L2723" s="160"/>
      <c r="M2723" s="174"/>
      <c r="N2723" s="168"/>
      <c r="O2723" s="163"/>
      <c r="P2723" s="160"/>
      <c r="Q2723" s="5"/>
      <c r="R2723" s="5"/>
      <c r="S2723" s="5"/>
      <c r="T2723" s="5"/>
      <c r="U2723" s="35"/>
      <c r="V2723" s="171"/>
    </row>
    <row r="2724" customFormat="false" ht="15" hidden="false" customHeight="true" outlineLevel="0" collapsed="false">
      <c r="B2724" s="5"/>
      <c r="C2724" s="155"/>
      <c r="D2724" s="156"/>
      <c r="F2724" s="170"/>
      <c r="G2724" s="5"/>
      <c r="H2724" s="5"/>
      <c r="I2724" s="5"/>
      <c r="J2724" s="158"/>
      <c r="K2724" s="159"/>
      <c r="L2724" s="160"/>
      <c r="M2724" s="174"/>
      <c r="N2724" s="168"/>
      <c r="O2724" s="163"/>
      <c r="P2724" s="160"/>
      <c r="Q2724" s="5"/>
      <c r="R2724" s="5"/>
      <c r="S2724" s="5"/>
      <c r="T2724" s="5"/>
      <c r="U2724" s="35"/>
      <c r="V2724" s="171"/>
    </row>
    <row r="2725" customFormat="false" ht="15" hidden="false" customHeight="true" outlineLevel="0" collapsed="false">
      <c r="B2725" s="5"/>
      <c r="C2725" s="155"/>
      <c r="D2725" s="156"/>
      <c r="F2725" s="157"/>
      <c r="G2725" s="5"/>
      <c r="H2725" s="5"/>
      <c r="I2725" s="5"/>
      <c r="J2725" s="158"/>
      <c r="K2725" s="159"/>
      <c r="L2725" s="160"/>
      <c r="M2725" s="161"/>
      <c r="N2725" s="162"/>
      <c r="O2725" s="163"/>
      <c r="P2725" s="163"/>
      <c r="Q2725" s="158"/>
      <c r="R2725" s="5"/>
      <c r="S2725" s="5"/>
      <c r="T2725" s="5"/>
      <c r="U2725" s="35"/>
      <c r="V2725" s="171"/>
    </row>
    <row r="2726" customFormat="false" ht="15" hidden="false" customHeight="true" outlineLevel="0" collapsed="false">
      <c r="B2726" s="5"/>
      <c r="C2726" s="155"/>
      <c r="D2726" s="156"/>
      <c r="F2726" s="170"/>
      <c r="G2726" s="5"/>
      <c r="H2726" s="5"/>
      <c r="I2726" s="5"/>
      <c r="J2726" s="158"/>
      <c r="K2726" s="163"/>
      <c r="L2726" s="160"/>
      <c r="M2726" s="174"/>
      <c r="N2726" s="168"/>
      <c r="O2726" s="163"/>
      <c r="P2726" s="160"/>
      <c r="Q2726" s="175"/>
      <c r="R2726" s="5"/>
      <c r="S2726" s="5"/>
      <c r="T2726" s="5"/>
      <c r="U2726" s="165"/>
      <c r="V2726" s="164"/>
      <c r="W2726" s="116"/>
      <c r="X2726" s="116"/>
      <c r="Y2726" s="116"/>
    </row>
    <row r="2727" customFormat="false" ht="15" hidden="false" customHeight="true" outlineLevel="0" collapsed="false">
      <c r="B2727" s="5"/>
      <c r="C2727" s="155"/>
      <c r="D2727" s="156"/>
      <c r="F2727" s="170"/>
      <c r="G2727" s="5"/>
      <c r="H2727" s="5"/>
      <c r="I2727" s="5"/>
      <c r="J2727" s="158"/>
      <c r="K2727" s="163"/>
      <c r="L2727" s="160"/>
      <c r="M2727" s="174"/>
      <c r="N2727" s="168"/>
      <c r="O2727" s="163"/>
      <c r="P2727" s="160"/>
      <c r="Q2727" s="175"/>
      <c r="R2727" s="5"/>
      <c r="S2727" s="5"/>
      <c r="T2727" s="5"/>
      <c r="U2727" s="165"/>
      <c r="V2727" s="164"/>
      <c r="W2727" s="116"/>
      <c r="X2727" s="116"/>
      <c r="Y2727" s="116"/>
    </row>
    <row r="2728" customFormat="false" ht="15" hidden="false" customHeight="true" outlineLevel="0" collapsed="false">
      <c r="B2728" s="5"/>
      <c r="C2728" s="155"/>
      <c r="D2728" s="156"/>
      <c r="F2728" s="170"/>
      <c r="G2728" s="5"/>
      <c r="H2728" s="5"/>
      <c r="I2728" s="5"/>
      <c r="J2728" s="158"/>
      <c r="K2728" s="163"/>
      <c r="L2728" s="160"/>
      <c r="M2728" s="174"/>
      <c r="N2728" s="168"/>
      <c r="O2728" s="160"/>
      <c r="P2728" s="160"/>
      <c r="Q2728" s="175"/>
      <c r="R2728" s="5"/>
      <c r="S2728" s="5"/>
      <c r="T2728" s="5"/>
      <c r="U2728" s="165"/>
      <c r="V2728" s="171"/>
      <c r="W2728" s="116"/>
      <c r="X2728" s="116"/>
      <c r="Y2728" s="116"/>
    </row>
    <row r="2729" customFormat="false" ht="15" hidden="false" customHeight="true" outlineLevel="0" collapsed="false">
      <c r="B2729" s="5"/>
      <c r="C2729" s="155"/>
      <c r="D2729" s="156"/>
      <c r="F2729" s="170"/>
      <c r="G2729" s="5"/>
      <c r="H2729" s="5"/>
      <c r="I2729" s="5"/>
      <c r="J2729" s="158"/>
      <c r="K2729" s="163"/>
      <c r="L2729" s="160"/>
      <c r="M2729" s="174"/>
      <c r="N2729" s="168"/>
      <c r="O2729" s="163"/>
      <c r="P2729" s="160"/>
      <c r="Q2729" s="175"/>
      <c r="R2729" s="5"/>
      <c r="S2729" s="5"/>
      <c r="T2729" s="5"/>
      <c r="U2729" s="35"/>
      <c r="V2729" s="171"/>
      <c r="W2729" s="116"/>
      <c r="X2729" s="116"/>
      <c r="Y2729" s="116"/>
    </row>
    <row r="2730" customFormat="false" ht="15" hidden="false" customHeight="true" outlineLevel="0" collapsed="false">
      <c r="B2730" s="5"/>
      <c r="C2730" s="155"/>
      <c r="D2730" s="156"/>
      <c r="F2730" s="170"/>
      <c r="G2730" s="5"/>
      <c r="H2730" s="5"/>
      <c r="I2730" s="5"/>
      <c r="J2730" s="158"/>
      <c r="K2730" s="163"/>
      <c r="L2730" s="160"/>
      <c r="M2730" s="174"/>
      <c r="N2730" s="168"/>
      <c r="O2730" s="163"/>
      <c r="P2730" s="160"/>
      <c r="Q2730" s="175"/>
      <c r="R2730" s="5"/>
      <c r="S2730" s="5"/>
      <c r="T2730" s="5"/>
      <c r="U2730" s="35"/>
      <c r="V2730" s="171"/>
      <c r="W2730" s="116"/>
    </row>
    <row r="2731" customFormat="false" ht="15" hidden="false" customHeight="true" outlineLevel="0" collapsed="false">
      <c r="B2731" s="5"/>
      <c r="C2731" s="155"/>
      <c r="D2731" s="156"/>
      <c r="F2731" s="157"/>
      <c r="G2731" s="5"/>
      <c r="H2731" s="5"/>
      <c r="I2731" s="5"/>
      <c r="J2731" s="158"/>
      <c r="K2731" s="159"/>
      <c r="L2731" s="160"/>
      <c r="M2731" s="161"/>
      <c r="N2731" s="162"/>
      <c r="O2731" s="163"/>
      <c r="P2731" s="163"/>
      <c r="Q2731" s="158"/>
      <c r="R2731" s="5"/>
      <c r="S2731" s="5"/>
      <c r="T2731" s="5"/>
      <c r="U2731" s="35"/>
      <c r="V2731" s="164"/>
    </row>
    <row r="2732" customFormat="false" ht="15" hidden="false" customHeight="true" outlineLevel="0" collapsed="false">
      <c r="C2732" s="155"/>
      <c r="D2732" s="156"/>
      <c r="F2732" s="157"/>
      <c r="G2732" s="5"/>
      <c r="H2732" s="165"/>
      <c r="I2732" s="165"/>
      <c r="J2732" s="158"/>
      <c r="K2732" s="159"/>
      <c r="L2732" s="166"/>
      <c r="M2732" s="167"/>
      <c r="N2732" s="168"/>
      <c r="O2732" s="163"/>
      <c r="P2732" s="163"/>
      <c r="Q2732" s="158"/>
      <c r="R2732" s="5"/>
      <c r="S2732" s="169"/>
      <c r="T2732" s="158"/>
      <c r="U2732" s="35"/>
      <c r="V2732" s="164"/>
    </row>
    <row r="2733" customFormat="false" ht="15" hidden="false" customHeight="true" outlineLevel="0" collapsed="false">
      <c r="C2733" s="155"/>
      <c r="D2733" s="156"/>
      <c r="F2733" s="157"/>
      <c r="G2733" s="5"/>
      <c r="H2733" s="165"/>
      <c r="I2733" s="165"/>
      <c r="J2733" s="158"/>
      <c r="K2733" s="159"/>
      <c r="L2733" s="166"/>
      <c r="M2733" s="167"/>
      <c r="N2733" s="168"/>
      <c r="O2733" s="163"/>
      <c r="P2733" s="163"/>
      <c r="Q2733" s="158"/>
      <c r="R2733" s="5"/>
      <c r="S2733" s="169"/>
      <c r="T2733" s="158"/>
      <c r="U2733" s="35"/>
      <c r="V2733" s="164"/>
    </row>
    <row r="2734" customFormat="false" ht="15" hidden="false" customHeight="true" outlineLevel="0" collapsed="false">
      <c r="B2734" s="5"/>
      <c r="C2734" s="155"/>
      <c r="D2734" s="156"/>
      <c r="F2734" s="170"/>
      <c r="G2734" s="5"/>
      <c r="H2734" s="5"/>
      <c r="I2734" s="5"/>
      <c r="J2734" s="158"/>
      <c r="K2734" s="163"/>
      <c r="L2734" s="160"/>
      <c r="M2734" s="174"/>
      <c r="N2734" s="168"/>
      <c r="O2734" s="163"/>
      <c r="P2734" s="160"/>
      <c r="Q2734" s="175"/>
      <c r="R2734" s="5"/>
      <c r="S2734" s="5"/>
      <c r="T2734" s="5"/>
      <c r="U2734" s="35"/>
      <c r="V2734" s="171"/>
      <c r="W2734" s="116"/>
      <c r="X2734" s="116"/>
      <c r="Y2734" s="116"/>
    </row>
    <row r="2735" customFormat="false" ht="15" hidden="false" customHeight="true" outlineLevel="0" collapsed="false">
      <c r="B2735" s="5"/>
      <c r="C2735" s="155"/>
      <c r="D2735" s="156"/>
      <c r="F2735" s="170"/>
      <c r="G2735" s="5"/>
      <c r="H2735" s="5"/>
      <c r="I2735" s="5"/>
      <c r="J2735" s="158"/>
      <c r="K2735" s="163"/>
      <c r="L2735" s="160"/>
      <c r="M2735" s="174"/>
      <c r="N2735" s="168"/>
      <c r="O2735" s="163"/>
      <c r="P2735" s="160"/>
      <c r="Q2735" s="175"/>
      <c r="R2735" s="5"/>
      <c r="S2735" s="5"/>
      <c r="T2735" s="5"/>
      <c r="U2735" s="35"/>
      <c r="V2735" s="171"/>
      <c r="W2735" s="116"/>
      <c r="X2735" s="176"/>
    </row>
    <row r="2736" customFormat="false" ht="15" hidden="false" customHeight="true" outlineLevel="0" collapsed="false">
      <c r="B2736" s="5"/>
      <c r="C2736" s="155"/>
      <c r="D2736" s="156"/>
      <c r="F2736" s="170"/>
      <c r="G2736" s="5"/>
      <c r="H2736" s="5"/>
      <c r="I2736" s="5"/>
      <c r="J2736" s="158"/>
      <c r="K2736" s="159"/>
      <c r="L2736" s="160"/>
      <c r="M2736" s="174"/>
      <c r="N2736" s="168"/>
      <c r="O2736" s="163"/>
      <c r="P2736" s="160"/>
      <c r="Q2736" s="175"/>
      <c r="R2736" s="5"/>
      <c r="S2736" s="5"/>
      <c r="T2736" s="5"/>
      <c r="U2736" s="35"/>
      <c r="V2736" s="171"/>
    </row>
    <row r="2737" customFormat="false" ht="15" hidden="false" customHeight="true" outlineLevel="0" collapsed="false">
      <c r="B2737" s="5"/>
      <c r="C2737" s="155"/>
      <c r="D2737" s="156"/>
      <c r="F2737" s="157"/>
      <c r="G2737" s="5"/>
      <c r="H2737" s="5"/>
      <c r="I2737" s="5"/>
      <c r="J2737" s="158"/>
      <c r="K2737" s="159"/>
      <c r="L2737" s="160"/>
      <c r="M2737" s="177"/>
      <c r="N2737" s="162"/>
      <c r="O2737" s="163"/>
      <c r="P2737" s="163"/>
      <c r="Q2737" s="158"/>
      <c r="R2737" s="5"/>
      <c r="S2737" s="5"/>
      <c r="T2737" s="5"/>
      <c r="U2737" s="35"/>
      <c r="V2737" s="171"/>
    </row>
    <row r="2738" customFormat="false" ht="15" hidden="false" customHeight="true" outlineLevel="0" collapsed="false">
      <c r="B2738" s="5"/>
      <c r="C2738" s="155"/>
      <c r="D2738" s="156"/>
      <c r="F2738" s="157"/>
      <c r="G2738" s="5"/>
      <c r="H2738" s="5"/>
      <c r="I2738" s="5"/>
      <c r="J2738" s="158"/>
      <c r="K2738" s="159"/>
      <c r="L2738" s="160"/>
      <c r="M2738" s="161"/>
      <c r="N2738" s="162"/>
      <c r="O2738" s="163"/>
      <c r="P2738" s="163"/>
      <c r="Q2738" s="158"/>
      <c r="R2738" s="5"/>
      <c r="S2738" s="5"/>
      <c r="T2738" s="5"/>
      <c r="U2738" s="35"/>
      <c r="V2738" s="164"/>
    </row>
    <row r="2739" customFormat="false" ht="15" hidden="false" customHeight="true" outlineLevel="0" collapsed="false">
      <c r="B2739" s="5"/>
      <c r="C2739" s="155"/>
      <c r="D2739" s="156"/>
      <c r="F2739" s="157"/>
      <c r="G2739" s="5"/>
      <c r="H2739" s="5"/>
      <c r="I2739" s="5"/>
      <c r="J2739" s="158"/>
      <c r="K2739" s="163"/>
      <c r="L2739" s="160"/>
      <c r="M2739" s="174"/>
      <c r="N2739" s="168"/>
      <c r="O2739" s="163"/>
      <c r="P2739" s="160"/>
      <c r="Q2739" s="175"/>
      <c r="R2739" s="5"/>
      <c r="S2739" s="5"/>
      <c r="T2739" s="5"/>
      <c r="U2739" s="35"/>
      <c r="V2739" s="171"/>
      <c r="W2739" s="116"/>
    </row>
    <row r="2740" customFormat="false" ht="15" hidden="false" customHeight="true" outlineLevel="0" collapsed="false">
      <c r="B2740" s="5"/>
      <c r="C2740" s="155"/>
      <c r="D2740" s="156"/>
      <c r="F2740" s="157"/>
      <c r="G2740" s="5"/>
      <c r="H2740" s="5"/>
      <c r="I2740" s="5"/>
      <c r="J2740" s="158"/>
      <c r="K2740" s="159"/>
      <c r="L2740" s="160"/>
      <c r="M2740" s="177"/>
      <c r="N2740" s="162"/>
      <c r="O2740" s="163"/>
      <c r="P2740" s="163"/>
      <c r="Q2740" s="158"/>
      <c r="R2740" s="5"/>
      <c r="S2740" s="5"/>
      <c r="T2740" s="5"/>
      <c r="U2740" s="35"/>
      <c r="V2740" s="171"/>
    </row>
    <row r="2741" customFormat="false" ht="15" hidden="false" customHeight="true" outlineLevel="0" collapsed="false">
      <c r="B2741" s="5"/>
      <c r="C2741" s="155"/>
      <c r="D2741" s="156"/>
      <c r="F2741" s="157"/>
      <c r="G2741" s="5"/>
      <c r="H2741" s="5"/>
      <c r="I2741" s="5"/>
      <c r="J2741" s="158"/>
      <c r="K2741" s="159"/>
      <c r="L2741" s="160"/>
      <c r="M2741" s="177"/>
      <c r="N2741" s="162"/>
      <c r="O2741" s="163"/>
      <c r="P2741" s="163"/>
      <c r="Q2741" s="158"/>
      <c r="R2741" s="5"/>
      <c r="S2741" s="5"/>
      <c r="T2741" s="5"/>
      <c r="U2741" s="35"/>
      <c r="V2741" s="171"/>
    </row>
    <row r="2742" customFormat="false" ht="15" hidden="false" customHeight="true" outlineLevel="0" collapsed="false">
      <c r="B2742" s="5"/>
      <c r="C2742" s="155"/>
      <c r="D2742" s="156"/>
      <c r="F2742" s="157"/>
      <c r="G2742" s="5"/>
      <c r="H2742" s="5"/>
      <c r="I2742" s="5"/>
      <c r="J2742" s="158"/>
      <c r="K2742" s="159"/>
      <c r="L2742" s="160"/>
      <c r="M2742" s="161"/>
      <c r="N2742" s="162"/>
      <c r="O2742" s="163"/>
      <c r="P2742" s="163"/>
      <c r="Q2742" s="158"/>
      <c r="R2742" s="5"/>
      <c r="S2742" s="5"/>
      <c r="T2742" s="5"/>
      <c r="U2742" s="35"/>
      <c r="V2742" s="164"/>
    </row>
    <row r="2743" customFormat="false" ht="15" hidden="false" customHeight="true" outlineLevel="0" collapsed="false">
      <c r="B2743" s="5"/>
      <c r="C2743" s="155"/>
      <c r="D2743" s="156"/>
      <c r="F2743" s="183"/>
      <c r="G2743" s="5"/>
      <c r="H2743" s="5"/>
      <c r="I2743" s="5"/>
      <c r="J2743" s="158"/>
      <c r="K2743" s="159"/>
      <c r="L2743" s="160"/>
      <c r="M2743" s="161"/>
      <c r="N2743" s="162"/>
      <c r="O2743" s="163"/>
      <c r="P2743" s="163"/>
      <c r="Q2743" s="158"/>
      <c r="R2743" s="5"/>
      <c r="S2743" s="5"/>
      <c r="T2743" s="5"/>
      <c r="U2743" s="35"/>
      <c r="V2743" s="164"/>
    </row>
    <row r="2744" customFormat="false" ht="15" hidden="false" customHeight="true" outlineLevel="0" collapsed="false">
      <c r="B2744" s="5"/>
      <c r="C2744" s="155"/>
      <c r="D2744" s="156"/>
      <c r="F2744" s="157"/>
      <c r="G2744" s="5"/>
      <c r="H2744" s="5"/>
      <c r="I2744" s="5"/>
      <c r="J2744" s="158"/>
      <c r="K2744" s="163"/>
      <c r="L2744" s="160"/>
      <c r="M2744" s="174"/>
      <c r="N2744" s="168"/>
      <c r="O2744" s="163"/>
      <c r="P2744" s="160"/>
      <c r="Q2744" s="175"/>
      <c r="R2744" s="5"/>
      <c r="S2744" s="5"/>
      <c r="T2744" s="5"/>
      <c r="U2744" s="165"/>
      <c r="V2744" s="171"/>
      <c r="W2744" s="116"/>
      <c r="X2744" s="116"/>
      <c r="Y2744" s="116"/>
    </row>
    <row r="2745" customFormat="false" ht="15" hidden="false" customHeight="true" outlineLevel="0" collapsed="false">
      <c r="B2745" s="5"/>
      <c r="C2745" s="155"/>
      <c r="D2745" s="156"/>
      <c r="F2745" s="157"/>
      <c r="G2745" s="5"/>
      <c r="H2745" s="5"/>
      <c r="I2745" s="5"/>
      <c r="J2745" s="158"/>
      <c r="K2745" s="163"/>
      <c r="L2745" s="160"/>
      <c r="M2745" s="174"/>
      <c r="N2745" s="168"/>
      <c r="O2745" s="163"/>
      <c r="P2745" s="160"/>
      <c r="Q2745" s="175"/>
      <c r="R2745" s="5"/>
      <c r="S2745" s="5"/>
      <c r="T2745" s="5"/>
      <c r="U2745" s="35"/>
      <c r="V2745" s="171"/>
      <c r="W2745" s="116"/>
    </row>
    <row r="2746" customFormat="false" ht="15" hidden="false" customHeight="true" outlineLevel="0" collapsed="false">
      <c r="B2746" s="5"/>
      <c r="C2746" s="155"/>
      <c r="D2746" s="156"/>
      <c r="F2746" s="157"/>
      <c r="G2746" s="5"/>
      <c r="H2746" s="5"/>
      <c r="I2746" s="5"/>
      <c r="J2746" s="158"/>
      <c r="K2746" s="159"/>
      <c r="L2746" s="160"/>
      <c r="M2746" s="161"/>
      <c r="N2746" s="162"/>
      <c r="O2746" s="163"/>
      <c r="P2746" s="163"/>
      <c r="Q2746" s="158"/>
      <c r="R2746" s="5"/>
      <c r="S2746" s="5"/>
      <c r="T2746" s="5"/>
      <c r="U2746" s="35"/>
      <c r="V2746" s="171"/>
    </row>
    <row r="2747" customFormat="false" ht="15" hidden="false" customHeight="true" outlineLevel="0" collapsed="false">
      <c r="B2747" s="5"/>
      <c r="C2747" s="155"/>
      <c r="D2747" s="156"/>
      <c r="F2747" s="157"/>
      <c r="G2747" s="5"/>
      <c r="H2747" s="5"/>
      <c r="I2747" s="5"/>
      <c r="J2747" s="158"/>
      <c r="K2747" s="159"/>
      <c r="L2747" s="160"/>
      <c r="M2747" s="161"/>
      <c r="N2747" s="162"/>
      <c r="O2747" s="163"/>
      <c r="P2747" s="163"/>
      <c r="Q2747" s="158"/>
      <c r="R2747" s="5"/>
      <c r="S2747" s="5"/>
      <c r="T2747" s="5"/>
      <c r="U2747" s="35"/>
      <c r="V2747" s="164"/>
    </row>
    <row r="2748" customFormat="false" ht="15" hidden="false" customHeight="true" outlineLevel="0" collapsed="false">
      <c r="B2748" s="5"/>
      <c r="C2748" s="155"/>
      <c r="D2748" s="156"/>
      <c r="F2748" s="157"/>
      <c r="G2748" s="5"/>
      <c r="H2748" s="5"/>
      <c r="I2748" s="5"/>
      <c r="J2748" s="158"/>
      <c r="K2748" s="159"/>
      <c r="L2748" s="160"/>
      <c r="M2748" s="161"/>
      <c r="N2748" s="162"/>
      <c r="O2748" s="163"/>
      <c r="P2748" s="163"/>
      <c r="Q2748" s="158"/>
      <c r="R2748" s="5"/>
      <c r="S2748" s="5"/>
      <c r="T2748" s="5"/>
      <c r="U2748" s="35"/>
      <c r="V2748" s="164"/>
    </row>
    <row r="2749" customFormat="false" ht="15" hidden="false" customHeight="true" outlineLevel="0" collapsed="false">
      <c r="B2749" s="5"/>
      <c r="C2749" s="155"/>
      <c r="D2749" s="156"/>
      <c r="F2749" s="157"/>
      <c r="G2749" s="5"/>
      <c r="H2749" s="5"/>
      <c r="I2749" s="5"/>
      <c r="J2749" s="158"/>
      <c r="K2749" s="159"/>
      <c r="L2749" s="160"/>
      <c r="M2749" s="161"/>
      <c r="N2749" s="162"/>
      <c r="O2749" s="163"/>
      <c r="P2749" s="163"/>
      <c r="Q2749" s="158"/>
      <c r="R2749" s="5"/>
      <c r="S2749" s="5"/>
      <c r="T2749" s="5"/>
      <c r="U2749" s="35"/>
      <c r="V2749" s="164"/>
    </row>
    <row r="2750" customFormat="false" ht="15" hidden="false" customHeight="true" outlineLevel="0" collapsed="false">
      <c r="C2750" s="155"/>
      <c r="D2750" s="156"/>
      <c r="F2750" s="157"/>
      <c r="G2750" s="5"/>
      <c r="H2750" s="165"/>
      <c r="I2750" s="165"/>
      <c r="J2750" s="158"/>
      <c r="K2750" s="159"/>
      <c r="L2750" s="166"/>
      <c r="M2750" s="167"/>
      <c r="N2750" s="168"/>
      <c r="O2750" s="163"/>
      <c r="P2750" s="163"/>
      <c r="Q2750" s="158"/>
      <c r="R2750" s="5"/>
      <c r="S2750" s="169"/>
      <c r="T2750" s="158"/>
      <c r="U2750" s="35"/>
      <c r="V2750" s="164"/>
    </row>
    <row r="2751" customFormat="false" ht="15" hidden="false" customHeight="true" outlineLevel="0" collapsed="false">
      <c r="C2751" s="155"/>
      <c r="D2751" s="156"/>
      <c r="F2751" s="157"/>
      <c r="G2751" s="5"/>
      <c r="H2751" s="165"/>
      <c r="I2751" s="165"/>
      <c r="J2751" s="158"/>
      <c r="K2751" s="159"/>
      <c r="L2751" s="166"/>
      <c r="M2751" s="167"/>
      <c r="N2751" s="168"/>
      <c r="O2751" s="163"/>
      <c r="P2751" s="163"/>
      <c r="Q2751" s="158"/>
      <c r="R2751" s="5"/>
      <c r="S2751" s="169"/>
      <c r="T2751" s="158"/>
      <c r="U2751" s="35"/>
      <c r="V2751" s="164"/>
    </row>
    <row r="2752" customFormat="false" ht="15" hidden="false" customHeight="true" outlineLevel="0" collapsed="false">
      <c r="C2752" s="155"/>
      <c r="D2752" s="156"/>
      <c r="F2752" s="157"/>
      <c r="G2752" s="5"/>
      <c r="H2752" s="165"/>
      <c r="I2752" s="165"/>
      <c r="J2752" s="158"/>
      <c r="K2752" s="159"/>
      <c r="L2752" s="166"/>
      <c r="M2752" s="167"/>
      <c r="N2752" s="168"/>
      <c r="O2752" s="163"/>
      <c r="P2752" s="163"/>
      <c r="Q2752" s="158"/>
      <c r="R2752" s="5"/>
      <c r="S2752" s="169"/>
      <c r="T2752" s="158"/>
      <c r="U2752" s="35"/>
      <c r="V2752" s="164"/>
    </row>
    <row r="2753" customFormat="false" ht="15" hidden="false" customHeight="true" outlineLevel="0" collapsed="false">
      <c r="B2753" s="5"/>
      <c r="C2753" s="155"/>
      <c r="D2753" s="156"/>
      <c r="F2753" s="157"/>
      <c r="G2753" s="5"/>
      <c r="H2753" s="5"/>
      <c r="I2753" s="5"/>
      <c r="J2753" s="158"/>
      <c r="K2753" s="163"/>
      <c r="L2753" s="160"/>
      <c r="M2753" s="174"/>
      <c r="N2753" s="168"/>
      <c r="O2753" s="163"/>
      <c r="P2753" s="160"/>
      <c r="Q2753" s="175"/>
      <c r="R2753" s="5"/>
      <c r="S2753" s="5"/>
      <c r="T2753" s="5"/>
      <c r="U2753" s="165"/>
      <c r="V2753" s="164"/>
      <c r="W2753" s="116"/>
      <c r="X2753" s="116"/>
      <c r="Y2753" s="116"/>
    </row>
    <row r="2754" customFormat="false" ht="15" hidden="false" customHeight="true" outlineLevel="0" collapsed="false">
      <c r="B2754" s="5"/>
      <c r="C2754" s="155"/>
      <c r="D2754" s="156"/>
      <c r="F2754" s="157"/>
      <c r="G2754" s="5"/>
      <c r="H2754" s="5"/>
      <c r="I2754" s="5"/>
      <c r="J2754" s="158"/>
      <c r="K2754" s="163"/>
      <c r="L2754" s="160"/>
      <c r="M2754" s="174"/>
      <c r="N2754" s="168"/>
      <c r="O2754" s="160"/>
      <c r="P2754" s="160"/>
      <c r="Q2754" s="175"/>
      <c r="R2754" s="5"/>
      <c r="S2754" s="5"/>
      <c r="T2754" s="5"/>
      <c r="U2754" s="165"/>
      <c r="V2754" s="171"/>
      <c r="W2754" s="116"/>
      <c r="X2754" s="116"/>
      <c r="Y2754" s="116"/>
    </row>
    <row r="2755" customFormat="false" ht="15" hidden="false" customHeight="true" outlineLevel="0" collapsed="false">
      <c r="B2755" s="5"/>
      <c r="C2755" s="155"/>
      <c r="D2755" s="156"/>
      <c r="F2755" s="157"/>
      <c r="G2755" s="5"/>
      <c r="H2755" s="5"/>
      <c r="I2755" s="5"/>
      <c r="J2755" s="158"/>
      <c r="K2755" s="163"/>
      <c r="L2755" s="160"/>
      <c r="M2755" s="174"/>
      <c r="N2755" s="168"/>
      <c r="O2755" s="163"/>
      <c r="P2755" s="160"/>
      <c r="Q2755" s="175"/>
      <c r="R2755" s="5"/>
      <c r="S2755" s="5"/>
      <c r="T2755" s="5"/>
      <c r="U2755" s="35"/>
      <c r="V2755" s="171"/>
      <c r="W2755" s="170"/>
      <c r="X2755" s="176"/>
    </row>
    <row r="2756" customFormat="false" ht="15" hidden="false" customHeight="true" outlineLevel="0" collapsed="false">
      <c r="B2756" s="5"/>
      <c r="C2756" s="155"/>
      <c r="D2756" s="156"/>
      <c r="F2756" s="157"/>
      <c r="G2756" s="5"/>
      <c r="H2756" s="5"/>
      <c r="I2756" s="5"/>
      <c r="J2756" s="158"/>
      <c r="K2756" s="163"/>
      <c r="L2756" s="160"/>
      <c r="M2756" s="174"/>
      <c r="N2756" s="168"/>
      <c r="O2756" s="163"/>
      <c r="P2756" s="160"/>
      <c r="Q2756" s="175"/>
      <c r="R2756" s="5"/>
      <c r="S2756" s="5"/>
      <c r="T2756" s="5"/>
      <c r="U2756" s="35"/>
      <c r="V2756" s="171"/>
      <c r="W2756" s="170"/>
      <c r="X2756" s="176"/>
    </row>
    <row r="2757" customFormat="false" ht="15" hidden="false" customHeight="true" outlineLevel="0" collapsed="false">
      <c r="B2757" s="5"/>
      <c r="C2757" s="155"/>
      <c r="D2757" s="156"/>
      <c r="F2757" s="157"/>
      <c r="G2757" s="5"/>
      <c r="H2757" s="5"/>
      <c r="I2757" s="5"/>
      <c r="J2757" s="158"/>
      <c r="K2757" s="159"/>
      <c r="L2757" s="160"/>
      <c r="M2757" s="174"/>
      <c r="N2757" s="168"/>
      <c r="O2757" s="163"/>
      <c r="P2757" s="160"/>
      <c r="Q2757" s="5"/>
      <c r="R2757" s="5"/>
      <c r="S2757" s="5"/>
      <c r="T2757" s="5"/>
      <c r="U2757" s="35"/>
      <c r="V2757" s="171"/>
    </row>
    <row r="2758" customFormat="false" ht="15" hidden="false" customHeight="true" outlineLevel="0" collapsed="false">
      <c r="B2758" s="5"/>
      <c r="C2758" s="155"/>
      <c r="D2758" s="156"/>
      <c r="F2758" s="157"/>
      <c r="G2758" s="5"/>
      <c r="H2758" s="5"/>
      <c r="I2758" s="5"/>
      <c r="J2758" s="158"/>
      <c r="K2758" s="159"/>
      <c r="L2758" s="160"/>
      <c r="M2758" s="161"/>
      <c r="N2758" s="162"/>
      <c r="O2758" s="163"/>
      <c r="P2758" s="160"/>
      <c r="Q2758" s="5"/>
      <c r="R2758" s="5"/>
      <c r="S2758" s="5"/>
      <c r="T2758" s="5"/>
      <c r="U2758" s="35"/>
      <c r="V2758" s="171"/>
      <c r="W2758" s="172"/>
      <c r="X2758" s="173"/>
    </row>
    <row r="2759" customFormat="false" ht="15" hidden="false" customHeight="true" outlineLevel="0" collapsed="false">
      <c r="B2759" s="5"/>
      <c r="C2759" s="155"/>
      <c r="D2759" s="156"/>
      <c r="F2759" s="157"/>
      <c r="G2759" s="5"/>
      <c r="H2759" s="5"/>
      <c r="I2759" s="5"/>
      <c r="J2759" s="158"/>
      <c r="K2759" s="159"/>
      <c r="L2759" s="160"/>
      <c r="M2759" s="161"/>
      <c r="N2759" s="162"/>
      <c r="O2759" s="163"/>
      <c r="P2759" s="163"/>
      <c r="Q2759" s="158"/>
      <c r="R2759" s="5"/>
      <c r="S2759" s="5"/>
      <c r="T2759" s="5"/>
      <c r="U2759" s="35"/>
      <c r="V2759" s="171"/>
    </row>
    <row r="2760" customFormat="false" ht="15" hidden="false" customHeight="true" outlineLevel="0" collapsed="false">
      <c r="B2760" s="5"/>
      <c r="C2760" s="155"/>
      <c r="D2760" s="156"/>
      <c r="F2760" s="157"/>
      <c r="G2760" s="5"/>
      <c r="H2760" s="5"/>
      <c r="I2760" s="5"/>
      <c r="J2760" s="158"/>
      <c r="K2760" s="159"/>
      <c r="L2760" s="160"/>
      <c r="M2760" s="186"/>
      <c r="N2760" s="162"/>
      <c r="O2760" s="163"/>
      <c r="P2760" s="163"/>
      <c r="Q2760" s="158"/>
      <c r="R2760" s="5"/>
      <c r="S2760" s="5"/>
      <c r="T2760" s="5"/>
      <c r="U2760" s="35"/>
      <c r="V2760" s="171"/>
    </row>
    <row r="2761" customFormat="false" ht="15" hidden="false" customHeight="true" outlineLevel="0" collapsed="false">
      <c r="B2761" s="5"/>
      <c r="C2761" s="155"/>
      <c r="D2761" s="156"/>
      <c r="F2761" s="157"/>
      <c r="G2761" s="5"/>
      <c r="H2761" s="5"/>
      <c r="I2761" s="5"/>
      <c r="J2761" s="158"/>
      <c r="K2761" s="159"/>
      <c r="L2761" s="160"/>
      <c r="M2761" s="161"/>
      <c r="N2761" s="162"/>
      <c r="O2761" s="163"/>
      <c r="P2761" s="163"/>
      <c r="Q2761" s="158"/>
      <c r="R2761" s="5"/>
      <c r="S2761" s="5"/>
      <c r="T2761" s="5"/>
      <c r="U2761" s="35"/>
      <c r="V2761" s="164"/>
    </row>
    <row r="2762" customFormat="false" ht="15" hidden="false" customHeight="true" outlineLevel="0" collapsed="false">
      <c r="B2762" s="5"/>
      <c r="C2762" s="155"/>
      <c r="D2762" s="156"/>
      <c r="F2762" s="157"/>
      <c r="G2762" s="5"/>
      <c r="H2762" s="5"/>
      <c r="I2762" s="5"/>
      <c r="J2762" s="158"/>
      <c r="K2762" s="159"/>
      <c r="L2762" s="160"/>
      <c r="M2762" s="161"/>
      <c r="N2762" s="162"/>
      <c r="O2762" s="163"/>
      <c r="P2762" s="163"/>
      <c r="Q2762" s="158"/>
      <c r="R2762" s="5"/>
      <c r="S2762" s="5"/>
      <c r="T2762" s="5"/>
      <c r="U2762" s="35"/>
      <c r="V2762" s="164"/>
    </row>
    <row r="2763" customFormat="false" ht="15" hidden="false" customHeight="true" outlineLevel="0" collapsed="false">
      <c r="B2763" s="5"/>
      <c r="C2763" s="155"/>
      <c r="D2763" s="156"/>
      <c r="F2763" s="157"/>
      <c r="G2763" s="5"/>
      <c r="H2763" s="5"/>
      <c r="I2763" s="5"/>
      <c r="J2763" s="158"/>
      <c r="K2763" s="159"/>
      <c r="L2763" s="160"/>
      <c r="M2763" s="161"/>
      <c r="N2763" s="162"/>
      <c r="O2763" s="163"/>
      <c r="P2763" s="163"/>
      <c r="Q2763" s="158"/>
      <c r="R2763" s="5"/>
      <c r="S2763" s="5"/>
      <c r="T2763" s="5"/>
      <c r="U2763" s="35"/>
      <c r="V2763" s="164"/>
    </row>
    <row r="2764" customFormat="false" ht="15" hidden="false" customHeight="true" outlineLevel="0" collapsed="false">
      <c r="B2764" s="5"/>
      <c r="C2764" s="155"/>
      <c r="D2764" s="156"/>
      <c r="F2764" s="157"/>
      <c r="G2764" s="5"/>
      <c r="H2764" s="5"/>
      <c r="I2764" s="5"/>
      <c r="J2764" s="158"/>
      <c r="K2764" s="159"/>
      <c r="L2764" s="160"/>
      <c r="M2764" s="161"/>
      <c r="N2764" s="162"/>
      <c r="O2764" s="163"/>
      <c r="P2764" s="163"/>
      <c r="Q2764" s="158"/>
      <c r="R2764" s="5"/>
      <c r="S2764" s="5"/>
      <c r="T2764" s="5"/>
      <c r="U2764" s="35"/>
      <c r="V2764" s="164"/>
    </row>
    <row r="2765" customFormat="false" ht="15" hidden="false" customHeight="true" outlineLevel="0" collapsed="false">
      <c r="B2765" s="5"/>
      <c r="C2765" s="155"/>
      <c r="D2765" s="156"/>
      <c r="F2765" s="157"/>
      <c r="G2765" s="5"/>
      <c r="H2765" s="5"/>
      <c r="I2765" s="5"/>
      <c r="J2765" s="158"/>
      <c r="K2765" s="159"/>
      <c r="L2765" s="160"/>
      <c r="M2765" s="161"/>
      <c r="N2765" s="162"/>
      <c r="O2765" s="163"/>
      <c r="P2765" s="163"/>
      <c r="Q2765" s="158"/>
      <c r="R2765" s="5"/>
      <c r="S2765" s="5"/>
      <c r="T2765" s="5"/>
      <c r="U2765" s="35"/>
      <c r="V2765" s="164"/>
    </row>
    <row r="2766" customFormat="false" ht="15" hidden="false" customHeight="true" outlineLevel="0" collapsed="false">
      <c r="C2766" s="155"/>
      <c r="D2766" s="156"/>
      <c r="F2766" s="157"/>
      <c r="G2766" s="5"/>
      <c r="H2766" s="165"/>
      <c r="I2766" s="165"/>
      <c r="J2766" s="158"/>
      <c r="K2766" s="159"/>
      <c r="L2766" s="166"/>
      <c r="M2766" s="167"/>
      <c r="N2766" s="168"/>
      <c r="O2766" s="163"/>
      <c r="P2766" s="163"/>
      <c r="Q2766" s="158"/>
      <c r="R2766" s="5"/>
      <c r="S2766" s="169"/>
      <c r="T2766" s="158"/>
      <c r="U2766" s="35"/>
      <c r="V2766" s="164"/>
    </row>
    <row r="2767" customFormat="false" ht="15" hidden="false" customHeight="true" outlineLevel="0" collapsed="false">
      <c r="C2767" s="155"/>
      <c r="D2767" s="156"/>
      <c r="F2767" s="157"/>
      <c r="G2767" s="5"/>
      <c r="H2767" s="165"/>
      <c r="I2767" s="165"/>
      <c r="J2767" s="158"/>
      <c r="K2767" s="159"/>
      <c r="L2767" s="166"/>
      <c r="M2767" s="167"/>
      <c r="N2767" s="168"/>
      <c r="O2767" s="163"/>
      <c r="P2767" s="163"/>
      <c r="Q2767" s="158"/>
      <c r="R2767" s="5"/>
      <c r="S2767" s="169"/>
      <c r="T2767" s="158"/>
      <c r="U2767" s="35"/>
      <c r="V2767" s="164"/>
    </row>
    <row r="2768" customFormat="false" ht="15" hidden="false" customHeight="true" outlineLevel="0" collapsed="false">
      <c r="C2768" s="155"/>
      <c r="D2768" s="156"/>
      <c r="F2768" s="157"/>
      <c r="G2768" s="5"/>
      <c r="H2768" s="165"/>
      <c r="I2768" s="165"/>
      <c r="J2768" s="158"/>
      <c r="K2768" s="159"/>
      <c r="L2768" s="166"/>
      <c r="M2768" s="167"/>
      <c r="N2768" s="168"/>
      <c r="O2768" s="163"/>
      <c r="P2768" s="163"/>
      <c r="Q2768" s="158"/>
      <c r="R2768" s="5"/>
      <c r="S2768" s="169"/>
      <c r="T2768" s="158"/>
      <c r="U2768" s="35"/>
      <c r="V2768" s="164"/>
    </row>
    <row r="2769" customFormat="false" ht="15" hidden="false" customHeight="true" outlineLevel="0" collapsed="false">
      <c r="C2769" s="155"/>
      <c r="D2769" s="156"/>
      <c r="F2769" s="157"/>
      <c r="G2769" s="5"/>
      <c r="H2769" s="165"/>
      <c r="I2769" s="165"/>
      <c r="J2769" s="158"/>
      <c r="K2769" s="159"/>
      <c r="L2769" s="166"/>
      <c r="M2769" s="167"/>
      <c r="N2769" s="168"/>
      <c r="O2769" s="163"/>
      <c r="P2769" s="163"/>
      <c r="Q2769" s="158"/>
      <c r="R2769" s="5"/>
      <c r="S2769" s="169"/>
      <c r="T2769" s="158"/>
      <c r="U2769" s="35"/>
      <c r="V2769" s="164"/>
    </row>
    <row r="2770" customFormat="false" ht="15" hidden="false" customHeight="true" outlineLevel="0" collapsed="false">
      <c r="C2770" s="155"/>
      <c r="D2770" s="156"/>
      <c r="F2770" s="157"/>
      <c r="G2770" s="5"/>
      <c r="H2770" s="165"/>
      <c r="I2770" s="165"/>
      <c r="J2770" s="158"/>
      <c r="K2770" s="159"/>
      <c r="L2770" s="166"/>
      <c r="M2770" s="167"/>
      <c r="N2770" s="168"/>
      <c r="O2770" s="163"/>
      <c r="P2770" s="163"/>
      <c r="Q2770" s="158"/>
      <c r="R2770" s="5"/>
      <c r="S2770" s="169"/>
      <c r="T2770" s="158"/>
      <c r="U2770" s="35"/>
      <c r="V2770" s="164"/>
    </row>
    <row r="2771" customFormat="false" ht="15" hidden="false" customHeight="true" outlineLevel="0" collapsed="false">
      <c r="C2771" s="155"/>
      <c r="D2771" s="156"/>
      <c r="F2771" s="157"/>
      <c r="G2771" s="5"/>
      <c r="H2771" s="165"/>
      <c r="I2771" s="165"/>
      <c r="J2771" s="158"/>
      <c r="K2771" s="159"/>
      <c r="L2771" s="166"/>
      <c r="M2771" s="167"/>
      <c r="N2771" s="168"/>
      <c r="O2771" s="163"/>
      <c r="P2771" s="163"/>
      <c r="Q2771" s="158"/>
      <c r="R2771" s="5"/>
      <c r="S2771" s="169"/>
      <c r="T2771" s="158"/>
      <c r="U2771" s="35"/>
      <c r="V2771" s="164"/>
    </row>
    <row r="2772" customFormat="false" ht="15" hidden="false" customHeight="true" outlineLevel="0" collapsed="false">
      <c r="B2772" s="5"/>
      <c r="C2772" s="155"/>
      <c r="D2772" s="156"/>
      <c r="F2772" s="170"/>
      <c r="G2772" s="5"/>
      <c r="H2772" s="5"/>
      <c r="I2772" s="5"/>
      <c r="J2772" s="158"/>
      <c r="K2772" s="187"/>
      <c r="L2772" s="188"/>
      <c r="M2772" s="178"/>
      <c r="N2772" s="162"/>
      <c r="O2772" s="163"/>
      <c r="P2772" s="163"/>
      <c r="Q2772" s="180"/>
      <c r="R2772" s="5"/>
      <c r="S2772" s="5"/>
      <c r="T2772" s="5"/>
      <c r="U2772" s="35"/>
      <c r="V2772" s="171"/>
    </row>
    <row r="2773" customFormat="false" ht="15" hidden="false" customHeight="true" outlineLevel="0" collapsed="false">
      <c r="B2773" s="5"/>
      <c r="C2773" s="155"/>
      <c r="D2773" s="156"/>
      <c r="F2773" s="170"/>
      <c r="G2773" s="5"/>
      <c r="H2773" s="5"/>
      <c r="I2773" s="5"/>
      <c r="J2773" s="158"/>
      <c r="K2773" s="187"/>
      <c r="L2773" s="188"/>
      <c r="M2773" s="178"/>
      <c r="N2773" s="162"/>
      <c r="O2773" s="163"/>
      <c r="P2773" s="163"/>
      <c r="Q2773" s="180"/>
      <c r="R2773" s="5"/>
      <c r="S2773" s="5"/>
      <c r="T2773" s="5"/>
      <c r="U2773" s="35"/>
      <c r="V2773" s="171"/>
    </row>
    <row r="2774" customFormat="false" ht="15" hidden="false" customHeight="true" outlineLevel="0" collapsed="false">
      <c r="B2774" s="5"/>
      <c r="C2774" s="155"/>
      <c r="D2774" s="156"/>
      <c r="F2774" s="170"/>
      <c r="G2774" s="5"/>
      <c r="H2774" s="5"/>
      <c r="I2774" s="5"/>
      <c r="J2774" s="158"/>
      <c r="K2774" s="163"/>
      <c r="L2774" s="160"/>
      <c r="M2774" s="174"/>
      <c r="N2774" s="168"/>
      <c r="O2774" s="163"/>
      <c r="P2774" s="160"/>
      <c r="Q2774" s="175"/>
      <c r="R2774" s="5"/>
      <c r="S2774" s="5"/>
      <c r="T2774" s="5"/>
      <c r="U2774" s="165"/>
      <c r="V2774" s="164"/>
      <c r="W2774" s="116"/>
      <c r="X2774" s="116"/>
      <c r="Y2774" s="116"/>
    </row>
    <row r="2775" customFormat="false" ht="15" hidden="false" customHeight="true" outlineLevel="0" collapsed="false">
      <c r="B2775" s="5"/>
      <c r="C2775" s="155"/>
      <c r="D2775" s="156"/>
      <c r="F2775" s="157"/>
      <c r="G2775" s="5"/>
      <c r="H2775" s="5"/>
      <c r="I2775" s="5"/>
      <c r="J2775" s="158"/>
      <c r="K2775" s="159"/>
      <c r="L2775" s="160"/>
      <c r="M2775" s="161"/>
      <c r="N2775" s="162"/>
      <c r="O2775" s="163"/>
      <c r="P2775" s="163"/>
      <c r="Q2775" s="158"/>
      <c r="R2775" s="5"/>
      <c r="S2775" s="5"/>
      <c r="T2775" s="5"/>
      <c r="U2775" s="35"/>
      <c r="V2775" s="164"/>
    </row>
    <row r="2776" customFormat="false" ht="15" hidden="false" customHeight="true" outlineLevel="0" collapsed="false">
      <c r="C2776" s="155"/>
      <c r="D2776" s="156"/>
      <c r="F2776" s="157"/>
      <c r="G2776" s="5"/>
      <c r="H2776" s="165"/>
      <c r="I2776" s="165"/>
      <c r="J2776" s="158"/>
      <c r="K2776" s="159"/>
      <c r="L2776" s="166"/>
      <c r="M2776" s="167"/>
      <c r="N2776" s="168"/>
      <c r="O2776" s="163"/>
      <c r="P2776" s="163"/>
      <c r="Q2776" s="158"/>
      <c r="R2776" s="5"/>
      <c r="S2776" s="169"/>
      <c r="T2776" s="158"/>
      <c r="U2776" s="35"/>
      <c r="V2776" s="164"/>
    </row>
    <row r="2777" customFormat="false" ht="15" hidden="false" customHeight="true" outlineLevel="0" collapsed="false">
      <c r="B2777" s="5"/>
      <c r="C2777" s="155"/>
      <c r="D2777" s="156"/>
      <c r="F2777" s="170"/>
      <c r="G2777" s="5"/>
      <c r="H2777" s="5"/>
      <c r="I2777" s="5"/>
      <c r="J2777" s="158"/>
      <c r="K2777" s="163"/>
      <c r="L2777" s="160"/>
      <c r="M2777" s="174"/>
      <c r="N2777" s="168"/>
      <c r="O2777" s="163"/>
      <c r="P2777" s="160"/>
      <c r="Q2777" s="175"/>
      <c r="R2777" s="5"/>
      <c r="S2777" s="5"/>
      <c r="T2777" s="5"/>
      <c r="U2777" s="35"/>
      <c r="V2777" s="171"/>
      <c r="W2777" s="170"/>
      <c r="X2777" s="176"/>
    </row>
    <row r="2778" customFormat="false" ht="15" hidden="false" customHeight="true" outlineLevel="0" collapsed="false">
      <c r="B2778" s="5"/>
      <c r="C2778" s="155"/>
      <c r="D2778" s="156"/>
      <c r="F2778" s="170"/>
      <c r="G2778" s="5"/>
      <c r="H2778" s="5"/>
      <c r="I2778" s="5"/>
      <c r="J2778" s="158"/>
      <c r="K2778" s="163"/>
      <c r="L2778" s="160"/>
      <c r="M2778" s="174"/>
      <c r="N2778" s="168"/>
      <c r="O2778" s="163"/>
      <c r="P2778" s="160"/>
      <c r="Q2778" s="175"/>
      <c r="R2778" s="5"/>
      <c r="S2778" s="5"/>
      <c r="T2778" s="5"/>
      <c r="U2778" s="35"/>
      <c r="V2778" s="171"/>
      <c r="W2778" s="170"/>
      <c r="X2778" s="176"/>
    </row>
    <row r="2779" customFormat="false" ht="15" hidden="false" customHeight="true" outlineLevel="0" collapsed="false">
      <c r="B2779" s="5"/>
      <c r="C2779" s="155"/>
      <c r="D2779" s="156"/>
      <c r="F2779" s="157"/>
      <c r="G2779" s="5"/>
      <c r="H2779" s="5"/>
      <c r="I2779" s="5"/>
      <c r="J2779" s="158"/>
      <c r="K2779" s="159"/>
      <c r="L2779" s="160"/>
      <c r="M2779" s="177"/>
      <c r="N2779" s="162"/>
      <c r="O2779" s="163"/>
      <c r="P2779" s="163"/>
      <c r="Q2779" s="158"/>
      <c r="R2779" s="5"/>
      <c r="S2779" s="5"/>
      <c r="T2779" s="5"/>
      <c r="U2779" s="35"/>
      <c r="V2779" s="171"/>
    </row>
    <row r="2780" customFormat="false" ht="15" hidden="false" customHeight="true" outlineLevel="0" collapsed="false">
      <c r="B2780" s="5"/>
      <c r="C2780" s="155"/>
      <c r="D2780" s="156"/>
      <c r="F2780" s="157"/>
      <c r="G2780" s="5"/>
      <c r="H2780" s="5"/>
      <c r="I2780" s="5"/>
      <c r="J2780" s="158"/>
      <c r="K2780" s="159"/>
      <c r="L2780" s="160"/>
      <c r="M2780" s="177"/>
      <c r="N2780" s="162"/>
      <c r="O2780" s="163"/>
      <c r="P2780" s="163"/>
      <c r="Q2780" s="158"/>
      <c r="R2780" s="5"/>
      <c r="S2780" s="5"/>
      <c r="T2780" s="5"/>
      <c r="U2780" s="35"/>
      <c r="V2780" s="171"/>
    </row>
    <row r="2781" customFormat="false" ht="15" hidden="false" customHeight="true" outlineLevel="0" collapsed="false">
      <c r="B2781" s="5"/>
      <c r="C2781" s="155"/>
      <c r="D2781" s="156"/>
      <c r="F2781" s="157"/>
      <c r="G2781" s="5"/>
      <c r="H2781" s="5"/>
      <c r="I2781" s="5"/>
      <c r="J2781" s="158"/>
      <c r="K2781" s="159"/>
      <c r="L2781" s="160"/>
      <c r="M2781" s="161"/>
      <c r="N2781" s="162"/>
      <c r="O2781" s="163"/>
      <c r="P2781" s="163"/>
      <c r="Q2781" s="158"/>
      <c r="R2781" s="5"/>
      <c r="S2781" s="5"/>
      <c r="T2781" s="5"/>
      <c r="U2781" s="35"/>
      <c r="V2781" s="164"/>
    </row>
    <row r="2782" customFormat="false" ht="15" hidden="false" customHeight="true" outlineLevel="0" collapsed="false">
      <c r="B2782" s="5"/>
      <c r="C2782" s="155"/>
      <c r="D2782" s="156"/>
      <c r="F2782" s="157"/>
      <c r="G2782" s="5"/>
      <c r="H2782" s="5"/>
      <c r="I2782" s="5"/>
      <c r="J2782" s="158"/>
      <c r="K2782" s="159"/>
      <c r="L2782" s="160"/>
      <c r="M2782" s="161"/>
      <c r="N2782" s="162"/>
      <c r="O2782" s="163"/>
      <c r="P2782" s="163"/>
      <c r="Q2782" s="158"/>
      <c r="R2782" s="5"/>
      <c r="S2782" s="5"/>
      <c r="T2782" s="5"/>
      <c r="U2782" s="35"/>
      <c r="V2782" s="164"/>
    </row>
    <row r="2783" customFormat="false" ht="15" hidden="false" customHeight="true" outlineLevel="0" collapsed="false">
      <c r="C2783" s="155"/>
      <c r="D2783" s="156"/>
      <c r="F2783" s="157"/>
      <c r="G2783" s="5"/>
      <c r="H2783" s="165"/>
      <c r="I2783" s="165"/>
      <c r="J2783" s="158"/>
      <c r="K2783" s="159"/>
      <c r="L2783" s="166"/>
      <c r="M2783" s="167"/>
      <c r="N2783" s="168"/>
      <c r="O2783" s="163"/>
      <c r="P2783" s="163"/>
      <c r="Q2783" s="158"/>
      <c r="R2783" s="5"/>
      <c r="S2783" s="169"/>
      <c r="T2783" s="158"/>
      <c r="U2783" s="35"/>
      <c r="V2783" s="164"/>
    </row>
    <row r="2784" customFormat="false" ht="15" hidden="false" customHeight="true" outlineLevel="0" collapsed="false">
      <c r="C2784" s="155"/>
      <c r="D2784" s="156"/>
      <c r="F2784" s="157"/>
      <c r="G2784" s="5"/>
      <c r="H2784" s="165"/>
      <c r="I2784" s="165"/>
      <c r="J2784" s="158"/>
      <c r="K2784" s="159"/>
      <c r="L2784" s="166"/>
      <c r="M2784" s="167"/>
      <c r="N2784" s="168"/>
      <c r="O2784" s="163"/>
      <c r="P2784" s="163"/>
      <c r="Q2784" s="158"/>
      <c r="R2784" s="5"/>
      <c r="S2784" s="169"/>
      <c r="T2784" s="158"/>
      <c r="U2784" s="35"/>
      <c r="V2784" s="164"/>
    </row>
    <row r="2785" customFormat="false" ht="15" hidden="false" customHeight="true" outlineLevel="0" collapsed="false">
      <c r="C2785" s="155"/>
      <c r="D2785" s="156"/>
      <c r="F2785" s="157"/>
      <c r="G2785" s="5"/>
      <c r="H2785" s="165"/>
      <c r="I2785" s="165"/>
      <c r="J2785" s="158"/>
      <c r="K2785" s="159"/>
      <c r="L2785" s="166"/>
      <c r="M2785" s="167"/>
      <c r="N2785" s="168"/>
      <c r="O2785" s="163"/>
      <c r="P2785" s="163"/>
      <c r="Q2785" s="158"/>
      <c r="R2785" s="5"/>
      <c r="S2785" s="169"/>
      <c r="T2785" s="158"/>
      <c r="U2785" s="35"/>
      <c r="V2785" s="164"/>
    </row>
    <row r="2786" customFormat="false" ht="15" hidden="false" customHeight="true" outlineLevel="0" collapsed="false">
      <c r="C2786" s="155"/>
      <c r="D2786" s="156"/>
      <c r="F2786" s="157"/>
      <c r="G2786" s="5"/>
      <c r="H2786" s="165"/>
      <c r="I2786" s="165"/>
      <c r="J2786" s="158"/>
      <c r="K2786" s="159"/>
      <c r="L2786" s="166"/>
      <c r="M2786" s="167"/>
      <c r="N2786" s="168"/>
      <c r="O2786" s="163"/>
      <c r="P2786" s="163"/>
      <c r="Q2786" s="158"/>
      <c r="R2786" s="5"/>
      <c r="S2786" s="169"/>
      <c r="T2786" s="158"/>
      <c r="U2786" s="35"/>
      <c r="V2786" s="164"/>
    </row>
    <row r="2787" customFormat="false" ht="15" hidden="false" customHeight="true" outlineLevel="0" collapsed="false">
      <c r="B2787" s="5"/>
      <c r="C2787" s="155"/>
      <c r="D2787" s="156"/>
      <c r="F2787" s="170"/>
      <c r="G2787" s="5"/>
      <c r="H2787" s="5"/>
      <c r="I2787" s="5"/>
      <c r="J2787" s="158"/>
      <c r="K2787" s="163"/>
      <c r="L2787" s="160"/>
      <c r="M2787" s="174"/>
      <c r="N2787" s="168"/>
      <c r="O2787" s="163"/>
      <c r="P2787" s="160"/>
      <c r="Q2787" s="175"/>
      <c r="R2787" s="5"/>
      <c r="S2787" s="5"/>
      <c r="T2787" s="5"/>
      <c r="U2787" s="35"/>
      <c r="V2787" s="171"/>
      <c r="W2787" s="170"/>
      <c r="X2787" s="176"/>
    </row>
    <row r="2788" customFormat="false" ht="15" hidden="false" customHeight="true" outlineLevel="0" collapsed="false">
      <c r="B2788" s="5"/>
      <c r="C2788" s="155"/>
      <c r="D2788" s="156"/>
      <c r="F2788" s="170"/>
      <c r="G2788" s="5"/>
      <c r="H2788" s="5"/>
      <c r="I2788" s="5"/>
      <c r="J2788" s="158"/>
      <c r="K2788" s="159"/>
      <c r="L2788" s="160"/>
      <c r="M2788" s="161"/>
      <c r="N2788" s="162"/>
      <c r="O2788" s="163"/>
      <c r="P2788" s="160"/>
      <c r="Q2788" s="5"/>
      <c r="R2788" s="5"/>
      <c r="S2788" s="5"/>
      <c r="T2788" s="5"/>
      <c r="U2788" s="35"/>
      <c r="V2788" s="171"/>
      <c r="W2788" s="172"/>
      <c r="X2788" s="173"/>
    </row>
    <row r="2789" customFormat="false" ht="15" hidden="false" customHeight="true" outlineLevel="0" collapsed="false">
      <c r="B2789" s="5"/>
      <c r="C2789" s="155"/>
      <c r="D2789" s="156"/>
      <c r="F2789" s="170"/>
      <c r="G2789" s="5"/>
      <c r="H2789" s="5"/>
      <c r="I2789" s="5"/>
      <c r="J2789" s="158"/>
      <c r="K2789" s="159"/>
      <c r="L2789" s="160"/>
      <c r="M2789" s="174"/>
      <c r="N2789" s="168"/>
      <c r="O2789" s="163"/>
      <c r="P2789" s="160"/>
      <c r="Q2789" s="5"/>
      <c r="R2789" s="5"/>
      <c r="S2789" s="5"/>
      <c r="T2789" s="5"/>
      <c r="U2789" s="35"/>
      <c r="V2789" s="171"/>
    </row>
    <row r="2790" customFormat="false" ht="15" hidden="false" customHeight="true" outlineLevel="0" collapsed="false">
      <c r="B2790" s="5"/>
      <c r="C2790" s="155"/>
      <c r="D2790" s="156"/>
      <c r="F2790" s="170"/>
      <c r="G2790" s="5"/>
      <c r="H2790" s="5"/>
      <c r="I2790" s="5"/>
      <c r="J2790" s="158"/>
      <c r="K2790" s="159"/>
      <c r="L2790" s="160"/>
      <c r="M2790" s="174"/>
      <c r="N2790" s="168"/>
      <c r="O2790" s="163"/>
      <c r="P2790" s="160"/>
      <c r="Q2790" s="175"/>
      <c r="R2790" s="5"/>
      <c r="S2790" s="5"/>
      <c r="T2790" s="5"/>
      <c r="U2790" s="35"/>
      <c r="V2790" s="171"/>
    </row>
    <row r="2791" customFormat="false" ht="15" hidden="false" customHeight="true" outlineLevel="0" collapsed="false">
      <c r="B2791" s="5"/>
      <c r="C2791" s="155"/>
      <c r="D2791" s="156"/>
      <c r="F2791" s="157"/>
      <c r="G2791" s="5"/>
      <c r="H2791" s="5"/>
      <c r="I2791" s="5"/>
      <c r="J2791" s="158"/>
      <c r="K2791" s="159"/>
      <c r="L2791" s="160"/>
      <c r="M2791" s="177"/>
      <c r="N2791" s="162"/>
      <c r="O2791" s="163"/>
      <c r="P2791" s="163"/>
      <c r="Q2791" s="158"/>
      <c r="R2791" s="5"/>
      <c r="S2791" s="5"/>
      <c r="T2791" s="5"/>
      <c r="U2791" s="35"/>
      <c r="V2791" s="171"/>
    </row>
    <row r="2792" customFormat="false" ht="15" hidden="false" customHeight="true" outlineLevel="0" collapsed="false">
      <c r="B2792" s="5"/>
      <c r="C2792" s="155"/>
      <c r="D2792" s="156"/>
      <c r="F2792" s="157"/>
      <c r="G2792" s="5"/>
      <c r="H2792" s="5"/>
      <c r="I2792" s="5"/>
      <c r="J2792" s="158"/>
      <c r="K2792" s="159"/>
      <c r="L2792" s="160"/>
      <c r="M2792" s="161"/>
      <c r="N2792" s="162"/>
      <c r="O2792" s="163"/>
      <c r="P2792" s="163"/>
      <c r="Q2792" s="158"/>
      <c r="R2792" s="5"/>
      <c r="S2792" s="5"/>
      <c r="T2792" s="5"/>
      <c r="U2792" s="35"/>
      <c r="V2792" s="171"/>
    </row>
    <row r="2793" customFormat="false" ht="15" hidden="false" customHeight="true" outlineLevel="0" collapsed="false">
      <c r="B2793" s="5"/>
      <c r="C2793" s="155"/>
      <c r="D2793" s="156"/>
      <c r="F2793" s="157"/>
      <c r="G2793" s="5"/>
      <c r="H2793" s="5"/>
      <c r="I2793" s="5"/>
      <c r="J2793" s="158"/>
      <c r="K2793" s="159"/>
      <c r="L2793" s="160"/>
      <c r="M2793" s="161"/>
      <c r="N2793" s="162"/>
      <c r="O2793" s="163"/>
      <c r="P2793" s="163"/>
      <c r="Q2793" s="158"/>
      <c r="R2793" s="5"/>
      <c r="S2793" s="5"/>
      <c r="T2793" s="5"/>
      <c r="U2793" s="35"/>
      <c r="V2793" s="171"/>
    </row>
    <row r="2794" customFormat="false" ht="15" hidden="false" customHeight="true" outlineLevel="0" collapsed="false">
      <c r="B2794" s="5"/>
      <c r="C2794" s="155"/>
      <c r="D2794" s="156"/>
      <c r="F2794" s="157"/>
      <c r="G2794" s="5"/>
      <c r="H2794" s="5"/>
      <c r="I2794" s="5"/>
      <c r="J2794" s="158"/>
      <c r="K2794" s="159"/>
      <c r="L2794" s="160"/>
      <c r="M2794" s="161"/>
      <c r="N2794" s="162"/>
      <c r="O2794" s="163"/>
      <c r="P2794" s="163"/>
      <c r="Q2794" s="158"/>
      <c r="R2794" s="5"/>
      <c r="S2794" s="5"/>
      <c r="T2794" s="5"/>
      <c r="U2794" s="35"/>
      <c r="V2794" s="171"/>
    </row>
    <row r="2795" customFormat="false" ht="15" hidden="false" customHeight="true" outlineLevel="0" collapsed="false">
      <c r="B2795" s="5"/>
      <c r="C2795" s="155"/>
      <c r="D2795" s="156"/>
      <c r="F2795" s="157"/>
      <c r="G2795" s="5"/>
      <c r="H2795" s="5"/>
      <c r="I2795" s="5"/>
      <c r="J2795" s="158"/>
      <c r="K2795" s="159"/>
      <c r="L2795" s="160"/>
      <c r="M2795" s="186"/>
      <c r="N2795" s="162"/>
      <c r="O2795" s="163"/>
      <c r="P2795" s="163"/>
      <c r="Q2795" s="158"/>
      <c r="R2795" s="5"/>
      <c r="S2795" s="5"/>
      <c r="T2795" s="5"/>
      <c r="U2795" s="35"/>
      <c r="V2795" s="171"/>
    </row>
    <row r="2796" customFormat="false" ht="15" hidden="false" customHeight="true" outlineLevel="0" collapsed="false">
      <c r="B2796" s="5"/>
      <c r="C2796" s="155"/>
      <c r="D2796" s="156"/>
      <c r="F2796" s="157"/>
      <c r="G2796" s="5"/>
      <c r="H2796" s="5"/>
      <c r="I2796" s="5"/>
      <c r="J2796" s="158"/>
      <c r="K2796" s="159"/>
      <c r="L2796" s="160"/>
      <c r="M2796" s="161"/>
      <c r="N2796" s="162"/>
      <c r="O2796" s="163"/>
      <c r="P2796" s="163"/>
      <c r="Q2796" s="158"/>
      <c r="R2796" s="5"/>
      <c r="S2796" s="5"/>
      <c r="T2796" s="5"/>
      <c r="U2796" s="35"/>
      <c r="V2796" s="164"/>
    </row>
    <row r="2797" customFormat="false" ht="15" hidden="false" customHeight="true" outlineLevel="0" collapsed="false">
      <c r="B2797" s="5"/>
      <c r="C2797" s="155"/>
      <c r="D2797" s="156"/>
      <c r="F2797" s="157"/>
      <c r="G2797" s="5"/>
      <c r="H2797" s="5"/>
      <c r="I2797" s="5"/>
      <c r="J2797" s="158"/>
      <c r="K2797" s="181"/>
      <c r="L2797" s="160"/>
      <c r="M2797" s="161"/>
      <c r="N2797" s="162"/>
      <c r="O2797" s="163"/>
      <c r="P2797" s="163"/>
      <c r="Q2797" s="158"/>
      <c r="R2797" s="5"/>
      <c r="S2797" s="5"/>
      <c r="T2797" s="5"/>
      <c r="U2797" s="35"/>
      <c r="V2797" s="164"/>
    </row>
    <row r="2798" customFormat="false" ht="15" hidden="false" customHeight="true" outlineLevel="0" collapsed="false">
      <c r="C2798" s="155"/>
      <c r="D2798" s="156"/>
      <c r="F2798" s="157"/>
      <c r="G2798" s="5"/>
      <c r="H2798" s="165"/>
      <c r="I2798" s="165"/>
      <c r="J2798" s="158"/>
      <c r="K2798" s="159"/>
      <c r="L2798" s="166"/>
      <c r="M2798" s="167"/>
      <c r="N2798" s="168"/>
      <c r="O2798" s="163"/>
      <c r="P2798" s="163"/>
      <c r="Q2798" s="158"/>
      <c r="R2798" s="5"/>
      <c r="S2798" s="169"/>
      <c r="T2798" s="158"/>
      <c r="U2798" s="35"/>
      <c r="V2798" s="164"/>
    </row>
    <row r="2799" customFormat="false" ht="15" hidden="false" customHeight="true" outlineLevel="0" collapsed="false">
      <c r="C2799" s="155"/>
      <c r="D2799" s="156"/>
      <c r="F2799" s="157"/>
      <c r="G2799" s="5"/>
      <c r="H2799" s="165"/>
      <c r="I2799" s="165"/>
      <c r="J2799" s="158"/>
      <c r="K2799" s="159"/>
      <c r="L2799" s="166"/>
      <c r="M2799" s="167"/>
      <c r="N2799" s="168"/>
      <c r="O2799" s="163"/>
      <c r="P2799" s="163"/>
      <c r="Q2799" s="158"/>
      <c r="R2799" s="5"/>
      <c r="S2799" s="169"/>
      <c r="T2799" s="158"/>
      <c r="U2799" s="35"/>
      <c r="V2799" s="164"/>
    </row>
    <row r="2800" customFormat="false" ht="15" hidden="false" customHeight="true" outlineLevel="0" collapsed="false">
      <c r="C2800" s="155"/>
      <c r="D2800" s="156"/>
      <c r="F2800" s="157"/>
      <c r="G2800" s="5"/>
      <c r="H2800" s="165"/>
      <c r="I2800" s="165"/>
      <c r="J2800" s="158"/>
      <c r="K2800" s="159"/>
      <c r="L2800" s="166"/>
      <c r="M2800" s="167"/>
      <c r="N2800" s="168"/>
      <c r="O2800" s="163"/>
      <c r="P2800" s="163"/>
      <c r="Q2800" s="158"/>
      <c r="R2800" s="5"/>
      <c r="S2800" s="169"/>
      <c r="T2800" s="158"/>
      <c r="U2800" s="35"/>
      <c r="V2800" s="164"/>
    </row>
    <row r="2801" customFormat="false" ht="15" hidden="false" customHeight="true" outlineLevel="0" collapsed="false">
      <c r="C2801" s="155"/>
      <c r="D2801" s="156"/>
      <c r="F2801" s="157"/>
      <c r="G2801" s="5"/>
      <c r="H2801" s="165"/>
      <c r="I2801" s="165"/>
      <c r="J2801" s="158"/>
      <c r="K2801" s="159"/>
      <c r="L2801" s="166"/>
      <c r="M2801" s="167"/>
      <c r="N2801" s="168"/>
      <c r="O2801" s="163"/>
      <c r="P2801" s="163"/>
      <c r="Q2801" s="158"/>
      <c r="R2801" s="5"/>
      <c r="S2801" s="169"/>
      <c r="T2801" s="158"/>
      <c r="U2801" s="35"/>
      <c r="V2801" s="164"/>
    </row>
    <row r="2802" customFormat="false" ht="15" hidden="false" customHeight="true" outlineLevel="0" collapsed="false">
      <c r="B2802" s="5"/>
      <c r="C2802" s="155"/>
      <c r="D2802" s="156"/>
      <c r="F2802" s="170"/>
      <c r="G2802" s="5"/>
      <c r="H2802" s="5"/>
      <c r="I2802" s="5"/>
      <c r="J2802" s="158"/>
      <c r="K2802" s="163"/>
      <c r="L2802" s="160"/>
      <c r="M2802" s="174"/>
      <c r="N2802" s="168"/>
      <c r="O2802" s="163"/>
      <c r="P2802" s="160"/>
      <c r="Q2802" s="175"/>
      <c r="R2802" s="5"/>
      <c r="S2802" s="5"/>
      <c r="T2802" s="5"/>
      <c r="U2802" s="35"/>
      <c r="V2802" s="171"/>
      <c r="W2802" s="116"/>
    </row>
    <row r="2803" customFormat="false" ht="15" hidden="false" customHeight="true" outlineLevel="0" collapsed="false">
      <c r="B2803" s="5"/>
      <c r="C2803" s="155"/>
      <c r="D2803" s="156"/>
      <c r="F2803" s="157"/>
      <c r="G2803" s="5"/>
      <c r="H2803" s="5"/>
      <c r="I2803" s="5"/>
      <c r="J2803" s="158"/>
      <c r="K2803" s="159"/>
      <c r="L2803" s="160"/>
      <c r="M2803" s="161"/>
      <c r="N2803" s="162"/>
      <c r="O2803" s="163"/>
      <c r="P2803" s="163"/>
      <c r="Q2803" s="158"/>
      <c r="R2803" s="5"/>
      <c r="S2803" s="5"/>
      <c r="T2803" s="5"/>
      <c r="U2803" s="35"/>
      <c r="V2803" s="171"/>
    </row>
    <row r="2804" customFormat="false" ht="15" hidden="false" customHeight="true" outlineLevel="0" collapsed="false">
      <c r="B2804" s="5"/>
      <c r="C2804" s="155"/>
      <c r="D2804" s="156"/>
      <c r="F2804" s="157"/>
      <c r="G2804" s="5"/>
      <c r="H2804" s="5"/>
      <c r="I2804" s="5"/>
      <c r="J2804" s="158"/>
      <c r="K2804" s="159"/>
      <c r="L2804" s="160"/>
      <c r="M2804" s="177"/>
      <c r="N2804" s="162"/>
      <c r="O2804" s="163"/>
      <c r="P2804" s="163"/>
      <c r="Q2804" s="158"/>
      <c r="R2804" s="5"/>
      <c r="S2804" s="5"/>
      <c r="T2804" s="5"/>
      <c r="U2804" s="35"/>
      <c r="V2804" s="171"/>
    </row>
    <row r="2805" customFormat="false" ht="15" hidden="false" customHeight="true" outlineLevel="0" collapsed="false">
      <c r="B2805" s="5"/>
      <c r="C2805" s="155"/>
      <c r="D2805" s="156"/>
      <c r="F2805" s="157"/>
      <c r="G2805" s="5"/>
      <c r="H2805" s="5"/>
      <c r="I2805" s="5"/>
      <c r="J2805" s="158"/>
      <c r="K2805" s="159"/>
      <c r="L2805" s="160"/>
      <c r="M2805" s="161"/>
      <c r="N2805" s="162"/>
      <c r="O2805" s="163"/>
      <c r="P2805" s="163"/>
      <c r="Q2805" s="158"/>
      <c r="R2805" s="5"/>
      <c r="S2805" s="5"/>
      <c r="T2805" s="5"/>
      <c r="U2805" s="35"/>
      <c r="V2805" s="164"/>
    </row>
    <row r="2806" customFormat="false" ht="15" hidden="false" customHeight="true" outlineLevel="0" collapsed="false">
      <c r="B2806" s="5"/>
      <c r="C2806" s="155"/>
      <c r="D2806" s="156"/>
      <c r="F2806" s="157"/>
      <c r="G2806" s="5"/>
      <c r="H2806" s="5"/>
      <c r="I2806" s="5"/>
      <c r="J2806" s="158"/>
      <c r="K2806" s="159"/>
      <c r="L2806" s="160"/>
      <c r="M2806" s="161"/>
      <c r="N2806" s="162"/>
      <c r="O2806" s="163"/>
      <c r="P2806" s="163"/>
      <c r="Q2806" s="158"/>
      <c r="R2806" s="5"/>
      <c r="S2806" s="5"/>
      <c r="T2806" s="5"/>
      <c r="U2806" s="35"/>
      <c r="V2806" s="164"/>
    </row>
    <row r="2807" customFormat="false" ht="15" hidden="false" customHeight="true" outlineLevel="0" collapsed="false">
      <c r="B2807" s="5"/>
      <c r="C2807" s="155"/>
      <c r="D2807" s="156"/>
      <c r="F2807" s="157"/>
      <c r="G2807" s="5"/>
      <c r="H2807" s="5"/>
      <c r="I2807" s="5"/>
      <c r="J2807" s="158"/>
      <c r="K2807" s="159"/>
      <c r="L2807" s="160"/>
      <c r="M2807" s="161"/>
      <c r="N2807" s="162"/>
      <c r="O2807" s="163"/>
      <c r="P2807" s="163"/>
      <c r="Q2807" s="158"/>
      <c r="R2807" s="5"/>
      <c r="S2807" s="5"/>
      <c r="T2807" s="5"/>
      <c r="U2807" s="35"/>
      <c r="V2807" s="164"/>
    </row>
    <row r="2808" customFormat="false" ht="15" hidden="false" customHeight="true" outlineLevel="0" collapsed="false">
      <c r="C2808" s="155"/>
      <c r="D2808" s="156"/>
      <c r="F2808" s="157"/>
      <c r="G2808" s="5"/>
      <c r="H2808" s="165"/>
      <c r="I2808" s="165"/>
      <c r="J2808" s="158"/>
      <c r="K2808" s="159"/>
      <c r="L2808" s="166"/>
      <c r="M2808" s="167"/>
      <c r="N2808" s="168"/>
      <c r="O2808" s="163"/>
      <c r="P2808" s="163"/>
      <c r="Q2808" s="158"/>
      <c r="R2808" s="5"/>
      <c r="S2808" s="169"/>
      <c r="T2808" s="158"/>
      <c r="U2808" s="35"/>
      <c r="V2808" s="164"/>
    </row>
    <row r="2809" customFormat="false" ht="15" hidden="false" customHeight="true" outlineLevel="0" collapsed="false">
      <c r="C2809" s="155"/>
      <c r="D2809" s="156"/>
      <c r="F2809" s="157"/>
      <c r="G2809" s="5"/>
      <c r="H2809" s="165"/>
      <c r="I2809" s="165"/>
      <c r="J2809" s="158"/>
      <c r="K2809" s="159"/>
      <c r="L2809" s="166"/>
      <c r="M2809" s="167"/>
      <c r="N2809" s="168"/>
      <c r="O2809" s="163"/>
      <c r="P2809" s="163"/>
      <c r="Q2809" s="158"/>
      <c r="R2809" s="5"/>
      <c r="S2809" s="169"/>
      <c r="T2809" s="158"/>
      <c r="U2809" s="35"/>
      <c r="V2809" s="164"/>
    </row>
    <row r="2810" customFormat="false" ht="15" hidden="false" customHeight="true" outlineLevel="0" collapsed="false">
      <c r="B2810" s="5"/>
      <c r="C2810" s="155"/>
      <c r="D2810" s="156"/>
      <c r="F2810" s="170"/>
      <c r="G2810" s="5"/>
      <c r="H2810" s="5"/>
      <c r="I2810" s="5"/>
      <c r="J2810" s="158"/>
      <c r="K2810" s="159"/>
      <c r="L2810" s="160"/>
      <c r="M2810" s="174"/>
      <c r="N2810" s="168"/>
      <c r="O2810" s="163"/>
      <c r="P2810" s="160"/>
      <c r="Q2810" s="175"/>
      <c r="R2810" s="5"/>
      <c r="S2810" s="5"/>
      <c r="T2810" s="5"/>
      <c r="U2810" s="35"/>
      <c r="V2810" s="171"/>
    </row>
    <row r="2811" customFormat="false" ht="15" hidden="false" customHeight="true" outlineLevel="0" collapsed="false">
      <c r="B2811" s="5"/>
      <c r="C2811" s="155"/>
      <c r="D2811" s="156"/>
      <c r="F2811" s="157"/>
      <c r="G2811" s="5"/>
      <c r="H2811" s="5"/>
      <c r="I2811" s="5"/>
      <c r="J2811" s="158"/>
      <c r="K2811" s="159"/>
      <c r="L2811" s="160"/>
      <c r="M2811" s="161"/>
      <c r="N2811" s="162"/>
      <c r="O2811" s="163"/>
      <c r="P2811" s="163"/>
      <c r="Q2811" s="158"/>
      <c r="R2811" s="5"/>
      <c r="S2811" s="5"/>
      <c r="T2811" s="5"/>
      <c r="U2811" s="35"/>
      <c r="V2811" s="164"/>
    </row>
    <row r="2812" customFormat="false" ht="15" hidden="false" customHeight="true" outlineLevel="0" collapsed="false">
      <c r="C2812" s="155"/>
      <c r="D2812" s="156"/>
      <c r="F2812" s="157"/>
      <c r="G2812" s="5"/>
      <c r="H2812" s="165"/>
      <c r="I2812" s="165"/>
      <c r="J2812" s="158"/>
      <c r="K2812" s="159"/>
      <c r="L2812" s="166"/>
      <c r="M2812" s="167"/>
      <c r="N2812" s="168"/>
      <c r="O2812" s="163"/>
      <c r="P2812" s="163"/>
      <c r="Q2812" s="158"/>
      <c r="R2812" s="5"/>
      <c r="S2812" s="169"/>
      <c r="T2812" s="158"/>
      <c r="U2812" s="35"/>
      <c r="V2812" s="164"/>
    </row>
    <row r="2813" customFormat="false" ht="15" hidden="false" customHeight="true" outlineLevel="0" collapsed="false">
      <c r="C2813" s="155"/>
      <c r="D2813" s="156"/>
      <c r="F2813" s="157"/>
      <c r="G2813" s="5"/>
      <c r="H2813" s="165"/>
      <c r="I2813" s="165"/>
      <c r="J2813" s="158"/>
      <c r="K2813" s="159"/>
      <c r="L2813" s="166"/>
      <c r="M2813" s="167"/>
      <c r="N2813" s="168"/>
      <c r="O2813" s="163"/>
      <c r="P2813" s="163"/>
      <c r="Q2813" s="158"/>
      <c r="R2813" s="5"/>
      <c r="S2813" s="169"/>
      <c r="T2813" s="158"/>
      <c r="U2813" s="35"/>
      <c r="V2813" s="164"/>
    </row>
    <row r="2814" customFormat="false" ht="15" hidden="false" customHeight="true" outlineLevel="0" collapsed="false">
      <c r="B2814" s="5"/>
      <c r="C2814" s="155"/>
      <c r="D2814" s="156"/>
      <c r="F2814" s="170"/>
      <c r="G2814" s="5"/>
      <c r="H2814" s="5"/>
      <c r="I2814" s="5"/>
      <c r="J2814" s="158"/>
      <c r="K2814" s="163"/>
      <c r="L2814" s="160"/>
      <c r="M2814" s="174"/>
      <c r="N2814" s="168"/>
      <c r="O2814" s="163"/>
      <c r="P2814" s="160"/>
      <c r="Q2814" s="175"/>
      <c r="R2814" s="5"/>
      <c r="S2814" s="5"/>
      <c r="T2814" s="5"/>
      <c r="U2814" s="35"/>
      <c r="V2814" s="171"/>
      <c r="W2814" s="170"/>
      <c r="X2814" s="176"/>
    </row>
    <row r="2815" customFormat="false" ht="15" hidden="false" customHeight="true" outlineLevel="0" collapsed="false">
      <c r="B2815" s="5"/>
      <c r="C2815" s="155"/>
      <c r="D2815" s="156"/>
      <c r="F2815" s="170"/>
      <c r="G2815" s="5"/>
      <c r="H2815" s="5"/>
      <c r="I2815" s="5"/>
      <c r="J2815" s="158"/>
      <c r="K2815" s="159"/>
      <c r="L2815" s="160"/>
      <c r="M2815" s="161"/>
      <c r="N2815" s="162"/>
      <c r="O2815" s="163"/>
      <c r="P2815" s="163"/>
      <c r="Q2815" s="5"/>
      <c r="R2815" s="5"/>
      <c r="S2815" s="5"/>
      <c r="T2815" s="5"/>
      <c r="U2815" s="35"/>
      <c r="V2815" s="171"/>
      <c r="W2815" s="172"/>
      <c r="X2815" s="173"/>
    </row>
    <row r="2816" customFormat="false" ht="15" hidden="false" customHeight="true" outlineLevel="0" collapsed="false">
      <c r="B2816" s="5"/>
      <c r="C2816" s="155"/>
      <c r="D2816" s="156"/>
      <c r="F2816" s="170"/>
      <c r="G2816" s="5"/>
      <c r="H2816" s="5"/>
      <c r="I2816" s="5"/>
      <c r="J2816" s="158"/>
      <c r="K2816" s="159"/>
      <c r="L2816" s="160"/>
      <c r="M2816" s="174"/>
      <c r="N2816" s="168"/>
      <c r="O2816" s="163"/>
      <c r="P2816" s="160"/>
      <c r="Q2816" s="5"/>
      <c r="R2816" s="5"/>
      <c r="S2816" s="5"/>
      <c r="T2816" s="5"/>
      <c r="U2816" s="35"/>
      <c r="V2816" s="171"/>
    </row>
    <row r="2817" customFormat="false" ht="15" hidden="false" customHeight="true" outlineLevel="0" collapsed="false">
      <c r="B2817" s="5"/>
      <c r="C2817" s="155"/>
      <c r="D2817" s="156"/>
      <c r="F2817" s="157"/>
      <c r="G2817" s="5"/>
      <c r="H2817" s="5"/>
      <c r="I2817" s="5"/>
      <c r="J2817" s="158"/>
      <c r="K2817" s="159"/>
      <c r="L2817" s="160"/>
      <c r="M2817" s="161"/>
      <c r="N2817" s="162"/>
      <c r="O2817" s="163"/>
      <c r="P2817" s="163"/>
      <c r="Q2817" s="158"/>
      <c r="R2817" s="5"/>
      <c r="S2817" s="5"/>
      <c r="T2817" s="5"/>
      <c r="U2817" s="35"/>
      <c r="V2817" s="164"/>
    </row>
    <row r="2818" customFormat="false" ht="15" hidden="false" customHeight="true" outlineLevel="0" collapsed="false">
      <c r="C2818" s="155"/>
      <c r="D2818" s="156"/>
      <c r="F2818" s="157"/>
      <c r="G2818" s="5"/>
      <c r="H2818" s="165"/>
      <c r="I2818" s="165"/>
      <c r="J2818" s="158"/>
      <c r="K2818" s="159"/>
      <c r="L2818" s="166"/>
      <c r="M2818" s="167"/>
      <c r="N2818" s="168"/>
      <c r="O2818" s="163"/>
      <c r="P2818" s="163"/>
      <c r="Q2818" s="158"/>
      <c r="R2818" s="5"/>
      <c r="S2818" s="169"/>
      <c r="T2818" s="158"/>
      <c r="U2818" s="35"/>
      <c r="V2818" s="164"/>
    </row>
    <row r="2819" customFormat="false" ht="15" hidden="false" customHeight="true" outlineLevel="0" collapsed="false">
      <c r="C2819" s="155"/>
      <c r="D2819" s="156"/>
      <c r="F2819" s="157"/>
      <c r="G2819" s="5"/>
      <c r="H2819" s="165"/>
      <c r="I2819" s="165"/>
      <c r="J2819" s="158"/>
      <c r="K2819" s="159"/>
      <c r="L2819" s="166"/>
      <c r="M2819" s="167"/>
      <c r="N2819" s="168"/>
      <c r="O2819" s="163"/>
      <c r="P2819" s="163"/>
      <c r="Q2819" s="158"/>
      <c r="R2819" s="5"/>
      <c r="S2819" s="169"/>
      <c r="T2819" s="158"/>
      <c r="U2819" s="35"/>
      <c r="V2819" s="164"/>
    </row>
    <row r="2820" customFormat="false" ht="15" hidden="false" customHeight="true" outlineLevel="0" collapsed="false">
      <c r="B2820" s="5"/>
      <c r="C2820" s="155"/>
      <c r="D2820" s="156"/>
      <c r="F2820" s="170"/>
      <c r="G2820" s="5"/>
      <c r="H2820" s="5"/>
      <c r="I2820" s="5"/>
      <c r="J2820" s="158"/>
      <c r="K2820" s="159"/>
      <c r="L2820" s="160"/>
      <c r="M2820" s="178"/>
      <c r="N2820" s="162"/>
      <c r="O2820" s="163"/>
      <c r="P2820" s="163"/>
      <c r="Q2820" s="5"/>
      <c r="R2820" s="5"/>
      <c r="S2820" s="5"/>
      <c r="T2820" s="5"/>
      <c r="U2820" s="35"/>
      <c r="V2820" s="171"/>
      <c r="W2820" s="172"/>
      <c r="X2820" s="173"/>
    </row>
    <row r="2821" customFormat="false" ht="15" hidden="false" customHeight="true" outlineLevel="0" collapsed="false">
      <c r="C2821" s="155"/>
      <c r="D2821" s="156"/>
      <c r="F2821" s="157"/>
      <c r="G2821" s="5"/>
      <c r="H2821" s="165"/>
      <c r="I2821" s="165"/>
      <c r="J2821" s="158"/>
      <c r="K2821" s="159"/>
      <c r="L2821" s="166"/>
      <c r="M2821" s="167"/>
      <c r="N2821" s="168"/>
      <c r="O2821" s="163"/>
      <c r="P2821" s="163"/>
      <c r="Q2821" s="158"/>
      <c r="R2821" s="5"/>
      <c r="S2821" s="169"/>
      <c r="T2821" s="158"/>
      <c r="U2821" s="35"/>
      <c r="V2821" s="164"/>
    </row>
    <row r="2822" customFormat="false" ht="15" hidden="false" customHeight="true" outlineLevel="0" collapsed="false">
      <c r="C2822" s="155"/>
      <c r="D2822" s="156"/>
      <c r="F2822" s="157"/>
      <c r="G2822" s="5"/>
      <c r="H2822" s="165"/>
      <c r="I2822" s="165"/>
      <c r="J2822" s="158"/>
      <c r="K2822" s="159"/>
      <c r="L2822" s="166"/>
      <c r="M2822" s="167"/>
      <c r="N2822" s="168"/>
      <c r="O2822" s="163"/>
      <c r="P2822" s="163"/>
      <c r="Q2822" s="158"/>
      <c r="R2822" s="5"/>
      <c r="S2822" s="169"/>
      <c r="T2822" s="158"/>
      <c r="U2822" s="35"/>
      <c r="V2822" s="164"/>
    </row>
    <row r="2823" customFormat="false" ht="15" hidden="false" customHeight="true" outlineLevel="0" collapsed="false">
      <c r="B2823" s="5"/>
      <c r="C2823" s="155"/>
      <c r="D2823" s="156"/>
      <c r="F2823" s="157"/>
      <c r="G2823" s="5"/>
      <c r="H2823" s="5"/>
      <c r="I2823" s="5"/>
      <c r="J2823" s="158"/>
      <c r="K2823" s="159"/>
      <c r="L2823" s="160"/>
      <c r="M2823" s="161"/>
      <c r="N2823" s="162"/>
      <c r="O2823" s="163"/>
      <c r="P2823" s="163"/>
      <c r="Q2823" s="158"/>
      <c r="R2823" s="5"/>
      <c r="S2823" s="5"/>
      <c r="T2823" s="5"/>
      <c r="U2823" s="35"/>
      <c r="V2823" s="171"/>
    </row>
    <row r="2824" customFormat="false" ht="15" hidden="false" customHeight="true" outlineLevel="0" collapsed="false">
      <c r="B2824" s="5"/>
      <c r="C2824" s="155"/>
      <c r="D2824" s="156"/>
      <c r="F2824" s="157"/>
      <c r="G2824" s="5"/>
      <c r="H2824" s="5"/>
      <c r="I2824" s="5"/>
      <c r="J2824" s="158"/>
      <c r="K2824" s="159"/>
      <c r="L2824" s="160"/>
      <c r="M2824" s="161"/>
      <c r="N2824" s="162"/>
      <c r="O2824" s="163"/>
      <c r="P2824" s="163"/>
      <c r="Q2824" s="158"/>
      <c r="R2824" s="5"/>
      <c r="S2824" s="5"/>
      <c r="T2824" s="5"/>
      <c r="U2824" s="35"/>
      <c r="V2824" s="164"/>
    </row>
    <row r="2825" customFormat="false" ht="15" hidden="false" customHeight="true" outlineLevel="0" collapsed="false">
      <c r="C2825" s="155"/>
      <c r="D2825" s="156"/>
      <c r="F2825" s="157"/>
      <c r="G2825" s="5"/>
      <c r="H2825" s="165"/>
      <c r="I2825" s="165"/>
      <c r="J2825" s="158"/>
      <c r="K2825" s="159"/>
      <c r="L2825" s="166"/>
      <c r="M2825" s="167"/>
      <c r="N2825" s="168"/>
      <c r="O2825" s="163"/>
      <c r="P2825" s="163"/>
      <c r="Q2825" s="158"/>
      <c r="R2825" s="5"/>
      <c r="S2825" s="169"/>
      <c r="T2825" s="158"/>
      <c r="U2825" s="35"/>
      <c r="V2825" s="164"/>
    </row>
    <row r="2826" customFormat="false" ht="15" hidden="false" customHeight="true" outlineLevel="0" collapsed="false">
      <c r="B2826" s="5"/>
      <c r="C2826" s="155"/>
      <c r="D2826" s="156"/>
      <c r="F2826" s="170"/>
      <c r="G2826" s="5"/>
      <c r="H2826" s="5"/>
      <c r="I2826" s="5"/>
      <c r="J2826" s="158"/>
      <c r="K2826" s="163"/>
      <c r="L2826" s="160"/>
      <c r="M2826" s="174"/>
      <c r="N2826" s="168"/>
      <c r="O2826" s="163"/>
      <c r="P2826" s="160"/>
      <c r="Q2826" s="175"/>
      <c r="R2826" s="5"/>
      <c r="S2826" s="5"/>
      <c r="T2826" s="5"/>
      <c r="U2826" s="35"/>
      <c r="V2826" s="171"/>
      <c r="W2826" s="170"/>
      <c r="X2826" s="176"/>
    </row>
    <row r="2827" customFormat="false" ht="15" hidden="false" customHeight="true" outlineLevel="0" collapsed="false">
      <c r="B2827" s="5"/>
      <c r="C2827" s="155"/>
      <c r="D2827" s="156"/>
      <c r="F2827" s="157"/>
      <c r="G2827" s="5"/>
      <c r="H2827" s="5"/>
      <c r="I2827" s="5"/>
      <c r="J2827" s="158"/>
      <c r="K2827" s="159"/>
      <c r="L2827" s="160"/>
      <c r="M2827" s="177"/>
      <c r="N2827" s="162"/>
      <c r="O2827" s="163"/>
      <c r="P2827" s="163"/>
      <c r="Q2827" s="158"/>
      <c r="R2827" s="5"/>
      <c r="S2827" s="5"/>
      <c r="T2827" s="5"/>
      <c r="U2827" s="35"/>
      <c r="V2827" s="171"/>
    </row>
    <row r="2828" customFormat="false" ht="15" hidden="false" customHeight="true" outlineLevel="0" collapsed="false">
      <c r="B2828" s="5"/>
      <c r="C2828" s="155"/>
      <c r="D2828" s="156"/>
      <c r="F2828" s="157"/>
      <c r="G2828" s="5"/>
      <c r="H2828" s="5"/>
      <c r="I2828" s="5"/>
      <c r="J2828" s="158"/>
      <c r="K2828" s="159"/>
      <c r="L2828" s="160"/>
      <c r="M2828" s="161"/>
      <c r="N2828" s="162"/>
      <c r="O2828" s="163"/>
      <c r="P2828" s="163"/>
      <c r="Q2828" s="158"/>
      <c r="R2828" s="5"/>
      <c r="S2828" s="5"/>
      <c r="T2828" s="5"/>
      <c r="U2828" s="35"/>
      <c r="V2828" s="164"/>
    </row>
    <row r="2829" customFormat="false" ht="15" hidden="false" customHeight="true" outlineLevel="0" collapsed="false">
      <c r="B2829" s="5"/>
      <c r="C2829" s="155"/>
      <c r="D2829" s="156"/>
      <c r="F2829" s="157"/>
      <c r="G2829" s="5"/>
      <c r="H2829" s="5"/>
      <c r="I2829" s="5"/>
      <c r="J2829" s="158"/>
      <c r="K2829" s="159"/>
      <c r="L2829" s="160"/>
      <c r="M2829" s="161"/>
      <c r="N2829" s="162"/>
      <c r="O2829" s="163"/>
      <c r="P2829" s="163"/>
      <c r="Q2829" s="158"/>
      <c r="R2829" s="5"/>
      <c r="S2829" s="5"/>
      <c r="T2829" s="5"/>
      <c r="U2829" s="35"/>
      <c r="V2829" s="164"/>
    </row>
    <row r="2830" customFormat="false" ht="15" hidden="false" customHeight="true" outlineLevel="0" collapsed="false">
      <c r="C2830" s="155"/>
      <c r="D2830" s="156"/>
      <c r="F2830" s="157"/>
      <c r="G2830" s="5"/>
      <c r="H2830" s="165"/>
      <c r="I2830" s="165"/>
      <c r="J2830" s="158"/>
      <c r="K2830" s="159"/>
      <c r="L2830" s="166"/>
      <c r="M2830" s="167"/>
      <c r="N2830" s="168"/>
      <c r="O2830" s="163"/>
      <c r="P2830" s="163"/>
      <c r="Q2830" s="158"/>
      <c r="R2830" s="5"/>
      <c r="S2830" s="169"/>
      <c r="T2830" s="158"/>
      <c r="U2830" s="35"/>
      <c r="V2830" s="164"/>
    </row>
    <row r="2831" customFormat="false" ht="15" hidden="false" customHeight="true" outlineLevel="0" collapsed="false">
      <c r="C2831" s="155"/>
      <c r="D2831" s="156"/>
      <c r="F2831" s="157"/>
      <c r="G2831" s="5"/>
      <c r="H2831" s="165"/>
      <c r="I2831" s="165"/>
      <c r="J2831" s="158"/>
      <c r="K2831" s="159"/>
      <c r="L2831" s="166"/>
      <c r="M2831" s="167"/>
      <c r="N2831" s="168"/>
      <c r="O2831" s="163"/>
      <c r="P2831" s="163"/>
      <c r="Q2831" s="158"/>
      <c r="R2831" s="5"/>
      <c r="S2831" s="169"/>
      <c r="T2831" s="158"/>
      <c r="U2831" s="35"/>
      <c r="V2831" s="164"/>
    </row>
    <row r="2832" customFormat="false" ht="15" hidden="false" customHeight="true" outlineLevel="0" collapsed="false">
      <c r="B2832" s="5"/>
      <c r="C2832" s="155"/>
      <c r="D2832" s="156"/>
      <c r="F2832" s="170"/>
      <c r="G2832" s="5"/>
      <c r="H2832" s="5"/>
      <c r="I2832" s="5"/>
      <c r="J2832" s="158"/>
      <c r="K2832" s="163"/>
      <c r="L2832" s="160"/>
      <c r="M2832" s="174"/>
      <c r="N2832" s="168"/>
      <c r="O2832" s="163"/>
      <c r="P2832" s="160"/>
      <c r="Q2832" s="175"/>
      <c r="R2832" s="5"/>
      <c r="S2832" s="5"/>
      <c r="T2832" s="5"/>
      <c r="U2832" s="165"/>
      <c r="V2832" s="171"/>
      <c r="W2832" s="116"/>
      <c r="X2832" s="116"/>
      <c r="Y2832" s="116"/>
    </row>
    <row r="2833" customFormat="false" ht="15" hidden="false" customHeight="true" outlineLevel="0" collapsed="false">
      <c r="B2833" s="5"/>
      <c r="C2833" s="155"/>
      <c r="D2833" s="156"/>
      <c r="F2833" s="170"/>
      <c r="G2833" s="5"/>
      <c r="H2833" s="5"/>
      <c r="I2833" s="5"/>
      <c r="J2833" s="158"/>
      <c r="K2833" s="163"/>
      <c r="L2833" s="160"/>
      <c r="M2833" s="174"/>
      <c r="N2833" s="168"/>
      <c r="O2833" s="163"/>
      <c r="P2833" s="160"/>
      <c r="Q2833" s="175"/>
      <c r="R2833" s="5"/>
      <c r="S2833" s="5"/>
      <c r="T2833" s="5"/>
      <c r="U2833" s="165"/>
      <c r="V2833" s="171"/>
      <c r="W2833" s="116"/>
      <c r="X2833" s="116"/>
      <c r="Y2833" s="116"/>
    </row>
    <row r="2834" customFormat="false" ht="15" hidden="false" customHeight="true" outlineLevel="0" collapsed="false">
      <c r="B2834" s="5"/>
      <c r="C2834" s="155"/>
      <c r="D2834" s="156"/>
      <c r="F2834" s="170"/>
      <c r="G2834" s="5"/>
      <c r="H2834" s="5"/>
      <c r="I2834" s="5"/>
      <c r="J2834" s="158"/>
      <c r="K2834" s="163"/>
      <c r="L2834" s="160"/>
      <c r="M2834" s="174"/>
      <c r="N2834" s="168"/>
      <c r="O2834" s="160"/>
      <c r="P2834" s="160"/>
      <c r="Q2834" s="175"/>
      <c r="R2834" s="5"/>
      <c r="S2834" s="5"/>
      <c r="T2834" s="5"/>
      <c r="U2834" s="165"/>
      <c r="V2834" s="171"/>
      <c r="W2834" s="116"/>
      <c r="X2834" s="116"/>
      <c r="Y2834" s="116"/>
    </row>
    <row r="2835" customFormat="false" ht="15" hidden="false" customHeight="true" outlineLevel="0" collapsed="false">
      <c r="B2835" s="5"/>
      <c r="C2835" s="155"/>
      <c r="D2835" s="156"/>
      <c r="F2835" s="170"/>
      <c r="G2835" s="5"/>
      <c r="H2835" s="5"/>
      <c r="I2835" s="5"/>
      <c r="J2835" s="158"/>
      <c r="K2835" s="163"/>
      <c r="L2835" s="160"/>
      <c r="M2835" s="174"/>
      <c r="N2835" s="168"/>
      <c r="O2835" s="163"/>
      <c r="P2835" s="160"/>
      <c r="Q2835" s="175"/>
      <c r="R2835" s="5"/>
      <c r="S2835" s="5"/>
      <c r="T2835" s="5"/>
      <c r="U2835" s="35"/>
      <c r="V2835" s="171"/>
      <c r="W2835" s="116"/>
      <c r="X2835" s="116"/>
      <c r="Y2835" s="116"/>
    </row>
    <row r="2836" customFormat="false" ht="15" hidden="false" customHeight="true" outlineLevel="0" collapsed="false">
      <c r="B2836" s="5"/>
      <c r="C2836" s="155"/>
      <c r="D2836" s="156"/>
      <c r="F2836" s="170"/>
      <c r="G2836" s="5"/>
      <c r="H2836" s="5"/>
      <c r="I2836" s="5"/>
      <c r="J2836" s="158"/>
      <c r="K2836" s="163"/>
      <c r="L2836" s="160"/>
      <c r="M2836" s="174"/>
      <c r="N2836" s="168"/>
      <c r="O2836" s="163"/>
      <c r="P2836" s="160"/>
      <c r="Q2836" s="175"/>
      <c r="R2836" s="5"/>
      <c r="S2836" s="5"/>
      <c r="T2836" s="5"/>
      <c r="U2836" s="35"/>
      <c r="V2836" s="171"/>
      <c r="W2836" s="170"/>
      <c r="X2836" s="176"/>
    </row>
    <row r="2837" customFormat="false" ht="15" hidden="false" customHeight="true" outlineLevel="0" collapsed="false">
      <c r="B2837" s="5"/>
      <c r="C2837" s="155"/>
      <c r="D2837" s="156"/>
      <c r="F2837" s="170"/>
      <c r="G2837" s="5"/>
      <c r="H2837" s="5"/>
      <c r="I2837" s="5"/>
      <c r="J2837" s="158"/>
      <c r="K2837" s="159"/>
      <c r="L2837" s="160"/>
      <c r="M2837" s="178"/>
      <c r="N2837" s="162"/>
      <c r="O2837" s="163"/>
      <c r="P2837" s="163"/>
      <c r="Q2837" s="5"/>
      <c r="R2837" s="5"/>
      <c r="S2837" s="5"/>
      <c r="T2837" s="5"/>
      <c r="U2837" s="35"/>
      <c r="V2837" s="171"/>
    </row>
    <row r="2838" customFormat="false" ht="15" hidden="false" customHeight="true" outlineLevel="0" collapsed="false">
      <c r="B2838" s="5"/>
      <c r="C2838" s="155"/>
      <c r="D2838" s="156"/>
      <c r="F2838" s="170"/>
      <c r="G2838" s="5"/>
      <c r="H2838" s="5"/>
      <c r="I2838" s="5"/>
      <c r="J2838" s="158"/>
      <c r="K2838" s="159"/>
      <c r="L2838" s="160"/>
      <c r="M2838" s="161"/>
      <c r="N2838" s="162"/>
      <c r="O2838" s="163"/>
      <c r="P2838" s="163"/>
      <c r="Q2838" s="5"/>
      <c r="R2838" s="5"/>
      <c r="S2838" s="5"/>
      <c r="T2838" s="5"/>
      <c r="U2838" s="35"/>
      <c r="V2838" s="171"/>
      <c r="W2838" s="172"/>
      <c r="X2838" s="173"/>
    </row>
    <row r="2839" customFormat="false" ht="15" hidden="false" customHeight="true" outlineLevel="0" collapsed="false">
      <c r="B2839" s="5"/>
      <c r="C2839" s="155"/>
      <c r="D2839" s="156"/>
      <c r="F2839" s="170"/>
      <c r="G2839" s="5"/>
      <c r="H2839" s="5"/>
      <c r="I2839" s="5"/>
      <c r="J2839" s="158"/>
      <c r="K2839" s="159"/>
      <c r="L2839" s="160"/>
      <c r="M2839" s="161"/>
      <c r="N2839" s="162"/>
      <c r="O2839" s="163"/>
      <c r="P2839" s="163"/>
      <c r="Q2839" s="5"/>
      <c r="R2839" s="5"/>
      <c r="S2839" s="5"/>
      <c r="T2839" s="5"/>
      <c r="U2839" s="35"/>
      <c r="V2839" s="171"/>
      <c r="W2839" s="172"/>
      <c r="X2839" s="173"/>
    </row>
    <row r="2840" customFormat="false" ht="15" hidden="false" customHeight="true" outlineLevel="0" collapsed="false">
      <c r="B2840" s="5"/>
      <c r="C2840" s="155"/>
      <c r="D2840" s="156"/>
      <c r="F2840" s="157"/>
      <c r="G2840" s="5"/>
      <c r="H2840" s="5"/>
      <c r="I2840" s="5"/>
      <c r="J2840" s="158"/>
      <c r="K2840" s="159"/>
      <c r="L2840" s="160"/>
      <c r="M2840" s="177"/>
      <c r="N2840" s="162"/>
      <c r="O2840" s="163"/>
      <c r="P2840" s="163"/>
      <c r="Q2840" s="158"/>
      <c r="R2840" s="5"/>
      <c r="S2840" s="5"/>
      <c r="T2840" s="5"/>
      <c r="U2840" s="35"/>
      <c r="V2840" s="171"/>
    </row>
    <row r="2841" customFormat="false" ht="15" hidden="false" customHeight="true" outlineLevel="0" collapsed="false">
      <c r="B2841" s="5"/>
      <c r="C2841" s="155"/>
      <c r="D2841" s="156"/>
      <c r="F2841" s="157"/>
      <c r="G2841" s="5"/>
      <c r="H2841" s="5"/>
      <c r="I2841" s="5"/>
      <c r="J2841" s="158"/>
      <c r="K2841" s="159"/>
      <c r="L2841" s="160"/>
      <c r="M2841" s="161"/>
      <c r="N2841" s="162"/>
      <c r="O2841" s="163"/>
      <c r="P2841" s="163"/>
      <c r="Q2841" s="158"/>
      <c r="R2841" s="5"/>
      <c r="S2841" s="5"/>
      <c r="T2841" s="5"/>
      <c r="U2841" s="35"/>
      <c r="V2841" s="171"/>
    </row>
    <row r="2842" customFormat="false" ht="15" hidden="false" customHeight="true" outlineLevel="0" collapsed="false">
      <c r="B2842" s="5"/>
      <c r="C2842" s="155"/>
      <c r="D2842" s="156"/>
      <c r="F2842" s="157"/>
      <c r="G2842" s="5"/>
      <c r="H2842" s="5"/>
      <c r="I2842" s="5"/>
      <c r="J2842" s="158"/>
      <c r="K2842" s="159"/>
      <c r="L2842" s="160"/>
      <c r="M2842" s="186"/>
      <c r="N2842" s="162"/>
      <c r="O2842" s="163"/>
      <c r="P2842" s="163"/>
      <c r="Q2842" s="158"/>
      <c r="R2842" s="5"/>
      <c r="S2842" s="5"/>
      <c r="T2842" s="5"/>
      <c r="U2842" s="35"/>
      <c r="V2842" s="171"/>
    </row>
    <row r="2843" customFormat="false" ht="15" hidden="false" customHeight="true" outlineLevel="0" collapsed="false">
      <c r="B2843" s="5"/>
      <c r="C2843" s="155"/>
      <c r="D2843" s="156"/>
      <c r="F2843" s="157"/>
      <c r="G2843" s="5"/>
      <c r="H2843" s="5"/>
      <c r="I2843" s="5"/>
      <c r="J2843" s="158"/>
      <c r="K2843" s="159"/>
      <c r="L2843" s="160"/>
      <c r="M2843" s="177"/>
      <c r="N2843" s="162"/>
      <c r="O2843" s="163"/>
      <c r="P2843" s="163"/>
      <c r="Q2843" s="158"/>
      <c r="R2843" s="5"/>
      <c r="S2843" s="5"/>
      <c r="T2843" s="5"/>
      <c r="U2843" s="35"/>
      <c r="V2843" s="171"/>
    </row>
    <row r="2844" customFormat="false" ht="15" hidden="false" customHeight="true" outlineLevel="0" collapsed="false">
      <c r="A2844" s="174"/>
      <c r="B2844" s="5"/>
      <c r="C2844" s="155"/>
      <c r="D2844" s="156"/>
      <c r="F2844" s="157"/>
      <c r="G2844" s="5"/>
      <c r="H2844" s="5"/>
      <c r="I2844" s="5"/>
      <c r="J2844" s="158"/>
      <c r="K2844" s="159"/>
      <c r="L2844" s="160"/>
      <c r="M2844" s="186"/>
      <c r="N2844" s="162"/>
      <c r="O2844" s="163"/>
      <c r="P2844" s="163"/>
      <c r="Q2844" s="158"/>
      <c r="R2844" s="5"/>
      <c r="S2844" s="5"/>
      <c r="T2844" s="5"/>
      <c r="U2844" s="35"/>
      <c r="V2844" s="171"/>
    </row>
    <row r="2845" customFormat="false" ht="15" hidden="false" customHeight="true" outlineLevel="0" collapsed="false">
      <c r="B2845" s="5"/>
      <c r="C2845" s="155"/>
      <c r="D2845" s="156"/>
      <c r="F2845" s="157"/>
      <c r="G2845" s="5"/>
      <c r="H2845" s="5"/>
      <c r="I2845" s="5"/>
      <c r="J2845" s="158"/>
      <c r="K2845" s="159"/>
      <c r="L2845" s="160"/>
      <c r="M2845" s="161"/>
      <c r="N2845" s="162"/>
      <c r="O2845" s="163"/>
      <c r="P2845" s="163"/>
      <c r="Q2845" s="158"/>
      <c r="R2845" s="5"/>
      <c r="S2845" s="5"/>
      <c r="T2845" s="5"/>
      <c r="U2845" s="35"/>
      <c r="V2845" s="164"/>
    </row>
    <row r="2846" customFormat="false" ht="15" hidden="false" customHeight="true" outlineLevel="0" collapsed="false">
      <c r="B2846" s="5"/>
      <c r="C2846" s="155"/>
      <c r="D2846" s="156"/>
      <c r="F2846" s="157"/>
      <c r="G2846" s="5"/>
      <c r="H2846" s="5"/>
      <c r="I2846" s="5"/>
      <c r="J2846" s="158"/>
      <c r="K2846" s="159"/>
      <c r="L2846" s="160"/>
      <c r="M2846" s="161"/>
      <c r="N2846" s="162"/>
      <c r="O2846" s="163"/>
      <c r="P2846" s="163"/>
      <c r="Q2846" s="158"/>
      <c r="R2846" s="5"/>
      <c r="S2846" s="5"/>
      <c r="T2846" s="5"/>
      <c r="U2846" s="35"/>
      <c r="V2846" s="164"/>
    </row>
    <row r="2847" customFormat="false" ht="15" hidden="false" customHeight="true" outlineLevel="0" collapsed="false">
      <c r="C2847" s="155"/>
      <c r="D2847" s="156"/>
      <c r="F2847" s="157"/>
      <c r="G2847" s="5"/>
      <c r="H2847" s="165"/>
      <c r="I2847" s="165"/>
      <c r="J2847" s="158"/>
      <c r="K2847" s="159"/>
      <c r="L2847" s="166"/>
      <c r="M2847" s="167"/>
      <c r="N2847" s="168"/>
      <c r="O2847" s="163"/>
      <c r="P2847" s="163"/>
      <c r="Q2847" s="158"/>
      <c r="R2847" s="5"/>
      <c r="S2847" s="169"/>
      <c r="T2847" s="158"/>
      <c r="U2847" s="35"/>
      <c r="V2847" s="164"/>
    </row>
    <row r="2848" customFormat="false" ht="15" hidden="false" customHeight="true" outlineLevel="0" collapsed="false">
      <c r="C2848" s="155"/>
      <c r="D2848" s="156"/>
      <c r="F2848" s="157"/>
      <c r="G2848" s="5"/>
      <c r="H2848" s="165"/>
      <c r="I2848" s="165"/>
      <c r="J2848" s="158"/>
      <c r="K2848" s="159"/>
      <c r="L2848" s="166"/>
      <c r="M2848" s="167"/>
      <c r="N2848" s="168"/>
      <c r="O2848" s="163"/>
      <c r="P2848" s="163"/>
      <c r="Q2848" s="158"/>
      <c r="R2848" s="5"/>
      <c r="S2848" s="169"/>
      <c r="T2848" s="158"/>
      <c r="U2848" s="35"/>
      <c r="V2848" s="164"/>
    </row>
    <row r="2849" customFormat="false" ht="15" hidden="false" customHeight="true" outlineLevel="0" collapsed="false">
      <c r="C2849" s="155"/>
      <c r="D2849" s="156"/>
      <c r="F2849" s="157"/>
      <c r="G2849" s="5"/>
      <c r="H2849" s="165"/>
      <c r="I2849" s="165"/>
      <c r="J2849" s="158"/>
      <c r="K2849" s="159"/>
      <c r="L2849" s="166"/>
      <c r="N2849" s="168"/>
      <c r="O2849" s="163"/>
      <c r="P2849" s="163"/>
      <c r="Q2849" s="158"/>
      <c r="R2849" s="5"/>
      <c r="S2849" s="169"/>
      <c r="T2849" s="158"/>
      <c r="U2849" s="35"/>
      <c r="V2849" s="164"/>
    </row>
    <row r="2850" customFormat="false" ht="15" hidden="false" customHeight="true" outlineLevel="0" collapsed="false">
      <c r="C2850" s="155"/>
      <c r="D2850" s="156"/>
      <c r="F2850" s="157"/>
      <c r="G2850" s="5"/>
      <c r="H2850" s="165"/>
      <c r="I2850" s="165"/>
      <c r="J2850" s="158"/>
      <c r="K2850" s="159"/>
      <c r="L2850" s="166"/>
      <c r="M2850" s="167"/>
      <c r="N2850" s="168"/>
      <c r="O2850" s="163"/>
      <c r="P2850" s="163"/>
      <c r="Q2850" s="158"/>
      <c r="R2850" s="5"/>
      <c r="S2850" s="169"/>
      <c r="T2850" s="158"/>
      <c r="U2850" s="35"/>
      <c r="V2850" s="164"/>
    </row>
    <row r="2851" customFormat="false" ht="15" hidden="false" customHeight="true" outlineLevel="0" collapsed="false">
      <c r="B2851" s="5"/>
      <c r="C2851" s="155"/>
      <c r="D2851" s="156"/>
      <c r="F2851" s="170"/>
      <c r="G2851" s="5"/>
      <c r="H2851" s="5"/>
      <c r="I2851" s="5"/>
      <c r="J2851" s="158"/>
      <c r="K2851" s="159"/>
      <c r="L2851" s="160"/>
      <c r="M2851" s="174"/>
      <c r="N2851" s="168"/>
      <c r="O2851" s="163"/>
      <c r="P2851" s="160"/>
      <c r="Q2851" s="5"/>
      <c r="R2851" s="5"/>
      <c r="S2851" s="5"/>
      <c r="T2851" s="5"/>
      <c r="U2851" s="35"/>
      <c r="V2851" s="171"/>
    </row>
    <row r="2852" customFormat="false" ht="15" hidden="false" customHeight="true" outlineLevel="0" collapsed="false">
      <c r="B2852" s="5"/>
      <c r="C2852" s="155"/>
      <c r="D2852" s="156"/>
      <c r="F2852" s="170"/>
      <c r="G2852" s="5"/>
      <c r="H2852" s="5"/>
      <c r="I2852" s="5"/>
      <c r="J2852" s="158"/>
      <c r="K2852" s="159"/>
      <c r="L2852" s="160"/>
      <c r="M2852" s="178"/>
      <c r="N2852" s="162"/>
      <c r="O2852" s="163"/>
      <c r="P2852" s="163"/>
      <c r="Q2852" s="5"/>
      <c r="R2852" s="5"/>
      <c r="S2852" s="5"/>
      <c r="T2852" s="5"/>
      <c r="U2852" s="35"/>
      <c r="V2852" s="171"/>
    </row>
    <row r="2853" customFormat="false" ht="15" hidden="false" customHeight="true" outlineLevel="0" collapsed="false">
      <c r="B2853" s="5"/>
      <c r="C2853" s="155"/>
      <c r="D2853" s="156"/>
      <c r="F2853" s="157"/>
      <c r="G2853" s="5"/>
      <c r="H2853" s="5"/>
      <c r="I2853" s="5"/>
      <c r="J2853" s="158"/>
      <c r="K2853" s="159"/>
      <c r="L2853" s="160"/>
      <c r="M2853" s="161"/>
      <c r="N2853" s="162"/>
      <c r="O2853" s="163"/>
      <c r="P2853" s="163"/>
      <c r="Q2853" s="158"/>
      <c r="R2853" s="5"/>
      <c r="S2853" s="5"/>
      <c r="T2853" s="5"/>
      <c r="U2853" s="35"/>
      <c r="V2853" s="171"/>
    </row>
    <row r="2854" customFormat="false" ht="15" hidden="false" customHeight="true" outlineLevel="0" collapsed="false">
      <c r="B2854" s="5"/>
      <c r="C2854" s="155"/>
      <c r="D2854" s="156"/>
      <c r="F2854" s="157"/>
      <c r="G2854" s="5"/>
      <c r="H2854" s="5"/>
      <c r="I2854" s="5"/>
      <c r="J2854" s="158"/>
      <c r="K2854" s="159"/>
      <c r="L2854" s="160"/>
      <c r="M2854" s="161"/>
      <c r="N2854" s="162"/>
      <c r="O2854" s="163"/>
      <c r="P2854" s="163"/>
      <c r="Q2854" s="158"/>
      <c r="R2854" s="5"/>
      <c r="S2854" s="5"/>
      <c r="T2854" s="5"/>
      <c r="U2854" s="35"/>
      <c r="V2854" s="164"/>
    </row>
    <row r="2855" customFormat="false" ht="15" hidden="false" customHeight="true" outlineLevel="0" collapsed="false">
      <c r="C2855" s="155"/>
      <c r="D2855" s="156"/>
      <c r="F2855" s="157"/>
      <c r="G2855" s="5"/>
      <c r="H2855" s="165"/>
      <c r="I2855" s="165"/>
      <c r="J2855" s="158"/>
      <c r="K2855" s="159"/>
      <c r="L2855" s="166"/>
      <c r="M2855" s="167"/>
      <c r="N2855" s="168"/>
      <c r="O2855" s="163"/>
      <c r="P2855" s="163"/>
      <c r="Q2855" s="158"/>
      <c r="R2855" s="5"/>
      <c r="S2855" s="169"/>
      <c r="T2855" s="158"/>
      <c r="U2855" s="35"/>
      <c r="V2855" s="164"/>
    </row>
    <row r="2856" customFormat="false" ht="15" hidden="false" customHeight="true" outlineLevel="0" collapsed="false">
      <c r="C2856" s="155"/>
      <c r="D2856" s="156"/>
      <c r="F2856" s="157"/>
      <c r="G2856" s="5"/>
      <c r="H2856" s="165"/>
      <c r="I2856" s="165"/>
      <c r="J2856" s="158"/>
      <c r="K2856" s="159"/>
      <c r="L2856" s="166"/>
      <c r="M2856" s="167"/>
      <c r="N2856" s="168"/>
      <c r="O2856" s="163"/>
      <c r="P2856" s="163"/>
      <c r="Q2856" s="158"/>
      <c r="R2856" s="5"/>
      <c r="S2856" s="169"/>
      <c r="T2856" s="158"/>
      <c r="U2856" s="35"/>
      <c r="V2856" s="164"/>
    </row>
    <row r="2857" customFormat="false" ht="15" hidden="false" customHeight="true" outlineLevel="0" collapsed="false">
      <c r="B2857" s="5"/>
      <c r="C2857" s="155"/>
      <c r="D2857" s="156"/>
      <c r="F2857" s="157"/>
      <c r="G2857" s="5"/>
      <c r="H2857" s="5"/>
      <c r="I2857" s="5"/>
      <c r="J2857" s="158"/>
      <c r="K2857" s="159"/>
      <c r="L2857" s="160"/>
      <c r="M2857" s="161"/>
      <c r="N2857" s="162"/>
      <c r="O2857" s="163"/>
      <c r="P2857" s="163"/>
      <c r="Q2857" s="158"/>
      <c r="R2857" s="5"/>
      <c r="S2857" s="5"/>
      <c r="T2857" s="5"/>
      <c r="U2857" s="35"/>
      <c r="V2857" s="164"/>
    </row>
    <row r="2858" customFormat="false" ht="15" hidden="false" customHeight="true" outlineLevel="0" collapsed="false">
      <c r="B2858" s="5"/>
      <c r="C2858" s="155"/>
      <c r="D2858" s="156"/>
      <c r="F2858" s="157"/>
      <c r="G2858" s="5"/>
      <c r="H2858" s="5"/>
      <c r="I2858" s="5"/>
      <c r="J2858" s="158"/>
      <c r="K2858" s="159"/>
      <c r="L2858" s="160"/>
      <c r="M2858" s="161"/>
      <c r="N2858" s="162"/>
      <c r="O2858" s="163"/>
      <c r="P2858" s="163"/>
      <c r="Q2858" s="158"/>
      <c r="R2858" s="5"/>
      <c r="S2858" s="5"/>
      <c r="T2858" s="5"/>
      <c r="U2858" s="35"/>
      <c r="V2858" s="164"/>
    </row>
    <row r="2859" customFormat="false" ht="15" hidden="false" customHeight="true" outlineLevel="0" collapsed="false">
      <c r="B2859" s="5"/>
      <c r="C2859" s="155"/>
      <c r="D2859" s="156"/>
      <c r="F2859" s="157"/>
      <c r="G2859" s="5"/>
      <c r="H2859" s="5"/>
      <c r="I2859" s="5"/>
      <c r="J2859" s="158"/>
      <c r="K2859" s="159"/>
      <c r="L2859" s="160"/>
      <c r="M2859" s="161"/>
      <c r="N2859" s="162"/>
      <c r="O2859" s="163"/>
      <c r="P2859" s="163"/>
      <c r="Q2859" s="158"/>
      <c r="R2859" s="5"/>
      <c r="S2859" s="5"/>
      <c r="T2859" s="5"/>
      <c r="U2859" s="35"/>
      <c r="V2859" s="164"/>
    </row>
    <row r="2860" customFormat="false" ht="15" hidden="false" customHeight="true" outlineLevel="0" collapsed="false">
      <c r="C2860" s="155"/>
      <c r="D2860" s="156"/>
      <c r="F2860" s="157"/>
      <c r="G2860" s="5"/>
      <c r="H2860" s="165"/>
      <c r="I2860" s="165"/>
      <c r="J2860" s="158"/>
      <c r="K2860" s="159"/>
      <c r="L2860" s="166"/>
      <c r="M2860" s="167"/>
      <c r="N2860" s="168"/>
      <c r="O2860" s="163"/>
      <c r="P2860" s="163"/>
      <c r="Q2860" s="158"/>
      <c r="R2860" s="5"/>
      <c r="S2860" s="169"/>
      <c r="T2860" s="158"/>
      <c r="U2860" s="35"/>
      <c r="V2860" s="164"/>
    </row>
    <row r="2861" customFormat="false" ht="15" hidden="false" customHeight="true" outlineLevel="0" collapsed="false">
      <c r="B2861" s="73"/>
      <c r="C2861" s="185"/>
      <c r="D2861" s="189"/>
      <c r="F2861" s="190"/>
      <c r="G2861" s="73"/>
      <c r="H2861" s="73"/>
      <c r="I2861" s="73"/>
      <c r="J2861" s="74"/>
      <c r="K2861" s="191"/>
      <c r="L2861" s="192"/>
      <c r="M2861" s="193"/>
      <c r="N2861" s="78"/>
      <c r="O2861" s="191"/>
      <c r="P2861" s="192"/>
      <c r="Q2861" s="194"/>
      <c r="R2861" s="73"/>
      <c r="S2861" s="73"/>
      <c r="T2861" s="73"/>
      <c r="U2861" s="35"/>
      <c r="V2861" s="43"/>
      <c r="W2861" s="33"/>
      <c r="X2861" s="32"/>
      <c r="Y2861" s="32"/>
    </row>
    <row r="2862" customFormat="false" ht="15" hidden="false" customHeight="true" outlineLevel="0" collapsed="false">
      <c r="B2862" s="5"/>
      <c r="C2862" s="155"/>
      <c r="D2862" s="156"/>
      <c r="F2862" s="157"/>
      <c r="G2862" s="5"/>
      <c r="H2862" s="5"/>
      <c r="I2862" s="5"/>
      <c r="J2862" s="158"/>
      <c r="K2862" s="159"/>
      <c r="L2862" s="160"/>
      <c r="M2862" s="177"/>
      <c r="N2862" s="162"/>
      <c r="O2862" s="163"/>
      <c r="P2862" s="163"/>
      <c r="Q2862" s="158"/>
      <c r="R2862" s="5"/>
      <c r="S2862" s="5"/>
      <c r="T2862" s="5"/>
      <c r="U2862" s="35"/>
      <c r="V2862" s="171"/>
    </row>
    <row r="2863" customFormat="false" ht="15" hidden="false" customHeight="true" outlineLevel="0" collapsed="false">
      <c r="B2863" s="5"/>
      <c r="C2863" s="155"/>
      <c r="D2863" s="156"/>
      <c r="F2863" s="157"/>
      <c r="G2863" s="5"/>
      <c r="H2863" s="5"/>
      <c r="I2863" s="5"/>
      <c r="J2863" s="158"/>
      <c r="K2863" s="159"/>
      <c r="L2863" s="160"/>
      <c r="M2863" s="177"/>
      <c r="N2863" s="162"/>
      <c r="O2863" s="163"/>
      <c r="P2863" s="163"/>
      <c r="Q2863" s="158"/>
      <c r="R2863" s="5"/>
      <c r="S2863" s="5"/>
      <c r="T2863" s="5"/>
      <c r="U2863" s="35"/>
      <c r="V2863" s="171"/>
    </row>
    <row r="2864" customFormat="false" ht="15" hidden="false" customHeight="true" outlineLevel="0" collapsed="false">
      <c r="B2864" s="5"/>
      <c r="C2864" s="155"/>
      <c r="D2864" s="156"/>
      <c r="F2864" s="157"/>
      <c r="G2864" s="5"/>
      <c r="H2864" s="5"/>
      <c r="I2864" s="5"/>
      <c r="J2864" s="158"/>
      <c r="K2864" s="159"/>
      <c r="L2864" s="160"/>
      <c r="M2864" s="161"/>
      <c r="N2864" s="162"/>
      <c r="O2864" s="163"/>
      <c r="P2864" s="163"/>
      <c r="Q2864" s="158"/>
      <c r="R2864" s="5"/>
      <c r="S2864" s="5"/>
      <c r="T2864" s="5"/>
      <c r="U2864" s="35"/>
      <c r="V2864" s="164"/>
    </row>
    <row r="2865" customFormat="false" ht="15" hidden="false" customHeight="true" outlineLevel="0" collapsed="false">
      <c r="A2865" s="6"/>
      <c r="B2865" s="5"/>
      <c r="C2865" s="155"/>
      <c r="D2865" s="156"/>
      <c r="F2865" s="170"/>
      <c r="G2865" s="5"/>
      <c r="H2865" s="5"/>
      <c r="I2865" s="5"/>
      <c r="J2865" s="158"/>
      <c r="K2865" s="159"/>
      <c r="L2865" s="160"/>
      <c r="M2865" s="161"/>
      <c r="N2865" s="162"/>
      <c r="O2865" s="163"/>
      <c r="P2865" s="163"/>
      <c r="Q2865" s="158"/>
      <c r="R2865" s="5"/>
      <c r="S2865" s="5"/>
      <c r="T2865" s="5"/>
      <c r="U2865" s="35"/>
      <c r="V2865" s="164"/>
    </row>
    <row r="2866" customFormat="false" ht="15" hidden="false" customHeight="true" outlineLevel="0" collapsed="false">
      <c r="C2866" s="155"/>
      <c r="D2866" s="156"/>
      <c r="F2866" s="190"/>
      <c r="G2866" s="5"/>
      <c r="H2866" s="165"/>
      <c r="I2866" s="165"/>
      <c r="J2866" s="158"/>
      <c r="K2866" s="159"/>
      <c r="L2866" s="166"/>
      <c r="M2866" s="167"/>
      <c r="N2866" s="168"/>
      <c r="O2866" s="163"/>
      <c r="P2866" s="163"/>
      <c r="Q2866" s="158"/>
      <c r="R2866" s="5"/>
      <c r="S2866" s="169"/>
      <c r="T2866" s="158"/>
      <c r="U2866" s="35"/>
      <c r="V2866" s="164"/>
    </row>
    <row r="2867" customFormat="false" ht="15" hidden="false" customHeight="true" outlineLevel="0" collapsed="false">
      <c r="C2867" s="155"/>
      <c r="D2867" s="156"/>
      <c r="F2867" s="157"/>
      <c r="G2867" s="5"/>
      <c r="H2867" s="165"/>
      <c r="I2867" s="165"/>
      <c r="J2867" s="158"/>
      <c r="K2867" s="159"/>
      <c r="L2867" s="166"/>
      <c r="M2867" s="167"/>
      <c r="N2867" s="168"/>
      <c r="O2867" s="163"/>
      <c r="P2867" s="163"/>
      <c r="Q2867" s="158"/>
      <c r="R2867" s="5"/>
      <c r="S2867" s="169"/>
      <c r="T2867" s="158"/>
      <c r="U2867" s="35"/>
      <c r="V2867" s="164"/>
    </row>
    <row r="2868" customFormat="false" ht="15" hidden="false" customHeight="true" outlineLevel="0" collapsed="false">
      <c r="B2868" s="5"/>
      <c r="C2868" s="155"/>
      <c r="D2868" s="156"/>
      <c r="F2868" s="170"/>
      <c r="G2868" s="5"/>
      <c r="H2868" s="5"/>
      <c r="I2868" s="5"/>
      <c r="J2868" s="158"/>
      <c r="K2868" s="163"/>
      <c r="L2868" s="160"/>
      <c r="M2868" s="174"/>
      <c r="N2868" s="168"/>
      <c r="O2868" s="163"/>
      <c r="P2868" s="160"/>
      <c r="Q2868" s="175"/>
      <c r="R2868" s="5"/>
      <c r="S2868" s="5"/>
      <c r="T2868" s="5"/>
      <c r="U2868" s="35"/>
      <c r="V2868" s="171"/>
      <c r="W2868" s="170"/>
      <c r="X2868" s="176"/>
    </row>
    <row r="2869" customFormat="false" ht="15" hidden="false" customHeight="true" outlineLevel="0" collapsed="false">
      <c r="B2869" s="5"/>
      <c r="C2869" s="155"/>
      <c r="D2869" s="156"/>
      <c r="F2869" s="170"/>
      <c r="G2869" s="5"/>
      <c r="H2869" s="5"/>
      <c r="I2869" s="5"/>
      <c r="J2869" s="158"/>
      <c r="K2869" s="159"/>
      <c r="L2869" s="160"/>
      <c r="M2869" s="178"/>
      <c r="N2869" s="162"/>
      <c r="O2869" s="163"/>
      <c r="P2869" s="163"/>
      <c r="Q2869" s="5"/>
      <c r="R2869" s="5"/>
      <c r="S2869" s="5"/>
      <c r="T2869" s="5"/>
      <c r="U2869" s="35"/>
      <c r="V2869" s="171"/>
    </row>
    <row r="2870" customFormat="false" ht="15" hidden="false" customHeight="true" outlineLevel="0" collapsed="false">
      <c r="C2870" s="155"/>
      <c r="D2870" s="156"/>
      <c r="F2870" s="157"/>
      <c r="G2870" s="5"/>
      <c r="H2870" s="165"/>
      <c r="I2870" s="165"/>
      <c r="J2870" s="158"/>
      <c r="K2870" s="159"/>
      <c r="L2870" s="166"/>
      <c r="M2870" s="167"/>
      <c r="N2870" s="168"/>
      <c r="O2870" s="163"/>
      <c r="P2870" s="163"/>
      <c r="Q2870" s="158"/>
      <c r="R2870" s="5"/>
      <c r="S2870" s="169"/>
      <c r="T2870" s="158"/>
      <c r="U2870" s="35"/>
      <c r="V2870" s="164"/>
    </row>
    <row r="2871" customFormat="false" ht="15" hidden="false" customHeight="true" outlineLevel="0" collapsed="false">
      <c r="B2871" s="5"/>
      <c r="C2871" s="155"/>
      <c r="D2871" s="156"/>
      <c r="F2871" s="170"/>
      <c r="G2871" s="5"/>
      <c r="H2871" s="5"/>
      <c r="I2871" s="5"/>
      <c r="J2871" s="158"/>
      <c r="K2871" s="159"/>
      <c r="L2871" s="160"/>
      <c r="M2871" s="174"/>
      <c r="N2871" s="168"/>
      <c r="O2871" s="163"/>
      <c r="P2871" s="160"/>
      <c r="Q2871" s="5"/>
      <c r="R2871" s="5"/>
      <c r="S2871" s="5"/>
      <c r="T2871" s="5"/>
      <c r="U2871" s="35"/>
      <c r="V2871" s="171"/>
    </row>
    <row r="2872" customFormat="false" ht="15" hidden="false" customHeight="true" outlineLevel="0" collapsed="false">
      <c r="B2872" s="5"/>
      <c r="C2872" s="155"/>
      <c r="D2872" s="156"/>
      <c r="F2872" s="157"/>
      <c r="G2872" s="5"/>
      <c r="H2872" s="5"/>
      <c r="I2872" s="5"/>
      <c r="J2872" s="158"/>
      <c r="K2872" s="159"/>
      <c r="L2872" s="160"/>
      <c r="M2872" s="161"/>
      <c r="N2872" s="162"/>
      <c r="O2872" s="163"/>
      <c r="P2872" s="163"/>
      <c r="Q2872" s="158"/>
      <c r="R2872" s="5"/>
      <c r="S2872" s="5"/>
      <c r="T2872" s="5"/>
      <c r="U2872" s="35"/>
      <c r="V2872" s="164"/>
    </row>
    <row r="2873" customFormat="false" ht="15" hidden="false" customHeight="true" outlineLevel="0" collapsed="false">
      <c r="C2873" s="155"/>
      <c r="D2873" s="156"/>
      <c r="F2873" s="157"/>
      <c r="G2873" s="5"/>
      <c r="H2873" s="165"/>
      <c r="I2873" s="165"/>
      <c r="J2873" s="158"/>
      <c r="K2873" s="159"/>
      <c r="L2873" s="166"/>
      <c r="M2873" s="167"/>
      <c r="N2873" s="168"/>
      <c r="O2873" s="163"/>
      <c r="P2873" s="163"/>
      <c r="Q2873" s="158"/>
      <c r="R2873" s="5"/>
      <c r="S2873" s="169"/>
      <c r="T2873" s="158"/>
      <c r="U2873" s="35"/>
      <c r="V2873" s="164"/>
    </row>
    <row r="2874" customFormat="false" ht="15" hidden="false" customHeight="true" outlineLevel="0" collapsed="false">
      <c r="C2874" s="155"/>
      <c r="D2874" s="156"/>
      <c r="F2874" s="157"/>
      <c r="G2874" s="5"/>
      <c r="H2874" s="165"/>
      <c r="I2874" s="165"/>
      <c r="J2874" s="158"/>
      <c r="K2874" s="159"/>
      <c r="L2874" s="166"/>
      <c r="M2874" s="167"/>
      <c r="N2874" s="168"/>
      <c r="O2874" s="163"/>
      <c r="P2874" s="163"/>
      <c r="Q2874" s="158"/>
      <c r="R2874" s="5"/>
      <c r="S2874" s="169"/>
      <c r="T2874" s="158"/>
      <c r="U2874" s="35"/>
      <c r="V2874" s="164"/>
    </row>
    <row r="2875" customFormat="false" ht="15" hidden="false" customHeight="true" outlineLevel="0" collapsed="false">
      <c r="C2875" s="155"/>
      <c r="D2875" s="156"/>
      <c r="F2875" s="157"/>
      <c r="G2875" s="5"/>
      <c r="H2875" s="165"/>
      <c r="I2875" s="165"/>
      <c r="J2875" s="179"/>
      <c r="K2875" s="159"/>
      <c r="L2875" s="166"/>
      <c r="M2875" s="167"/>
      <c r="N2875" s="168"/>
      <c r="O2875" s="163"/>
      <c r="P2875" s="163"/>
      <c r="Q2875" s="158"/>
      <c r="R2875" s="5"/>
      <c r="S2875" s="169"/>
      <c r="T2875" s="158"/>
      <c r="U2875" s="35"/>
      <c r="V2875" s="164"/>
    </row>
    <row r="2876" customFormat="false" ht="15" hidden="false" customHeight="true" outlineLevel="0" collapsed="false">
      <c r="B2876" s="5"/>
      <c r="C2876" s="155"/>
      <c r="D2876" s="156"/>
      <c r="F2876" s="170"/>
      <c r="G2876" s="5"/>
      <c r="H2876" s="5"/>
      <c r="I2876" s="5"/>
      <c r="J2876" s="158"/>
      <c r="K2876" s="163"/>
      <c r="L2876" s="160"/>
      <c r="M2876" s="174"/>
      <c r="N2876" s="168"/>
      <c r="O2876" s="163"/>
      <c r="P2876" s="160"/>
      <c r="Q2876" s="175"/>
      <c r="R2876" s="5"/>
      <c r="S2876" s="5"/>
      <c r="T2876" s="5"/>
      <c r="U2876" s="35"/>
      <c r="V2876" s="171"/>
      <c r="W2876" s="170"/>
      <c r="X2876" s="176"/>
    </row>
    <row r="2877" customFormat="false" ht="15" hidden="false" customHeight="true" outlineLevel="0" collapsed="false">
      <c r="B2877" s="5"/>
      <c r="C2877" s="155"/>
      <c r="D2877" s="156"/>
      <c r="F2877" s="157"/>
      <c r="G2877" s="5"/>
      <c r="H2877" s="5"/>
      <c r="I2877" s="5"/>
      <c r="J2877" s="158"/>
      <c r="K2877" s="159"/>
      <c r="L2877" s="160"/>
      <c r="M2877" s="161"/>
      <c r="N2877" s="162"/>
      <c r="O2877" s="163"/>
      <c r="P2877" s="163"/>
      <c r="Q2877" s="158"/>
      <c r="R2877" s="5"/>
      <c r="S2877" s="5"/>
      <c r="T2877" s="5"/>
      <c r="U2877" s="35"/>
      <c r="V2877" s="171"/>
    </row>
    <row r="2878" customFormat="false" ht="15" hidden="false" customHeight="true" outlineLevel="0" collapsed="false">
      <c r="B2878" s="5"/>
      <c r="C2878" s="155"/>
      <c r="D2878" s="156"/>
      <c r="F2878" s="157"/>
      <c r="G2878" s="5"/>
      <c r="H2878" s="5"/>
      <c r="I2878" s="5"/>
      <c r="J2878" s="158"/>
      <c r="K2878" s="159"/>
      <c r="L2878" s="160"/>
      <c r="M2878" s="161"/>
      <c r="N2878" s="162"/>
      <c r="O2878" s="163"/>
      <c r="P2878" s="163"/>
      <c r="Q2878" s="158"/>
      <c r="R2878" s="5"/>
      <c r="S2878" s="5"/>
      <c r="T2878" s="5"/>
      <c r="U2878" s="35"/>
      <c r="V2878" s="171"/>
    </row>
    <row r="2879" customFormat="false" ht="15" hidden="false" customHeight="true" outlineLevel="0" collapsed="false">
      <c r="C2879" s="155"/>
      <c r="D2879" s="156"/>
      <c r="F2879" s="157"/>
      <c r="G2879" s="5"/>
      <c r="H2879" s="165"/>
      <c r="I2879" s="165"/>
      <c r="J2879" s="158"/>
      <c r="K2879" s="159"/>
      <c r="L2879" s="166"/>
      <c r="M2879" s="167"/>
      <c r="N2879" s="168"/>
      <c r="O2879" s="163"/>
      <c r="P2879" s="163"/>
      <c r="Q2879" s="158"/>
      <c r="R2879" s="5"/>
      <c r="S2879" s="169"/>
      <c r="T2879" s="158"/>
      <c r="U2879" s="35"/>
      <c r="V2879" s="164"/>
    </row>
    <row r="2880" customFormat="false" ht="15" hidden="false" customHeight="true" outlineLevel="0" collapsed="false">
      <c r="B2880" s="5"/>
      <c r="C2880" s="155"/>
      <c r="D2880" s="156"/>
      <c r="F2880" s="157"/>
      <c r="G2880" s="5"/>
      <c r="H2880" s="5"/>
      <c r="I2880" s="5"/>
      <c r="J2880" s="158"/>
      <c r="K2880" s="159"/>
      <c r="L2880" s="160"/>
      <c r="M2880" s="161"/>
      <c r="N2880" s="162"/>
      <c r="O2880" s="163"/>
      <c r="P2880" s="163"/>
      <c r="Q2880" s="158"/>
      <c r="R2880" s="5"/>
      <c r="S2880" s="5"/>
      <c r="T2880" s="5"/>
      <c r="U2880" s="35"/>
      <c r="V2880" s="164"/>
    </row>
    <row r="2881" customFormat="false" ht="15" hidden="false" customHeight="true" outlineLevel="0" collapsed="false">
      <c r="A2881" s="6"/>
      <c r="C2881" s="155"/>
      <c r="D2881" s="156"/>
      <c r="F2881" s="157"/>
      <c r="G2881" s="5"/>
      <c r="H2881" s="5"/>
      <c r="I2881" s="5"/>
      <c r="J2881" s="158"/>
      <c r="K2881" s="159"/>
      <c r="L2881" s="160"/>
      <c r="M2881" s="161"/>
      <c r="N2881" s="162"/>
      <c r="O2881" s="163"/>
      <c r="P2881" s="163"/>
      <c r="Q2881" s="158"/>
      <c r="R2881" s="5"/>
      <c r="S2881" s="5"/>
      <c r="T2881" s="5"/>
      <c r="U2881" s="35"/>
      <c r="V2881" s="164"/>
    </row>
    <row r="2882" customFormat="false" ht="15" hidden="false" customHeight="true" outlineLevel="0" collapsed="false">
      <c r="C2882" s="155"/>
      <c r="D2882" s="156"/>
      <c r="F2882" s="157"/>
      <c r="G2882" s="5"/>
      <c r="H2882" s="165"/>
      <c r="I2882" s="165"/>
      <c r="J2882" s="158"/>
      <c r="K2882" s="159"/>
      <c r="L2882" s="166"/>
      <c r="M2882" s="167"/>
      <c r="N2882" s="168"/>
      <c r="O2882" s="163"/>
      <c r="P2882" s="163"/>
      <c r="Q2882" s="158"/>
      <c r="R2882" s="5"/>
      <c r="S2882" s="169"/>
      <c r="T2882" s="158"/>
      <c r="U2882" s="35"/>
      <c r="V2882" s="164"/>
    </row>
    <row r="2883" customFormat="false" ht="15" hidden="false" customHeight="true" outlineLevel="0" collapsed="false">
      <c r="B2883" s="5"/>
      <c r="C2883" s="155"/>
      <c r="D2883" s="156"/>
      <c r="F2883" s="170"/>
      <c r="G2883" s="5"/>
      <c r="H2883" s="5"/>
      <c r="I2883" s="5"/>
      <c r="J2883" s="158"/>
      <c r="K2883" s="163"/>
      <c r="L2883" s="160"/>
      <c r="M2883" s="174"/>
      <c r="N2883" s="168"/>
      <c r="O2883" s="163"/>
      <c r="P2883" s="160"/>
      <c r="Q2883" s="175"/>
      <c r="R2883" s="5"/>
      <c r="S2883" s="5"/>
      <c r="T2883" s="5"/>
      <c r="U2883" s="35"/>
      <c r="V2883" s="171"/>
      <c r="W2883" s="116"/>
    </row>
    <row r="2884" customFormat="false" ht="15" hidden="false" customHeight="true" outlineLevel="0" collapsed="false">
      <c r="B2884" s="5"/>
      <c r="C2884" s="155"/>
      <c r="D2884" s="156"/>
      <c r="F2884" s="170"/>
      <c r="G2884" s="5"/>
      <c r="H2884" s="5"/>
      <c r="I2884" s="5"/>
      <c r="J2884" s="158"/>
      <c r="K2884" s="159"/>
      <c r="L2884" s="160"/>
      <c r="M2884" s="178"/>
      <c r="N2884" s="162"/>
      <c r="O2884" s="163"/>
      <c r="P2884" s="163"/>
      <c r="Q2884" s="5"/>
      <c r="R2884" s="5"/>
      <c r="S2884" s="5"/>
      <c r="T2884" s="5"/>
      <c r="U2884" s="35"/>
      <c r="V2884" s="171"/>
    </row>
    <row r="2885" customFormat="false" ht="15" hidden="false" customHeight="true" outlineLevel="0" collapsed="false">
      <c r="B2885" s="5"/>
      <c r="C2885" s="155"/>
      <c r="D2885" s="156"/>
      <c r="F2885" s="170"/>
      <c r="G2885" s="5"/>
      <c r="H2885" s="5"/>
      <c r="I2885" s="5"/>
      <c r="J2885" s="158"/>
      <c r="K2885" s="159"/>
      <c r="L2885" s="160"/>
      <c r="M2885" s="161"/>
      <c r="N2885" s="162"/>
      <c r="O2885" s="163"/>
      <c r="P2885" s="160"/>
      <c r="Q2885" s="5"/>
      <c r="R2885" s="5"/>
      <c r="S2885" s="5"/>
      <c r="T2885" s="5"/>
      <c r="U2885" s="35"/>
      <c r="V2885" s="171"/>
      <c r="W2885" s="172"/>
      <c r="X2885" s="173"/>
    </row>
    <row r="2886" customFormat="false" ht="15" hidden="false" customHeight="true" outlineLevel="0" collapsed="false">
      <c r="B2886" s="5"/>
      <c r="C2886" s="155"/>
      <c r="D2886" s="156"/>
      <c r="F2886" s="157"/>
      <c r="G2886" s="5"/>
      <c r="H2886" s="5"/>
      <c r="I2886" s="5"/>
      <c r="J2886" s="158"/>
      <c r="K2886" s="159"/>
      <c r="L2886" s="160"/>
      <c r="M2886" s="161"/>
      <c r="N2886" s="162"/>
      <c r="O2886" s="163"/>
      <c r="P2886" s="163"/>
      <c r="Q2886" s="158"/>
      <c r="R2886" s="5"/>
      <c r="S2886" s="5"/>
      <c r="T2886" s="5"/>
      <c r="U2886" s="35"/>
      <c r="V2886" s="164"/>
    </row>
    <row r="2887" customFormat="false" ht="15" hidden="false" customHeight="true" outlineLevel="0" collapsed="false">
      <c r="C2887" s="155"/>
      <c r="D2887" s="156"/>
      <c r="F2887" s="157"/>
      <c r="G2887" s="5"/>
      <c r="H2887" s="165"/>
      <c r="I2887" s="165"/>
      <c r="J2887" s="158"/>
      <c r="K2887" s="159"/>
      <c r="L2887" s="166"/>
      <c r="M2887" s="167"/>
      <c r="N2887" s="168"/>
      <c r="O2887" s="163"/>
      <c r="P2887" s="163"/>
      <c r="Q2887" s="158"/>
      <c r="R2887" s="5"/>
      <c r="S2887" s="169"/>
      <c r="T2887" s="158"/>
      <c r="U2887" s="35"/>
      <c r="V2887" s="164"/>
    </row>
    <row r="2888" customFormat="false" ht="15" hidden="false" customHeight="true" outlineLevel="0" collapsed="false">
      <c r="C2888" s="155"/>
      <c r="D2888" s="156"/>
      <c r="F2888" s="157"/>
      <c r="G2888" s="5"/>
      <c r="H2888" s="165"/>
      <c r="I2888" s="165"/>
      <c r="J2888" s="158"/>
      <c r="K2888" s="159"/>
      <c r="L2888" s="166"/>
      <c r="M2888" s="167"/>
      <c r="N2888" s="168"/>
      <c r="O2888" s="163"/>
      <c r="P2888" s="163"/>
      <c r="Q2888" s="158"/>
      <c r="R2888" s="5"/>
      <c r="S2888" s="169"/>
      <c r="T2888" s="158"/>
      <c r="U2888" s="35"/>
      <c r="V2888" s="164"/>
    </row>
    <row r="2889" customFormat="false" ht="15" hidden="false" customHeight="true" outlineLevel="0" collapsed="false">
      <c r="C2889" s="155"/>
      <c r="D2889" s="156"/>
      <c r="F2889" s="157"/>
      <c r="G2889" s="5"/>
      <c r="H2889" s="165"/>
      <c r="I2889" s="165"/>
      <c r="J2889" s="158"/>
      <c r="K2889" s="159"/>
      <c r="L2889" s="166"/>
      <c r="M2889" s="167"/>
      <c r="N2889" s="168"/>
      <c r="O2889" s="163"/>
      <c r="P2889" s="163"/>
      <c r="Q2889" s="158"/>
      <c r="R2889" s="5"/>
      <c r="S2889" s="169"/>
      <c r="T2889" s="158"/>
      <c r="U2889" s="35"/>
      <c r="V2889" s="164"/>
    </row>
    <row r="2890" customFormat="false" ht="15" hidden="false" customHeight="true" outlineLevel="0" collapsed="false">
      <c r="C2890" s="155"/>
      <c r="D2890" s="156"/>
      <c r="F2890" s="157"/>
      <c r="G2890" s="5"/>
      <c r="H2890" s="165"/>
      <c r="I2890" s="165"/>
      <c r="J2890" s="158"/>
      <c r="K2890" s="159"/>
      <c r="L2890" s="166"/>
      <c r="M2890" s="167"/>
      <c r="N2890" s="168"/>
      <c r="O2890" s="163"/>
      <c r="P2890" s="163"/>
      <c r="Q2890" s="158"/>
      <c r="R2890" s="5"/>
      <c r="S2890" s="169"/>
      <c r="T2890" s="158"/>
      <c r="U2890" s="35"/>
      <c r="V2890" s="164"/>
    </row>
    <row r="2891" customFormat="false" ht="15" hidden="false" customHeight="true" outlineLevel="0" collapsed="false">
      <c r="C2891" s="155"/>
      <c r="D2891" s="156"/>
      <c r="F2891" s="157"/>
      <c r="G2891" s="5"/>
      <c r="H2891" s="165"/>
      <c r="I2891" s="165"/>
      <c r="J2891" s="158"/>
      <c r="K2891" s="159"/>
      <c r="L2891" s="166"/>
      <c r="M2891" s="167"/>
      <c r="N2891" s="168"/>
      <c r="O2891" s="163"/>
      <c r="P2891" s="163"/>
      <c r="Q2891" s="158"/>
      <c r="R2891" s="5"/>
      <c r="S2891" s="169"/>
      <c r="T2891" s="158"/>
      <c r="U2891" s="35"/>
      <c r="V2891" s="164"/>
    </row>
    <row r="2892" customFormat="false" ht="15" hidden="false" customHeight="true" outlineLevel="0" collapsed="false">
      <c r="C2892" s="155"/>
      <c r="D2892" s="156"/>
      <c r="F2892" s="157"/>
      <c r="G2892" s="5"/>
      <c r="H2892" s="165"/>
      <c r="I2892" s="165"/>
      <c r="J2892" s="158"/>
      <c r="K2892" s="159"/>
      <c r="L2892" s="166"/>
      <c r="M2892" s="167"/>
      <c r="N2892" s="168"/>
      <c r="O2892" s="163"/>
      <c r="P2892" s="163"/>
      <c r="Q2892" s="158"/>
      <c r="R2892" s="5"/>
      <c r="S2892" s="169"/>
      <c r="T2892" s="158"/>
      <c r="U2892" s="35"/>
      <c r="V2892" s="164"/>
    </row>
    <row r="2893" customFormat="false" ht="15" hidden="false" customHeight="true" outlineLevel="0" collapsed="false">
      <c r="C2893" s="155"/>
      <c r="D2893" s="156"/>
      <c r="F2893" s="157"/>
      <c r="G2893" s="5"/>
      <c r="H2893" s="165"/>
      <c r="I2893" s="165"/>
      <c r="J2893" s="158"/>
      <c r="K2893" s="159"/>
      <c r="L2893" s="166"/>
      <c r="M2893" s="167"/>
      <c r="N2893" s="168"/>
      <c r="O2893" s="163"/>
      <c r="P2893" s="163"/>
      <c r="Q2893" s="158"/>
      <c r="R2893" s="5"/>
      <c r="S2893" s="169"/>
      <c r="T2893" s="158"/>
      <c r="U2893" s="35"/>
      <c r="V2893" s="164"/>
    </row>
    <row r="2894" customFormat="false" ht="15" hidden="false" customHeight="true" outlineLevel="0" collapsed="false">
      <c r="B2894" s="5"/>
      <c r="C2894" s="155"/>
      <c r="D2894" s="156"/>
      <c r="F2894" s="170"/>
      <c r="G2894" s="5"/>
      <c r="H2894" s="5"/>
      <c r="I2894" s="5"/>
      <c r="J2894" s="158"/>
      <c r="K2894" s="163"/>
      <c r="L2894" s="160"/>
      <c r="M2894" s="174"/>
      <c r="N2894" s="168"/>
      <c r="O2894" s="163"/>
      <c r="P2894" s="160"/>
      <c r="Q2894" s="175"/>
      <c r="R2894" s="5"/>
      <c r="S2894" s="5"/>
      <c r="T2894" s="5"/>
      <c r="U2894" s="165"/>
      <c r="V2894" s="164"/>
      <c r="W2894" s="116"/>
      <c r="X2894" s="116"/>
      <c r="Y2894" s="116"/>
    </row>
    <row r="2895" customFormat="false" ht="15" hidden="false" customHeight="true" outlineLevel="0" collapsed="false">
      <c r="B2895" s="5"/>
      <c r="C2895" s="155"/>
      <c r="D2895" s="156"/>
      <c r="F2895" s="170"/>
      <c r="G2895" s="5"/>
      <c r="H2895" s="5"/>
      <c r="I2895" s="5"/>
      <c r="J2895" s="158"/>
      <c r="K2895" s="163"/>
      <c r="L2895" s="160"/>
      <c r="M2895" s="174"/>
      <c r="N2895" s="168"/>
      <c r="O2895" s="163"/>
      <c r="P2895" s="160"/>
      <c r="Q2895" s="175"/>
      <c r="R2895" s="5"/>
      <c r="S2895" s="5"/>
      <c r="T2895" s="5"/>
      <c r="U2895" s="165"/>
      <c r="V2895" s="171"/>
      <c r="W2895" s="116"/>
      <c r="X2895" s="116"/>
      <c r="Y2895" s="116"/>
    </row>
    <row r="2896" customFormat="false" ht="15" hidden="false" customHeight="true" outlineLevel="0" collapsed="false">
      <c r="B2896" s="5"/>
      <c r="C2896" s="155"/>
      <c r="D2896" s="156"/>
      <c r="F2896" s="170"/>
      <c r="G2896" s="5"/>
      <c r="H2896" s="5"/>
      <c r="I2896" s="5"/>
      <c r="J2896" s="158"/>
      <c r="K2896" s="163"/>
      <c r="L2896" s="160"/>
      <c r="M2896" s="174"/>
      <c r="N2896" s="168"/>
      <c r="O2896" s="163"/>
      <c r="P2896" s="160"/>
      <c r="Q2896" s="175"/>
      <c r="R2896" s="5"/>
      <c r="S2896" s="5"/>
      <c r="T2896" s="5"/>
      <c r="U2896" s="165"/>
      <c r="V2896" s="164"/>
      <c r="W2896" s="116"/>
      <c r="X2896" s="116"/>
      <c r="Y2896" s="116"/>
    </row>
    <row r="2897" customFormat="false" ht="15" hidden="false" customHeight="true" outlineLevel="0" collapsed="false">
      <c r="B2897" s="5"/>
      <c r="C2897" s="155"/>
      <c r="D2897" s="156"/>
      <c r="F2897" s="170"/>
      <c r="G2897" s="5"/>
      <c r="H2897" s="5"/>
      <c r="I2897" s="5"/>
      <c r="J2897" s="158"/>
      <c r="K2897" s="159"/>
      <c r="L2897" s="160"/>
      <c r="M2897" s="174"/>
      <c r="N2897" s="168"/>
      <c r="O2897" s="163"/>
      <c r="P2897" s="160"/>
      <c r="Q2897" s="5"/>
      <c r="R2897" s="5"/>
      <c r="S2897" s="5"/>
      <c r="T2897" s="5"/>
      <c r="U2897" s="35"/>
      <c r="V2897" s="171"/>
    </row>
    <row r="2898" customFormat="false" ht="15" hidden="false" customHeight="true" outlineLevel="0" collapsed="false">
      <c r="B2898" s="5"/>
      <c r="C2898" s="155"/>
      <c r="D2898" s="156"/>
      <c r="F2898" s="157"/>
      <c r="G2898" s="5"/>
      <c r="H2898" s="5"/>
      <c r="I2898" s="5"/>
      <c r="J2898" s="158"/>
      <c r="K2898" s="159"/>
      <c r="L2898" s="160"/>
      <c r="M2898" s="161"/>
      <c r="N2898" s="162"/>
      <c r="O2898" s="163"/>
      <c r="P2898" s="163"/>
      <c r="Q2898" s="158"/>
      <c r="R2898" s="5"/>
      <c r="S2898" s="5"/>
      <c r="T2898" s="5"/>
      <c r="U2898" s="35"/>
      <c r="V2898" s="171"/>
    </row>
    <row r="2899" customFormat="false" ht="15" hidden="false" customHeight="true" outlineLevel="0" collapsed="false">
      <c r="B2899" s="5"/>
      <c r="C2899" s="155"/>
      <c r="D2899" s="156"/>
      <c r="F2899" s="157"/>
      <c r="G2899" s="5"/>
      <c r="H2899" s="5"/>
      <c r="I2899" s="5"/>
      <c r="J2899" s="158"/>
      <c r="K2899" s="159"/>
      <c r="L2899" s="160"/>
      <c r="M2899" s="161"/>
      <c r="N2899" s="162"/>
      <c r="O2899" s="163"/>
      <c r="P2899" s="163"/>
      <c r="Q2899" s="158"/>
      <c r="R2899" s="5"/>
      <c r="S2899" s="5"/>
      <c r="T2899" s="5"/>
      <c r="U2899" s="35"/>
      <c r="V2899" s="171"/>
    </row>
    <row r="2900" customFormat="false" ht="15" hidden="false" customHeight="true" outlineLevel="0" collapsed="false">
      <c r="B2900" s="5"/>
      <c r="C2900" s="155"/>
      <c r="D2900" s="156"/>
      <c r="F2900" s="157"/>
      <c r="G2900" s="5"/>
      <c r="H2900" s="5"/>
      <c r="I2900" s="5"/>
      <c r="J2900" s="158"/>
      <c r="K2900" s="159"/>
      <c r="L2900" s="160"/>
      <c r="M2900" s="161"/>
      <c r="N2900" s="162"/>
      <c r="O2900" s="163"/>
      <c r="P2900" s="163"/>
      <c r="Q2900" s="158"/>
      <c r="R2900" s="5"/>
      <c r="S2900" s="5"/>
      <c r="T2900" s="5"/>
      <c r="U2900" s="35"/>
      <c r="V2900" s="171"/>
    </row>
    <row r="2901" customFormat="false" ht="15" hidden="false" customHeight="true" outlineLevel="0" collapsed="false">
      <c r="B2901" s="5"/>
      <c r="C2901" s="155"/>
      <c r="D2901" s="156"/>
      <c r="F2901" s="157"/>
      <c r="G2901" s="5"/>
      <c r="H2901" s="5"/>
      <c r="I2901" s="5"/>
      <c r="J2901" s="158"/>
      <c r="K2901" s="159"/>
      <c r="L2901" s="160"/>
      <c r="M2901" s="161"/>
      <c r="N2901" s="162"/>
      <c r="O2901" s="163"/>
      <c r="P2901" s="163"/>
      <c r="Q2901" s="158"/>
      <c r="R2901" s="5"/>
      <c r="S2901" s="5"/>
      <c r="T2901" s="5"/>
      <c r="U2901" s="35"/>
      <c r="V2901" s="171"/>
    </row>
    <row r="2902" customFormat="false" ht="15" hidden="false" customHeight="true" outlineLevel="0" collapsed="false">
      <c r="B2902" s="5"/>
      <c r="C2902" s="155"/>
      <c r="D2902" s="156"/>
      <c r="F2902" s="157"/>
      <c r="G2902" s="5"/>
      <c r="H2902" s="5"/>
      <c r="I2902" s="5"/>
      <c r="J2902" s="158"/>
      <c r="K2902" s="159"/>
      <c r="L2902" s="160"/>
      <c r="M2902" s="161"/>
      <c r="N2902" s="162"/>
      <c r="O2902" s="163"/>
      <c r="P2902" s="163"/>
      <c r="Q2902" s="158"/>
      <c r="R2902" s="5"/>
      <c r="S2902" s="5"/>
      <c r="T2902" s="5"/>
      <c r="U2902" s="35"/>
      <c r="V2902" s="164"/>
    </row>
    <row r="2903" customFormat="false" ht="15" hidden="false" customHeight="true" outlineLevel="0" collapsed="false">
      <c r="B2903" s="5"/>
      <c r="C2903" s="155"/>
      <c r="D2903" s="156"/>
      <c r="F2903" s="157"/>
      <c r="G2903" s="5"/>
      <c r="H2903" s="5"/>
      <c r="I2903" s="5"/>
      <c r="J2903" s="158"/>
      <c r="K2903" s="159"/>
      <c r="L2903" s="160"/>
      <c r="M2903" s="161"/>
      <c r="N2903" s="162"/>
      <c r="O2903" s="163"/>
      <c r="P2903" s="163"/>
      <c r="Q2903" s="158"/>
      <c r="R2903" s="5"/>
      <c r="S2903" s="5"/>
      <c r="T2903" s="5"/>
      <c r="U2903" s="35"/>
      <c r="V2903" s="164"/>
    </row>
    <row r="2904" customFormat="false" ht="15" hidden="false" customHeight="true" outlineLevel="0" collapsed="false">
      <c r="B2904" s="5"/>
      <c r="C2904" s="155"/>
      <c r="D2904" s="156"/>
      <c r="F2904" s="157"/>
      <c r="G2904" s="5"/>
      <c r="H2904" s="5"/>
      <c r="I2904" s="5"/>
      <c r="J2904" s="158"/>
      <c r="K2904" s="159"/>
      <c r="L2904" s="160"/>
      <c r="M2904" s="161"/>
      <c r="N2904" s="162"/>
      <c r="O2904" s="163"/>
      <c r="P2904" s="163"/>
      <c r="Q2904" s="158"/>
      <c r="R2904" s="5"/>
      <c r="S2904" s="5"/>
      <c r="T2904" s="5"/>
      <c r="U2904" s="35"/>
      <c r="V2904" s="164"/>
    </row>
    <row r="2905" customFormat="false" ht="15" hidden="false" customHeight="true" outlineLevel="0" collapsed="false">
      <c r="C2905" s="155"/>
      <c r="D2905" s="156"/>
      <c r="F2905" s="157"/>
      <c r="G2905" s="5"/>
      <c r="H2905" s="165"/>
      <c r="I2905" s="165"/>
      <c r="J2905" s="158"/>
      <c r="K2905" s="159"/>
      <c r="L2905" s="166"/>
      <c r="M2905" s="167"/>
      <c r="N2905" s="168"/>
      <c r="O2905" s="163"/>
      <c r="P2905" s="163"/>
      <c r="Q2905" s="158"/>
      <c r="R2905" s="5"/>
      <c r="S2905" s="169"/>
      <c r="T2905" s="158"/>
      <c r="U2905" s="35"/>
      <c r="V2905" s="164"/>
    </row>
    <row r="2906" customFormat="false" ht="15" hidden="false" customHeight="true" outlineLevel="0" collapsed="false">
      <c r="C2906" s="155"/>
      <c r="D2906" s="156"/>
      <c r="F2906" s="157"/>
      <c r="G2906" s="5"/>
      <c r="H2906" s="165"/>
      <c r="I2906" s="165"/>
      <c r="J2906" s="158"/>
      <c r="K2906" s="159"/>
      <c r="L2906" s="166"/>
      <c r="M2906" s="167"/>
      <c r="N2906" s="168"/>
      <c r="O2906" s="163"/>
      <c r="P2906" s="163"/>
      <c r="Q2906" s="158"/>
      <c r="R2906" s="5"/>
      <c r="S2906" s="169"/>
      <c r="T2906" s="158"/>
      <c r="U2906" s="35"/>
      <c r="V2906" s="164"/>
    </row>
    <row r="2907" customFormat="false" ht="15" hidden="false" customHeight="true" outlineLevel="0" collapsed="false">
      <c r="B2907" s="5"/>
      <c r="C2907" s="155"/>
      <c r="D2907" s="156"/>
      <c r="F2907" s="170"/>
      <c r="G2907" s="5"/>
      <c r="H2907" s="5"/>
      <c r="I2907" s="5"/>
      <c r="J2907" s="158"/>
      <c r="K2907" s="163"/>
      <c r="L2907" s="160"/>
      <c r="M2907" s="174"/>
      <c r="N2907" s="168"/>
      <c r="O2907" s="163"/>
      <c r="P2907" s="160"/>
      <c r="Q2907" s="175"/>
      <c r="R2907" s="5"/>
      <c r="S2907" s="5"/>
      <c r="T2907" s="5"/>
      <c r="U2907" s="35"/>
      <c r="V2907" s="171"/>
      <c r="W2907" s="116"/>
      <c r="X2907" s="116"/>
      <c r="Y2907" s="116"/>
    </row>
    <row r="2908" customFormat="false" ht="15" hidden="false" customHeight="true" outlineLevel="0" collapsed="false">
      <c r="A2908" s="32"/>
      <c r="B2908" s="5"/>
      <c r="C2908" s="155"/>
      <c r="D2908" s="156"/>
      <c r="F2908" s="170"/>
      <c r="G2908" s="5"/>
      <c r="H2908" s="5"/>
      <c r="I2908" s="5"/>
      <c r="J2908" s="158"/>
      <c r="K2908" s="163"/>
      <c r="L2908" s="160"/>
      <c r="M2908" s="174"/>
      <c r="N2908" s="168"/>
      <c r="O2908" s="163"/>
      <c r="P2908" s="160"/>
      <c r="Q2908" s="175"/>
      <c r="R2908" s="5"/>
      <c r="S2908" s="5"/>
      <c r="T2908" s="5"/>
      <c r="U2908" s="35"/>
      <c r="V2908" s="171"/>
      <c r="W2908" s="190"/>
      <c r="X2908" s="195"/>
      <c r="Y2908" s="32"/>
    </row>
    <row r="2909" customFormat="false" ht="15" hidden="false" customHeight="true" outlineLevel="0" collapsed="false">
      <c r="B2909" s="5"/>
      <c r="C2909" s="155"/>
      <c r="D2909" s="156"/>
      <c r="F2909" s="157"/>
      <c r="G2909" s="5"/>
      <c r="H2909" s="5"/>
      <c r="I2909" s="5"/>
      <c r="J2909" s="158"/>
      <c r="K2909" s="159"/>
      <c r="L2909" s="160"/>
      <c r="M2909" s="161"/>
      <c r="N2909" s="162"/>
      <c r="O2909" s="163"/>
      <c r="P2909" s="163"/>
      <c r="Q2909" s="158"/>
      <c r="R2909" s="5"/>
      <c r="S2909" s="5"/>
      <c r="T2909" s="5"/>
      <c r="U2909" s="35"/>
      <c r="V2909" s="171"/>
    </row>
    <row r="2910" customFormat="false" ht="15" hidden="false" customHeight="true" outlineLevel="0" collapsed="false">
      <c r="B2910" s="5"/>
      <c r="C2910" s="155"/>
      <c r="D2910" s="156"/>
      <c r="F2910" s="157"/>
      <c r="G2910" s="5"/>
      <c r="H2910" s="5"/>
      <c r="I2910" s="5"/>
      <c r="J2910" s="158"/>
      <c r="K2910" s="159"/>
      <c r="L2910" s="160"/>
      <c r="M2910" s="161"/>
      <c r="N2910" s="162"/>
      <c r="O2910" s="163"/>
      <c r="P2910" s="163"/>
      <c r="Q2910" s="158"/>
      <c r="R2910" s="5"/>
      <c r="S2910" s="5"/>
      <c r="T2910" s="5"/>
      <c r="U2910" s="35"/>
      <c r="V2910" s="164"/>
    </row>
    <row r="2911" customFormat="false" ht="15" hidden="false" customHeight="true" outlineLevel="0" collapsed="false">
      <c r="B2911" s="5"/>
      <c r="C2911" s="155"/>
      <c r="D2911" s="156"/>
      <c r="F2911" s="157"/>
      <c r="G2911" s="5"/>
      <c r="H2911" s="5"/>
      <c r="I2911" s="5"/>
      <c r="J2911" s="158"/>
      <c r="K2911" s="159"/>
      <c r="L2911" s="160"/>
      <c r="M2911" s="161"/>
      <c r="N2911" s="162"/>
      <c r="O2911" s="163"/>
      <c r="P2911" s="163"/>
      <c r="Q2911" s="158"/>
      <c r="R2911" s="5"/>
      <c r="S2911" s="5"/>
      <c r="T2911" s="5"/>
      <c r="U2911" s="35"/>
      <c r="V2911" s="164"/>
    </row>
    <row r="2912" customFormat="false" ht="15" hidden="false" customHeight="true" outlineLevel="0" collapsed="false">
      <c r="B2912" s="5"/>
      <c r="C2912" s="155"/>
      <c r="D2912" s="156"/>
      <c r="F2912" s="157"/>
      <c r="G2912" s="5"/>
      <c r="H2912" s="5"/>
      <c r="I2912" s="5"/>
      <c r="J2912" s="158"/>
      <c r="K2912" s="159"/>
      <c r="L2912" s="160"/>
      <c r="M2912" s="161"/>
      <c r="N2912" s="162"/>
      <c r="O2912" s="163"/>
      <c r="P2912" s="163"/>
      <c r="Q2912" s="158"/>
      <c r="R2912" s="5"/>
      <c r="S2912" s="5"/>
      <c r="T2912" s="5"/>
      <c r="U2912" s="35"/>
      <c r="V2912" s="164"/>
    </row>
    <row r="2913" customFormat="false" ht="15" hidden="false" customHeight="true" outlineLevel="0" collapsed="false">
      <c r="B2913" s="5"/>
      <c r="C2913" s="155"/>
      <c r="D2913" s="156"/>
      <c r="F2913" s="157"/>
      <c r="G2913" s="5"/>
      <c r="H2913" s="5"/>
      <c r="I2913" s="5"/>
      <c r="J2913" s="158"/>
      <c r="K2913" s="159"/>
      <c r="L2913" s="160"/>
      <c r="M2913" s="161"/>
      <c r="N2913" s="162"/>
      <c r="O2913" s="163"/>
      <c r="P2913" s="163"/>
      <c r="Q2913" s="158"/>
      <c r="R2913" s="5"/>
      <c r="S2913" s="5"/>
      <c r="T2913" s="5"/>
      <c r="U2913" s="35"/>
      <c r="V2913" s="164"/>
    </row>
    <row r="2914" customFormat="false" ht="15" hidden="false" customHeight="true" outlineLevel="0" collapsed="false">
      <c r="B2914" s="5"/>
      <c r="C2914" s="155"/>
      <c r="D2914" s="156"/>
      <c r="F2914" s="170"/>
      <c r="G2914" s="5"/>
      <c r="H2914" s="5"/>
      <c r="I2914" s="5"/>
      <c r="J2914" s="158"/>
      <c r="K2914" s="163"/>
      <c r="L2914" s="160"/>
      <c r="M2914" s="174"/>
      <c r="N2914" s="168"/>
      <c r="O2914" s="163"/>
      <c r="P2914" s="160"/>
      <c r="Q2914" s="175"/>
      <c r="R2914" s="5"/>
      <c r="S2914" s="5"/>
      <c r="T2914" s="5"/>
      <c r="U2914" s="165"/>
      <c r="V2914" s="171"/>
      <c r="W2914" s="116"/>
      <c r="X2914" s="116"/>
      <c r="Y2914" s="116"/>
    </row>
    <row r="2915" customFormat="false" ht="15" hidden="false" customHeight="true" outlineLevel="0" collapsed="false">
      <c r="B2915" s="5"/>
      <c r="C2915" s="155"/>
      <c r="D2915" s="156"/>
      <c r="F2915" s="170"/>
      <c r="G2915" s="5"/>
      <c r="H2915" s="5"/>
      <c r="I2915" s="5"/>
      <c r="J2915" s="158"/>
      <c r="K2915" s="163"/>
      <c r="L2915" s="160"/>
      <c r="M2915" s="174"/>
      <c r="N2915" s="168"/>
      <c r="O2915" s="163"/>
      <c r="P2915" s="160"/>
      <c r="Q2915" s="175"/>
      <c r="R2915" s="5"/>
      <c r="S2915" s="5"/>
      <c r="T2915" s="5"/>
      <c r="U2915" s="165"/>
      <c r="V2915" s="164"/>
      <c r="W2915" s="116"/>
      <c r="X2915" s="116"/>
      <c r="Y2915" s="116"/>
    </row>
    <row r="2916" customFormat="false" ht="15" hidden="false" customHeight="true" outlineLevel="0" collapsed="false">
      <c r="B2916" s="5"/>
      <c r="C2916" s="155"/>
      <c r="D2916" s="156"/>
      <c r="F2916" s="170"/>
      <c r="G2916" s="5"/>
      <c r="H2916" s="5"/>
      <c r="I2916" s="5"/>
      <c r="J2916" s="158"/>
      <c r="K2916" s="163"/>
      <c r="L2916" s="160"/>
      <c r="M2916" s="174"/>
      <c r="N2916" s="168"/>
      <c r="O2916" s="163"/>
      <c r="P2916" s="160"/>
      <c r="Q2916" s="175"/>
      <c r="R2916" s="5"/>
      <c r="S2916" s="5"/>
      <c r="T2916" s="5"/>
      <c r="U2916" s="35"/>
      <c r="V2916" s="171"/>
      <c r="W2916" s="116"/>
      <c r="X2916" s="116"/>
      <c r="Y2916" s="116"/>
    </row>
    <row r="2917" customFormat="false" ht="15" hidden="false" customHeight="true" outlineLevel="0" collapsed="false">
      <c r="B2917" s="5"/>
      <c r="C2917" s="155"/>
      <c r="D2917" s="156"/>
      <c r="F2917" s="157"/>
      <c r="G2917" s="5"/>
      <c r="H2917" s="5"/>
      <c r="I2917" s="5"/>
      <c r="J2917" s="158"/>
      <c r="K2917" s="159"/>
      <c r="L2917" s="160"/>
      <c r="M2917" s="161"/>
      <c r="N2917" s="162"/>
      <c r="O2917" s="163"/>
      <c r="P2917" s="163"/>
      <c r="Q2917" s="158"/>
      <c r="R2917" s="5"/>
      <c r="S2917" s="5"/>
      <c r="T2917" s="5"/>
      <c r="U2917" s="35"/>
      <c r="V2917" s="171"/>
    </row>
    <row r="2918" customFormat="false" ht="15" hidden="false" customHeight="true" outlineLevel="0" collapsed="false">
      <c r="B2918" s="5"/>
      <c r="C2918" s="155"/>
      <c r="D2918" s="156"/>
      <c r="F2918" s="157"/>
      <c r="G2918" s="5"/>
      <c r="H2918" s="5"/>
      <c r="I2918" s="5"/>
      <c r="J2918" s="158"/>
      <c r="K2918" s="159"/>
      <c r="L2918" s="160"/>
      <c r="M2918" s="177"/>
      <c r="N2918" s="162"/>
      <c r="O2918" s="163"/>
      <c r="P2918" s="163"/>
      <c r="Q2918" s="158"/>
      <c r="R2918" s="5"/>
      <c r="S2918" s="5"/>
      <c r="T2918" s="5"/>
      <c r="U2918" s="35"/>
      <c r="V2918" s="171"/>
    </row>
    <row r="2919" customFormat="false" ht="15" hidden="false" customHeight="true" outlineLevel="0" collapsed="false">
      <c r="B2919" s="5"/>
      <c r="C2919" s="155"/>
      <c r="D2919" s="156"/>
      <c r="F2919" s="157"/>
      <c r="G2919" s="5"/>
      <c r="H2919" s="5"/>
      <c r="I2919" s="5"/>
      <c r="J2919" s="158"/>
      <c r="K2919" s="159"/>
      <c r="L2919" s="160"/>
      <c r="M2919" s="177"/>
      <c r="N2919" s="162"/>
      <c r="O2919" s="163"/>
      <c r="P2919" s="163"/>
      <c r="Q2919" s="158"/>
      <c r="R2919" s="5"/>
      <c r="S2919" s="5"/>
      <c r="T2919" s="5"/>
      <c r="U2919" s="35"/>
      <c r="V2919" s="171"/>
    </row>
    <row r="2920" customFormat="false" ht="15" hidden="false" customHeight="true" outlineLevel="0" collapsed="false">
      <c r="B2920" s="5"/>
      <c r="C2920" s="155"/>
      <c r="D2920" s="156"/>
      <c r="F2920" s="157"/>
      <c r="G2920" s="5"/>
      <c r="H2920" s="5"/>
      <c r="I2920" s="5"/>
      <c r="J2920" s="158"/>
      <c r="K2920" s="159"/>
      <c r="L2920" s="160"/>
      <c r="M2920" s="161"/>
      <c r="N2920" s="162"/>
      <c r="O2920" s="163"/>
      <c r="P2920" s="163"/>
      <c r="Q2920" s="158"/>
      <c r="R2920" s="5"/>
      <c r="S2920" s="5"/>
      <c r="T2920" s="5"/>
      <c r="U2920" s="35"/>
      <c r="V2920" s="171"/>
    </row>
    <row r="2921" customFormat="false" ht="15" hidden="false" customHeight="true" outlineLevel="0" collapsed="false">
      <c r="C2921" s="155"/>
      <c r="D2921" s="156"/>
      <c r="F2921" s="157"/>
      <c r="G2921" s="5"/>
      <c r="H2921" s="165"/>
      <c r="I2921" s="165"/>
      <c r="J2921" s="158"/>
      <c r="K2921" s="159"/>
      <c r="L2921" s="166"/>
      <c r="M2921" s="167"/>
      <c r="N2921" s="168"/>
      <c r="O2921" s="163"/>
      <c r="P2921" s="163"/>
      <c r="Q2921" s="158"/>
      <c r="R2921" s="5"/>
      <c r="S2921" s="169"/>
      <c r="T2921" s="158"/>
      <c r="U2921" s="35"/>
      <c r="V2921" s="164"/>
    </row>
    <row r="2922" customFormat="false" ht="15" hidden="false" customHeight="true" outlineLevel="0" collapsed="false">
      <c r="B2922" s="5"/>
      <c r="C2922" s="155"/>
      <c r="D2922" s="156"/>
      <c r="F2922" s="157"/>
      <c r="G2922" s="5"/>
      <c r="H2922" s="5"/>
      <c r="I2922" s="5"/>
      <c r="J2922" s="158"/>
      <c r="K2922" s="159"/>
      <c r="L2922" s="160"/>
      <c r="M2922" s="161"/>
      <c r="N2922" s="162"/>
      <c r="O2922" s="163"/>
      <c r="P2922" s="163"/>
      <c r="Q2922" s="158"/>
      <c r="R2922" s="5"/>
      <c r="S2922" s="5"/>
      <c r="T2922" s="5"/>
      <c r="U2922" s="35"/>
      <c r="V2922" s="164"/>
    </row>
    <row r="2923" customFormat="false" ht="15" hidden="false" customHeight="true" outlineLevel="0" collapsed="false">
      <c r="B2923" s="5"/>
      <c r="C2923" s="155"/>
      <c r="D2923" s="156"/>
      <c r="F2923" s="157"/>
      <c r="G2923" s="5"/>
      <c r="H2923" s="5"/>
      <c r="I2923" s="5"/>
      <c r="J2923" s="158"/>
      <c r="K2923" s="159"/>
      <c r="L2923" s="160"/>
      <c r="M2923" s="161"/>
      <c r="N2923" s="162"/>
      <c r="O2923" s="163"/>
      <c r="P2923" s="163"/>
      <c r="Q2923" s="158"/>
      <c r="R2923" s="5"/>
      <c r="S2923" s="5"/>
      <c r="T2923" s="5"/>
      <c r="U2923" s="35"/>
      <c r="V2923" s="164"/>
    </row>
    <row r="2924" customFormat="false" ht="15" hidden="false" customHeight="true" outlineLevel="0" collapsed="false">
      <c r="C2924" s="155"/>
      <c r="D2924" s="156"/>
      <c r="F2924" s="157"/>
      <c r="G2924" s="5"/>
      <c r="H2924" s="165"/>
      <c r="I2924" s="165"/>
      <c r="J2924" s="179"/>
      <c r="K2924" s="159"/>
      <c r="L2924" s="166"/>
      <c r="M2924" s="167"/>
      <c r="N2924" s="168"/>
      <c r="O2924" s="163"/>
      <c r="P2924" s="163"/>
      <c r="Q2924" s="158"/>
      <c r="R2924" s="5"/>
      <c r="S2924" s="169"/>
      <c r="T2924" s="158"/>
      <c r="U2924" s="35"/>
      <c r="V2924" s="164"/>
    </row>
    <row r="2925" customFormat="false" ht="15" hidden="false" customHeight="true" outlineLevel="0" collapsed="false">
      <c r="C2925" s="155"/>
      <c r="D2925" s="156"/>
      <c r="F2925" s="157"/>
      <c r="G2925" s="5"/>
      <c r="H2925" s="165"/>
      <c r="I2925" s="165"/>
      <c r="J2925" s="158"/>
      <c r="K2925" s="159"/>
      <c r="L2925" s="166"/>
      <c r="M2925" s="167"/>
      <c r="N2925" s="168"/>
      <c r="O2925" s="163"/>
      <c r="P2925" s="163"/>
      <c r="Q2925" s="158"/>
      <c r="R2925" s="5"/>
      <c r="S2925" s="169"/>
      <c r="T2925" s="158"/>
      <c r="U2925" s="35"/>
      <c r="V2925" s="164"/>
    </row>
    <row r="2926" customFormat="false" ht="15" hidden="false" customHeight="true" outlineLevel="0" collapsed="false">
      <c r="B2926" s="5"/>
      <c r="C2926" s="155"/>
      <c r="D2926" s="156"/>
      <c r="F2926" s="170"/>
      <c r="G2926" s="5"/>
      <c r="H2926" s="5"/>
      <c r="I2926" s="5"/>
      <c r="J2926" s="158"/>
      <c r="K2926" s="163"/>
      <c r="L2926" s="160"/>
      <c r="M2926" s="174"/>
      <c r="N2926" s="168"/>
      <c r="O2926" s="163"/>
      <c r="P2926" s="160"/>
      <c r="Q2926" s="175"/>
      <c r="R2926" s="5"/>
      <c r="S2926" s="5"/>
      <c r="T2926" s="5"/>
      <c r="U2926" s="165"/>
      <c r="V2926" s="164"/>
      <c r="W2926" s="116"/>
      <c r="X2926" s="116"/>
      <c r="Y2926" s="116"/>
    </row>
    <row r="2927" customFormat="false" ht="15" hidden="false" customHeight="true" outlineLevel="0" collapsed="false">
      <c r="B2927" s="5"/>
      <c r="C2927" s="155"/>
      <c r="D2927" s="156"/>
      <c r="F2927" s="157"/>
      <c r="G2927" s="5"/>
      <c r="H2927" s="5"/>
      <c r="I2927" s="5"/>
      <c r="J2927" s="158"/>
      <c r="K2927" s="159"/>
      <c r="L2927" s="160"/>
      <c r="M2927" s="177"/>
      <c r="N2927" s="162"/>
      <c r="O2927" s="163"/>
      <c r="P2927" s="163"/>
      <c r="Q2927" s="158"/>
      <c r="R2927" s="5"/>
      <c r="S2927" s="5"/>
      <c r="T2927" s="5"/>
      <c r="U2927" s="35"/>
      <c r="V2927" s="171"/>
    </row>
    <row r="2928" customFormat="false" ht="15" hidden="false" customHeight="true" outlineLevel="0" collapsed="false">
      <c r="B2928" s="5"/>
      <c r="C2928" s="155"/>
      <c r="D2928" s="156"/>
      <c r="F2928" s="157"/>
      <c r="G2928" s="5"/>
      <c r="H2928" s="5"/>
      <c r="I2928" s="5"/>
      <c r="J2928" s="158"/>
      <c r="K2928" s="159"/>
      <c r="L2928" s="160"/>
      <c r="M2928" s="161"/>
      <c r="N2928" s="162"/>
      <c r="O2928" s="163"/>
      <c r="P2928" s="163"/>
      <c r="Q2928" s="158"/>
      <c r="R2928" s="5"/>
      <c r="S2928" s="5"/>
      <c r="T2928" s="5"/>
      <c r="U2928" s="35"/>
      <c r="V2928" s="171"/>
    </row>
    <row r="2929" customFormat="false" ht="15" hidden="false" customHeight="true" outlineLevel="0" collapsed="false">
      <c r="B2929" s="5"/>
      <c r="C2929" s="155"/>
      <c r="D2929" s="156"/>
      <c r="F2929" s="157"/>
      <c r="G2929" s="5"/>
      <c r="H2929" s="5"/>
      <c r="I2929" s="5"/>
      <c r="J2929" s="158"/>
      <c r="K2929" s="159"/>
      <c r="L2929" s="160"/>
      <c r="M2929" s="161"/>
      <c r="N2929" s="162"/>
      <c r="O2929" s="163"/>
      <c r="P2929" s="163"/>
      <c r="Q2929" s="158"/>
      <c r="R2929" s="5"/>
      <c r="S2929" s="5"/>
      <c r="T2929" s="5"/>
      <c r="U2929" s="35"/>
      <c r="V2929" s="164"/>
    </row>
    <row r="2930" customFormat="false" ht="15" hidden="false" customHeight="true" outlineLevel="0" collapsed="false">
      <c r="C2930" s="155"/>
      <c r="D2930" s="156"/>
      <c r="F2930" s="157"/>
      <c r="G2930" s="5"/>
      <c r="H2930" s="165"/>
      <c r="I2930" s="165"/>
      <c r="J2930" s="158"/>
      <c r="K2930" s="159"/>
      <c r="L2930" s="166"/>
      <c r="M2930" s="167"/>
      <c r="N2930" s="168"/>
      <c r="O2930" s="163"/>
      <c r="P2930" s="163"/>
      <c r="Q2930" s="158"/>
      <c r="R2930" s="5"/>
      <c r="S2930" s="169"/>
      <c r="T2930" s="158"/>
      <c r="U2930" s="35"/>
      <c r="V2930" s="164"/>
    </row>
    <row r="2931" customFormat="false" ht="15" hidden="false" customHeight="true" outlineLevel="0" collapsed="false">
      <c r="B2931" s="5"/>
      <c r="C2931" s="155"/>
      <c r="D2931" s="156"/>
      <c r="F2931" s="170"/>
      <c r="G2931" s="5"/>
      <c r="H2931" s="5"/>
      <c r="I2931" s="5"/>
      <c r="J2931" s="158"/>
      <c r="K2931" s="163"/>
      <c r="L2931" s="160"/>
      <c r="M2931" s="174"/>
      <c r="N2931" s="168"/>
      <c r="O2931" s="163"/>
      <c r="P2931" s="160"/>
      <c r="Q2931" s="175"/>
      <c r="R2931" s="5"/>
      <c r="S2931" s="5"/>
      <c r="T2931" s="5"/>
      <c r="U2931" s="165"/>
      <c r="V2931" s="171"/>
      <c r="W2931" s="116"/>
      <c r="X2931" s="116"/>
      <c r="Y2931" s="116"/>
    </row>
    <row r="2932" customFormat="false" ht="15" hidden="false" customHeight="true" outlineLevel="0" collapsed="false">
      <c r="B2932" s="5"/>
      <c r="C2932" s="155"/>
      <c r="D2932" s="156"/>
      <c r="F2932" s="170"/>
      <c r="G2932" s="5"/>
      <c r="H2932" s="5"/>
      <c r="I2932" s="5"/>
      <c r="J2932" s="158"/>
      <c r="K2932" s="163"/>
      <c r="L2932" s="160"/>
      <c r="M2932" s="174"/>
      <c r="N2932" s="168"/>
      <c r="O2932" s="163"/>
      <c r="P2932" s="160"/>
      <c r="Q2932" s="175"/>
      <c r="R2932" s="5"/>
      <c r="S2932" s="5"/>
      <c r="T2932" s="5"/>
      <c r="U2932" s="35"/>
      <c r="V2932" s="171"/>
      <c r="W2932" s="170"/>
      <c r="X2932" s="176"/>
    </row>
    <row r="2933" customFormat="false" ht="15" hidden="false" customHeight="true" outlineLevel="0" collapsed="false">
      <c r="B2933" s="5"/>
      <c r="C2933" s="155"/>
      <c r="D2933" s="156"/>
      <c r="F2933" s="170"/>
      <c r="G2933" s="5"/>
      <c r="H2933" s="5"/>
      <c r="I2933" s="5"/>
      <c r="J2933" s="158"/>
      <c r="K2933" s="163"/>
      <c r="L2933" s="160"/>
      <c r="M2933" s="174"/>
      <c r="N2933" s="168"/>
      <c r="O2933" s="163"/>
      <c r="P2933" s="160"/>
      <c r="Q2933" s="175"/>
      <c r="R2933" s="5"/>
      <c r="S2933" s="5"/>
      <c r="T2933" s="5"/>
      <c r="U2933" s="35"/>
      <c r="V2933" s="171"/>
      <c r="W2933" s="170"/>
      <c r="X2933" s="176"/>
    </row>
    <row r="2934" customFormat="false" ht="15" hidden="false" customHeight="true" outlineLevel="0" collapsed="false">
      <c r="B2934" s="5"/>
      <c r="C2934" s="155"/>
      <c r="D2934" s="156"/>
      <c r="F2934" s="170"/>
      <c r="G2934" s="5"/>
      <c r="H2934" s="5"/>
      <c r="I2934" s="5"/>
      <c r="J2934" s="158"/>
      <c r="K2934" s="159"/>
      <c r="L2934" s="160"/>
      <c r="M2934" s="174"/>
      <c r="N2934" s="168"/>
      <c r="O2934" s="163"/>
      <c r="P2934" s="160"/>
      <c r="Q2934" s="5"/>
      <c r="R2934" s="5"/>
      <c r="S2934" s="5"/>
      <c r="T2934" s="5"/>
      <c r="U2934" s="35"/>
      <c r="V2934" s="171"/>
    </row>
    <row r="2935" customFormat="false" ht="15" hidden="false" customHeight="true" outlineLevel="0" collapsed="false">
      <c r="B2935" s="5"/>
      <c r="C2935" s="155"/>
      <c r="D2935" s="156"/>
      <c r="F2935" s="157"/>
      <c r="G2935" s="5"/>
      <c r="H2935" s="5"/>
      <c r="I2935" s="5"/>
      <c r="J2935" s="158"/>
      <c r="K2935" s="159"/>
      <c r="L2935" s="160"/>
      <c r="M2935" s="161"/>
      <c r="N2935" s="162"/>
      <c r="O2935" s="163"/>
      <c r="P2935" s="163"/>
      <c r="Q2935" s="158"/>
      <c r="R2935" s="5"/>
      <c r="S2935" s="5"/>
      <c r="T2935" s="5"/>
      <c r="U2935" s="35"/>
      <c r="V2935" s="171"/>
    </row>
    <row r="2936" customFormat="false" ht="15" hidden="false" customHeight="true" outlineLevel="0" collapsed="false">
      <c r="B2936" s="5"/>
      <c r="C2936" s="155"/>
      <c r="D2936" s="156"/>
      <c r="F2936" s="157"/>
      <c r="G2936" s="5"/>
      <c r="H2936" s="5"/>
      <c r="I2936" s="5"/>
      <c r="J2936" s="158"/>
      <c r="K2936" s="159"/>
      <c r="L2936" s="160"/>
      <c r="M2936" s="177"/>
      <c r="N2936" s="162"/>
      <c r="O2936" s="163"/>
      <c r="P2936" s="163"/>
      <c r="Q2936" s="158"/>
      <c r="R2936" s="5"/>
      <c r="S2936" s="5"/>
      <c r="T2936" s="5"/>
      <c r="U2936" s="35"/>
      <c r="V2936" s="171"/>
    </row>
    <row r="2937" customFormat="false" ht="15" hidden="false" customHeight="true" outlineLevel="0" collapsed="false">
      <c r="B2937" s="5"/>
      <c r="C2937" s="155"/>
      <c r="D2937" s="156"/>
      <c r="F2937" s="157"/>
      <c r="G2937" s="5"/>
      <c r="H2937" s="5"/>
      <c r="I2937" s="5"/>
      <c r="J2937" s="158"/>
      <c r="K2937" s="159"/>
      <c r="L2937" s="160"/>
      <c r="M2937" s="161"/>
      <c r="N2937" s="162"/>
      <c r="O2937" s="163"/>
      <c r="P2937" s="163"/>
      <c r="Q2937" s="158"/>
      <c r="R2937" s="5"/>
      <c r="S2937" s="5"/>
      <c r="T2937" s="5"/>
      <c r="U2937" s="35"/>
      <c r="V2937" s="164"/>
    </row>
    <row r="2938" customFormat="false" ht="15" hidden="false" customHeight="true" outlineLevel="0" collapsed="false">
      <c r="B2938" s="5"/>
      <c r="C2938" s="155"/>
      <c r="D2938" s="156"/>
      <c r="F2938" s="157"/>
      <c r="G2938" s="5"/>
      <c r="H2938" s="5"/>
      <c r="I2938" s="5"/>
      <c r="J2938" s="158"/>
      <c r="K2938" s="159"/>
      <c r="L2938" s="160"/>
      <c r="M2938" s="161"/>
      <c r="N2938" s="162"/>
      <c r="O2938" s="163"/>
      <c r="P2938" s="163"/>
      <c r="Q2938" s="158"/>
      <c r="R2938" s="5"/>
      <c r="S2938" s="5"/>
      <c r="T2938" s="5"/>
      <c r="U2938" s="35"/>
      <c r="V2938" s="164"/>
    </row>
    <row r="2939" customFormat="false" ht="15" hidden="false" customHeight="true" outlineLevel="0" collapsed="false">
      <c r="C2939" s="155"/>
      <c r="D2939" s="156"/>
      <c r="F2939" s="157"/>
      <c r="G2939" s="5"/>
      <c r="H2939" s="165"/>
      <c r="I2939" s="165"/>
      <c r="J2939" s="158"/>
      <c r="K2939" s="159"/>
      <c r="L2939" s="166"/>
      <c r="M2939" s="167"/>
      <c r="N2939" s="168"/>
      <c r="O2939" s="163"/>
      <c r="P2939" s="163"/>
      <c r="Q2939" s="158"/>
      <c r="R2939" s="5"/>
      <c r="S2939" s="169"/>
      <c r="T2939" s="158"/>
      <c r="U2939" s="35"/>
      <c r="V2939" s="164"/>
    </row>
    <row r="2940" customFormat="false" ht="15" hidden="false" customHeight="true" outlineLevel="0" collapsed="false">
      <c r="B2940" s="5"/>
      <c r="C2940" s="155"/>
      <c r="D2940" s="156"/>
      <c r="F2940" s="170"/>
      <c r="G2940" s="5"/>
      <c r="H2940" s="5"/>
      <c r="I2940" s="5"/>
      <c r="J2940" s="158"/>
      <c r="K2940" s="163"/>
      <c r="L2940" s="160"/>
      <c r="M2940" s="174"/>
      <c r="N2940" s="168"/>
      <c r="O2940" s="163"/>
      <c r="P2940" s="160"/>
      <c r="Q2940" s="175"/>
      <c r="R2940" s="5"/>
      <c r="S2940" s="5"/>
      <c r="T2940" s="5"/>
      <c r="U2940" s="35"/>
      <c r="V2940" s="171"/>
      <c r="W2940" s="116"/>
      <c r="X2940" s="176"/>
    </row>
    <row r="2941" customFormat="false" ht="15" hidden="false" customHeight="true" outlineLevel="0" collapsed="false">
      <c r="B2941" s="5"/>
      <c r="C2941" s="155"/>
      <c r="D2941" s="156"/>
      <c r="F2941" s="170"/>
      <c r="G2941" s="5"/>
      <c r="H2941" s="5"/>
      <c r="I2941" s="5"/>
      <c r="J2941" s="158"/>
      <c r="K2941" s="159"/>
      <c r="L2941" s="160"/>
      <c r="M2941" s="174"/>
      <c r="N2941" s="168"/>
      <c r="O2941" s="163"/>
      <c r="P2941" s="160"/>
      <c r="Q2941" s="5"/>
      <c r="R2941" s="5"/>
      <c r="S2941" s="5"/>
      <c r="T2941" s="5"/>
      <c r="U2941" s="35"/>
      <c r="V2941" s="171"/>
    </row>
    <row r="2942" customFormat="false" ht="15" hidden="false" customHeight="true" outlineLevel="0" collapsed="false">
      <c r="B2942" s="5"/>
      <c r="C2942" s="155"/>
      <c r="D2942" s="156"/>
      <c r="F2942" s="157"/>
      <c r="G2942" s="5"/>
      <c r="H2942" s="5"/>
      <c r="I2942" s="5"/>
      <c r="J2942" s="158"/>
      <c r="K2942" s="159"/>
      <c r="L2942" s="160"/>
      <c r="M2942" s="161"/>
      <c r="N2942" s="162"/>
      <c r="O2942" s="163"/>
      <c r="P2942" s="163"/>
      <c r="Q2942" s="158"/>
      <c r="R2942" s="5"/>
      <c r="S2942" s="5"/>
      <c r="T2942" s="5"/>
      <c r="U2942" s="35"/>
      <c r="V2942" s="164"/>
    </row>
    <row r="2943" customFormat="false" ht="15" hidden="false" customHeight="true" outlineLevel="0" collapsed="false">
      <c r="B2943" s="5"/>
      <c r="C2943" s="155"/>
      <c r="D2943" s="156"/>
      <c r="F2943" s="157"/>
      <c r="G2943" s="5"/>
      <c r="H2943" s="5"/>
      <c r="I2943" s="5"/>
      <c r="J2943" s="158"/>
      <c r="K2943" s="159"/>
      <c r="L2943" s="160"/>
      <c r="M2943" s="161"/>
      <c r="N2943" s="162"/>
      <c r="O2943" s="163"/>
      <c r="P2943" s="163"/>
      <c r="Q2943" s="158"/>
      <c r="R2943" s="5"/>
      <c r="S2943" s="5"/>
      <c r="T2943" s="5"/>
      <c r="U2943" s="35"/>
      <c r="V2943" s="164"/>
    </row>
    <row r="2944" customFormat="false" ht="15" hidden="false" customHeight="true" outlineLevel="0" collapsed="false">
      <c r="C2944" s="155"/>
      <c r="D2944" s="156"/>
      <c r="F2944" s="157"/>
      <c r="G2944" s="5"/>
      <c r="H2944" s="165"/>
      <c r="I2944" s="165"/>
      <c r="J2944" s="158"/>
      <c r="K2944" s="159"/>
      <c r="L2944" s="166"/>
      <c r="M2944" s="167"/>
      <c r="N2944" s="168"/>
      <c r="O2944" s="163"/>
      <c r="P2944" s="163"/>
      <c r="Q2944" s="158"/>
      <c r="R2944" s="5"/>
      <c r="S2944" s="169"/>
      <c r="T2944" s="158"/>
      <c r="U2944" s="35"/>
      <c r="V2944" s="164"/>
    </row>
    <row r="2945" customFormat="false" ht="15" hidden="false" customHeight="true" outlineLevel="0" collapsed="false">
      <c r="C2945" s="155"/>
      <c r="D2945" s="156"/>
      <c r="F2945" s="157"/>
      <c r="G2945" s="5"/>
      <c r="H2945" s="165"/>
      <c r="I2945" s="165"/>
      <c r="J2945" s="158"/>
      <c r="K2945" s="159"/>
      <c r="L2945" s="166"/>
      <c r="M2945" s="167"/>
      <c r="N2945" s="168"/>
      <c r="O2945" s="163"/>
      <c r="P2945" s="163"/>
      <c r="Q2945" s="158"/>
      <c r="R2945" s="5"/>
      <c r="S2945" s="169"/>
      <c r="T2945" s="158"/>
      <c r="U2945" s="35"/>
      <c r="V2945" s="164"/>
    </row>
    <row r="2946" customFormat="false" ht="15" hidden="false" customHeight="true" outlineLevel="0" collapsed="false">
      <c r="C2946" s="155"/>
      <c r="D2946" s="156"/>
      <c r="F2946" s="157"/>
      <c r="G2946" s="5"/>
      <c r="H2946" s="165"/>
      <c r="I2946" s="165"/>
      <c r="J2946" s="158"/>
      <c r="K2946" s="159"/>
      <c r="L2946" s="166"/>
      <c r="M2946" s="167"/>
      <c r="N2946" s="168"/>
      <c r="O2946" s="163"/>
      <c r="P2946" s="163"/>
      <c r="Q2946" s="158"/>
      <c r="R2946" s="5"/>
      <c r="S2946" s="169"/>
      <c r="T2946" s="158"/>
      <c r="U2946" s="35"/>
      <c r="V2946" s="164"/>
    </row>
    <row r="2947" customFormat="false" ht="15" hidden="false" customHeight="true" outlineLevel="0" collapsed="false">
      <c r="C2947" s="155"/>
      <c r="D2947" s="156"/>
      <c r="F2947" s="157"/>
      <c r="G2947" s="5"/>
      <c r="H2947" s="165"/>
      <c r="I2947" s="165"/>
      <c r="J2947" s="158"/>
      <c r="K2947" s="159"/>
      <c r="L2947" s="166"/>
      <c r="M2947" s="167"/>
      <c r="N2947" s="168"/>
      <c r="O2947" s="163"/>
      <c r="P2947" s="163"/>
      <c r="Q2947" s="158"/>
      <c r="R2947" s="5"/>
      <c r="S2947" s="169"/>
      <c r="T2947" s="158"/>
      <c r="U2947" s="35"/>
      <c r="V2947" s="164"/>
    </row>
    <row r="2948" customFormat="false" ht="15" hidden="false" customHeight="true" outlineLevel="0" collapsed="false">
      <c r="B2948" s="5"/>
      <c r="C2948" s="155"/>
      <c r="D2948" s="156"/>
      <c r="F2948" s="170"/>
      <c r="G2948" s="5"/>
      <c r="H2948" s="5"/>
      <c r="I2948" s="5"/>
      <c r="J2948" s="158"/>
      <c r="K2948" s="163"/>
      <c r="L2948" s="160"/>
      <c r="M2948" s="174"/>
      <c r="N2948" s="168"/>
      <c r="O2948" s="163"/>
      <c r="P2948" s="160"/>
      <c r="Q2948" s="175"/>
      <c r="R2948" s="5"/>
      <c r="S2948" s="5"/>
      <c r="T2948" s="5"/>
      <c r="U2948" s="35"/>
      <c r="V2948" s="171"/>
      <c r="W2948" s="170"/>
      <c r="X2948" s="176"/>
    </row>
    <row r="2949" customFormat="false" ht="15" hidden="false" customHeight="true" outlineLevel="0" collapsed="false">
      <c r="B2949" s="5"/>
      <c r="C2949" s="155"/>
      <c r="D2949" s="156"/>
      <c r="F2949" s="170"/>
      <c r="G2949" s="5"/>
      <c r="H2949" s="5"/>
      <c r="I2949" s="5"/>
      <c r="J2949" s="158"/>
      <c r="K2949" s="159"/>
      <c r="L2949" s="160"/>
      <c r="M2949" s="161"/>
      <c r="N2949" s="162"/>
      <c r="O2949" s="163"/>
      <c r="P2949" s="163"/>
      <c r="Q2949" s="5"/>
      <c r="R2949" s="5"/>
      <c r="S2949" s="5"/>
      <c r="T2949" s="5"/>
      <c r="U2949" s="35"/>
      <c r="V2949" s="171"/>
      <c r="W2949" s="172"/>
      <c r="X2949" s="173"/>
    </row>
    <row r="2950" customFormat="false" ht="15" hidden="false" customHeight="true" outlineLevel="0" collapsed="false">
      <c r="B2950" s="5"/>
      <c r="C2950" s="155"/>
      <c r="D2950" s="156"/>
      <c r="F2950" s="170"/>
      <c r="G2950" s="5"/>
      <c r="H2950" s="5"/>
      <c r="I2950" s="5"/>
      <c r="J2950" s="158"/>
      <c r="K2950" s="159"/>
      <c r="L2950" s="160"/>
      <c r="M2950" s="174"/>
      <c r="N2950" s="168"/>
      <c r="O2950" s="163"/>
      <c r="P2950" s="160"/>
      <c r="Q2950" s="5"/>
      <c r="R2950" s="5"/>
      <c r="S2950" s="5"/>
      <c r="T2950" s="5"/>
      <c r="U2950" s="35"/>
      <c r="V2950" s="171"/>
    </row>
    <row r="2951" customFormat="false" ht="15" hidden="false" customHeight="true" outlineLevel="0" collapsed="false">
      <c r="B2951" s="5"/>
      <c r="C2951" s="155"/>
      <c r="D2951" s="156"/>
      <c r="F2951" s="157"/>
      <c r="G2951" s="5"/>
      <c r="H2951" s="5"/>
      <c r="I2951" s="5"/>
      <c r="J2951" s="158"/>
      <c r="K2951" s="159"/>
      <c r="L2951" s="160"/>
      <c r="M2951" s="161"/>
      <c r="N2951" s="162"/>
      <c r="O2951" s="163"/>
      <c r="P2951" s="163"/>
      <c r="Q2951" s="158"/>
      <c r="R2951" s="5"/>
      <c r="S2951" s="5"/>
      <c r="T2951" s="5"/>
      <c r="U2951" s="35"/>
      <c r="V2951" s="164"/>
    </row>
    <row r="2952" customFormat="false" ht="15" hidden="false" customHeight="true" outlineLevel="0" collapsed="false">
      <c r="B2952" s="5"/>
      <c r="C2952" s="155"/>
      <c r="D2952" s="156"/>
      <c r="F2952" s="157"/>
      <c r="G2952" s="5"/>
      <c r="H2952" s="5"/>
      <c r="I2952" s="5"/>
      <c r="J2952" s="158"/>
      <c r="K2952" s="159"/>
      <c r="L2952" s="160"/>
      <c r="M2952" s="161"/>
      <c r="N2952" s="162"/>
      <c r="O2952" s="163"/>
      <c r="P2952" s="163"/>
      <c r="Q2952" s="158"/>
      <c r="R2952" s="5"/>
      <c r="S2952" s="5"/>
      <c r="T2952" s="5"/>
      <c r="U2952" s="35"/>
      <c r="V2952" s="164"/>
    </row>
    <row r="2953" customFormat="false" ht="15" hidden="false" customHeight="true" outlineLevel="0" collapsed="false">
      <c r="C2953" s="155"/>
      <c r="D2953" s="156"/>
      <c r="F2953" s="157"/>
      <c r="G2953" s="5"/>
      <c r="H2953" s="165"/>
      <c r="I2953" s="165"/>
      <c r="J2953" s="158"/>
      <c r="K2953" s="159"/>
      <c r="L2953" s="166"/>
      <c r="M2953" s="167"/>
      <c r="N2953" s="168"/>
      <c r="O2953" s="163"/>
      <c r="P2953" s="163"/>
      <c r="Q2953" s="158"/>
      <c r="R2953" s="5"/>
      <c r="S2953" s="169"/>
      <c r="T2953" s="158"/>
      <c r="U2953" s="35"/>
      <c r="V2953" s="164"/>
    </row>
    <row r="2954" customFormat="false" ht="15" hidden="false" customHeight="true" outlineLevel="0" collapsed="false">
      <c r="B2954" s="5"/>
      <c r="C2954" s="155"/>
      <c r="D2954" s="156"/>
      <c r="F2954" s="170"/>
      <c r="G2954" s="5"/>
      <c r="H2954" s="5"/>
      <c r="I2954" s="5"/>
      <c r="J2954" s="158"/>
      <c r="K2954" s="163"/>
      <c r="L2954" s="160"/>
      <c r="M2954" s="174"/>
      <c r="N2954" s="168"/>
      <c r="O2954" s="163"/>
      <c r="P2954" s="160"/>
      <c r="Q2954" s="175"/>
      <c r="R2954" s="5"/>
      <c r="S2954" s="5"/>
      <c r="T2954" s="5"/>
      <c r="U2954" s="165"/>
      <c r="V2954" s="171"/>
      <c r="W2954" s="116"/>
      <c r="X2954" s="116"/>
      <c r="Y2954" s="116"/>
    </row>
    <row r="2955" customFormat="false" ht="15" hidden="false" customHeight="true" outlineLevel="0" collapsed="false">
      <c r="B2955" s="5"/>
      <c r="C2955" s="155"/>
      <c r="D2955" s="156"/>
      <c r="F2955" s="170"/>
      <c r="G2955" s="5"/>
      <c r="H2955" s="5"/>
      <c r="I2955" s="5"/>
      <c r="J2955" s="158"/>
      <c r="K2955" s="163"/>
      <c r="L2955" s="160"/>
      <c r="M2955" s="174"/>
      <c r="N2955" s="168"/>
      <c r="O2955" s="163"/>
      <c r="P2955" s="160"/>
      <c r="Q2955" s="175"/>
      <c r="R2955" s="5"/>
      <c r="S2955" s="5"/>
      <c r="T2955" s="5"/>
      <c r="U2955" s="35"/>
      <c r="V2955" s="171"/>
      <c r="W2955" s="170"/>
      <c r="X2955" s="176"/>
    </row>
    <row r="2956" customFormat="false" ht="15" hidden="false" customHeight="true" outlineLevel="0" collapsed="false">
      <c r="B2956" s="5"/>
      <c r="C2956" s="155"/>
      <c r="D2956" s="156"/>
      <c r="F2956" s="170"/>
      <c r="G2956" s="5"/>
      <c r="H2956" s="5"/>
      <c r="I2956" s="5"/>
      <c r="J2956" s="158"/>
      <c r="K2956" s="163"/>
      <c r="L2956" s="160"/>
      <c r="M2956" s="174"/>
      <c r="N2956" s="168"/>
      <c r="O2956" s="163"/>
      <c r="P2956" s="160"/>
      <c r="Q2956" s="175"/>
      <c r="R2956" s="5"/>
      <c r="S2956" s="5"/>
      <c r="T2956" s="5"/>
      <c r="U2956" s="35"/>
      <c r="V2956" s="171"/>
      <c r="W2956" s="170"/>
      <c r="X2956" s="176"/>
    </row>
    <row r="2957" customFormat="false" ht="15" hidden="false" customHeight="true" outlineLevel="0" collapsed="false">
      <c r="B2957" s="5"/>
      <c r="C2957" s="155"/>
      <c r="D2957" s="156"/>
      <c r="F2957" s="157"/>
      <c r="G2957" s="5"/>
      <c r="H2957" s="5"/>
      <c r="I2957" s="5"/>
      <c r="J2957" s="158"/>
      <c r="K2957" s="159"/>
      <c r="L2957" s="160"/>
      <c r="M2957" s="161"/>
      <c r="N2957" s="162"/>
      <c r="O2957" s="163"/>
      <c r="P2957" s="163"/>
      <c r="Q2957" s="158"/>
      <c r="R2957" s="5"/>
      <c r="S2957" s="5"/>
      <c r="T2957" s="5"/>
      <c r="U2957" s="35"/>
      <c r="V2957" s="164"/>
    </row>
    <row r="2958" customFormat="false" ht="15" hidden="false" customHeight="true" outlineLevel="0" collapsed="false">
      <c r="B2958" s="5"/>
      <c r="C2958" s="155"/>
      <c r="D2958" s="156"/>
      <c r="F2958" s="157"/>
      <c r="G2958" s="5"/>
      <c r="H2958" s="5"/>
      <c r="I2958" s="5"/>
      <c r="J2958" s="158"/>
      <c r="K2958" s="159"/>
      <c r="L2958" s="160"/>
      <c r="M2958" s="161"/>
      <c r="N2958" s="162"/>
      <c r="O2958" s="163"/>
      <c r="P2958" s="163"/>
      <c r="Q2958" s="158"/>
      <c r="R2958" s="5"/>
      <c r="S2958" s="5"/>
      <c r="T2958" s="5"/>
      <c r="U2958" s="35"/>
      <c r="V2958" s="164"/>
    </row>
    <row r="2959" customFormat="false" ht="15" hidden="false" customHeight="true" outlineLevel="0" collapsed="false">
      <c r="B2959" s="5"/>
      <c r="C2959" s="155"/>
      <c r="D2959" s="156"/>
      <c r="F2959" s="157"/>
      <c r="G2959" s="5"/>
      <c r="H2959" s="5"/>
      <c r="I2959" s="5"/>
      <c r="J2959" s="158"/>
      <c r="K2959" s="159"/>
      <c r="L2959" s="160"/>
      <c r="M2959" s="161"/>
      <c r="N2959" s="162"/>
      <c r="O2959" s="163"/>
      <c r="P2959" s="163"/>
      <c r="Q2959" s="158"/>
      <c r="R2959" s="5"/>
      <c r="S2959" s="5"/>
      <c r="T2959" s="5"/>
      <c r="U2959" s="35"/>
      <c r="V2959" s="164"/>
      <c r="W2959" s="196"/>
    </row>
    <row r="2960" customFormat="false" ht="15" hidden="false" customHeight="true" outlineLevel="0" collapsed="false">
      <c r="C2960" s="155"/>
      <c r="D2960" s="156"/>
      <c r="F2960" s="157"/>
      <c r="G2960" s="5"/>
      <c r="H2960" s="165"/>
      <c r="I2960" s="165"/>
      <c r="J2960" s="158"/>
      <c r="K2960" s="159"/>
      <c r="L2960" s="166"/>
      <c r="M2960" s="167"/>
      <c r="N2960" s="168"/>
      <c r="O2960" s="163"/>
      <c r="P2960" s="163"/>
      <c r="Q2960" s="158"/>
      <c r="R2960" s="5"/>
      <c r="S2960" s="169"/>
      <c r="T2960" s="158"/>
      <c r="U2960" s="35"/>
      <c r="V2960" s="164"/>
    </row>
    <row r="2961" customFormat="false" ht="15" hidden="false" customHeight="true" outlineLevel="0" collapsed="false">
      <c r="C2961" s="155"/>
      <c r="D2961" s="156"/>
      <c r="F2961" s="157"/>
      <c r="G2961" s="5"/>
      <c r="H2961" s="165"/>
      <c r="I2961" s="165"/>
      <c r="J2961" s="158"/>
      <c r="K2961" s="159"/>
      <c r="L2961" s="166"/>
      <c r="M2961" s="167"/>
      <c r="N2961" s="168"/>
      <c r="O2961" s="163"/>
      <c r="P2961" s="163"/>
      <c r="Q2961" s="158"/>
      <c r="R2961" s="5"/>
      <c r="S2961" s="169"/>
      <c r="T2961" s="158"/>
      <c r="U2961" s="35"/>
      <c r="V2961" s="164"/>
    </row>
    <row r="2962" customFormat="false" ht="15" hidden="false" customHeight="true" outlineLevel="0" collapsed="false">
      <c r="B2962" s="5"/>
      <c r="C2962" s="155"/>
      <c r="D2962" s="156"/>
      <c r="F2962" s="170"/>
      <c r="G2962" s="5"/>
      <c r="H2962" s="5"/>
      <c r="I2962" s="5"/>
      <c r="J2962" s="158"/>
      <c r="K2962" s="163"/>
      <c r="L2962" s="160"/>
      <c r="M2962" s="174"/>
      <c r="N2962" s="168"/>
      <c r="O2962" s="163"/>
      <c r="P2962" s="160"/>
      <c r="Q2962" s="175"/>
      <c r="R2962" s="5"/>
      <c r="S2962" s="5"/>
      <c r="T2962" s="5"/>
      <c r="U2962" s="165"/>
      <c r="V2962" s="171"/>
      <c r="W2962" s="116"/>
      <c r="X2962" s="116"/>
      <c r="Y2962" s="116"/>
    </row>
    <row r="2963" customFormat="false" ht="15" hidden="false" customHeight="true" outlineLevel="0" collapsed="false">
      <c r="B2963" s="5"/>
      <c r="C2963" s="155"/>
      <c r="D2963" s="156"/>
      <c r="F2963" s="170"/>
      <c r="G2963" s="5"/>
      <c r="H2963" s="5"/>
      <c r="I2963" s="5"/>
      <c r="J2963" s="158"/>
      <c r="K2963" s="163"/>
      <c r="L2963" s="160"/>
      <c r="M2963" s="174"/>
      <c r="N2963" s="168"/>
      <c r="O2963" s="163"/>
      <c r="P2963" s="160"/>
      <c r="Q2963" s="175"/>
      <c r="R2963" s="5"/>
      <c r="S2963" s="5"/>
      <c r="T2963" s="5"/>
      <c r="U2963" s="35"/>
      <c r="V2963" s="171"/>
      <c r="W2963" s="170"/>
      <c r="X2963" s="176"/>
    </row>
    <row r="2964" customFormat="false" ht="15" hidden="false" customHeight="true" outlineLevel="0" collapsed="false">
      <c r="B2964" s="5"/>
      <c r="C2964" s="155"/>
      <c r="D2964" s="156"/>
      <c r="F2964" s="170"/>
      <c r="G2964" s="5"/>
      <c r="H2964" s="5"/>
      <c r="I2964" s="5"/>
      <c r="J2964" s="158"/>
      <c r="K2964" s="181"/>
      <c r="L2964" s="182"/>
      <c r="M2964" s="174"/>
      <c r="N2964" s="168"/>
      <c r="O2964" s="163"/>
      <c r="P2964" s="160"/>
      <c r="Q2964" s="180"/>
      <c r="R2964" s="5"/>
      <c r="S2964" s="5"/>
      <c r="T2964" s="5"/>
      <c r="U2964" s="35"/>
      <c r="V2964" s="171"/>
    </row>
    <row r="2965" customFormat="false" ht="15" hidden="false" customHeight="true" outlineLevel="0" collapsed="false">
      <c r="B2965" s="5"/>
      <c r="C2965" s="155"/>
      <c r="D2965" s="156"/>
      <c r="F2965" s="157"/>
      <c r="G2965" s="5"/>
      <c r="H2965" s="5"/>
      <c r="I2965" s="5"/>
      <c r="J2965" s="158"/>
      <c r="K2965" s="159"/>
      <c r="L2965" s="160"/>
      <c r="M2965" s="161"/>
      <c r="N2965" s="162"/>
      <c r="O2965" s="163"/>
      <c r="P2965" s="163"/>
      <c r="Q2965" s="158"/>
      <c r="R2965" s="5"/>
      <c r="S2965" s="5"/>
      <c r="T2965" s="5"/>
      <c r="U2965" s="35"/>
      <c r="V2965" s="171"/>
    </row>
    <row r="2966" customFormat="false" ht="15" hidden="false" customHeight="true" outlineLevel="0" collapsed="false">
      <c r="B2966" s="5"/>
      <c r="C2966" s="155"/>
      <c r="D2966" s="156"/>
      <c r="F2966" s="157"/>
      <c r="G2966" s="5"/>
      <c r="H2966" s="5"/>
      <c r="I2966" s="5"/>
      <c r="J2966" s="158"/>
      <c r="K2966" s="159"/>
      <c r="L2966" s="160"/>
      <c r="M2966" s="161"/>
      <c r="N2966" s="162"/>
      <c r="O2966" s="163"/>
      <c r="P2966" s="163"/>
      <c r="Q2966" s="158"/>
      <c r="R2966" s="5"/>
      <c r="S2966" s="5"/>
      <c r="T2966" s="5"/>
      <c r="U2966" s="35"/>
      <c r="V2966" s="171"/>
    </row>
    <row r="2967" customFormat="false" ht="15" hidden="false" customHeight="true" outlineLevel="0" collapsed="false">
      <c r="B2967" s="5"/>
      <c r="C2967" s="155"/>
      <c r="D2967" s="156"/>
      <c r="F2967" s="157"/>
      <c r="G2967" s="5"/>
      <c r="H2967" s="5"/>
      <c r="I2967" s="5"/>
      <c r="J2967" s="158"/>
      <c r="K2967" s="159"/>
      <c r="L2967" s="160"/>
      <c r="M2967" s="161"/>
      <c r="N2967" s="162"/>
      <c r="O2967" s="163"/>
      <c r="P2967" s="163"/>
      <c r="Q2967" s="158"/>
      <c r="R2967" s="5"/>
      <c r="S2967" s="5"/>
      <c r="T2967" s="5"/>
      <c r="U2967" s="35"/>
      <c r="V2967" s="164"/>
    </row>
    <row r="2968" customFormat="false" ht="15" hidden="false" customHeight="true" outlineLevel="0" collapsed="false">
      <c r="B2968" s="5"/>
      <c r="C2968" s="155"/>
      <c r="D2968" s="156"/>
      <c r="F2968" s="157"/>
      <c r="G2968" s="5"/>
      <c r="H2968" s="5"/>
      <c r="I2968" s="5"/>
      <c r="J2968" s="158"/>
      <c r="K2968" s="159"/>
      <c r="L2968" s="160"/>
      <c r="M2968" s="161"/>
      <c r="N2968" s="162"/>
      <c r="O2968" s="163"/>
      <c r="P2968" s="163"/>
      <c r="Q2968" s="158"/>
      <c r="R2968" s="5"/>
      <c r="S2968" s="5"/>
      <c r="T2968" s="5"/>
      <c r="U2968" s="35"/>
      <c r="V2968" s="164"/>
    </row>
    <row r="2969" customFormat="false" ht="15" hidden="false" customHeight="true" outlineLevel="0" collapsed="false">
      <c r="C2969" s="155"/>
      <c r="D2969" s="156"/>
      <c r="F2969" s="157"/>
      <c r="G2969" s="5"/>
      <c r="H2969" s="165"/>
      <c r="I2969" s="165"/>
      <c r="J2969" s="158"/>
      <c r="K2969" s="159"/>
      <c r="L2969" s="166"/>
      <c r="M2969" s="167"/>
      <c r="N2969" s="168"/>
      <c r="O2969" s="163"/>
      <c r="P2969" s="163"/>
      <c r="Q2969" s="158"/>
      <c r="R2969" s="5"/>
      <c r="S2969" s="169"/>
      <c r="T2969" s="158"/>
      <c r="U2969" s="35"/>
      <c r="V2969" s="164"/>
    </row>
    <row r="2970" customFormat="false" ht="15" hidden="false" customHeight="true" outlineLevel="0" collapsed="false">
      <c r="C2970" s="155"/>
      <c r="D2970" s="156"/>
      <c r="F2970" s="157"/>
      <c r="G2970" s="5"/>
      <c r="H2970" s="165"/>
      <c r="I2970" s="165"/>
      <c r="J2970" s="179"/>
      <c r="K2970" s="159"/>
      <c r="L2970" s="166"/>
      <c r="M2970" s="167"/>
      <c r="N2970" s="168"/>
      <c r="O2970" s="163"/>
      <c r="P2970" s="163"/>
      <c r="Q2970" s="158"/>
      <c r="R2970" s="5"/>
      <c r="S2970" s="169"/>
      <c r="T2970" s="158"/>
      <c r="U2970" s="35"/>
      <c r="V2970" s="164"/>
    </row>
    <row r="2971" customFormat="false" ht="15" hidden="false" customHeight="true" outlineLevel="0" collapsed="false">
      <c r="B2971" s="5"/>
      <c r="C2971" s="155"/>
      <c r="D2971" s="156"/>
      <c r="F2971" s="170"/>
      <c r="G2971" s="5"/>
      <c r="H2971" s="5"/>
      <c r="I2971" s="5"/>
      <c r="J2971" s="158"/>
      <c r="K2971" s="163"/>
      <c r="L2971" s="160"/>
      <c r="M2971" s="174"/>
      <c r="N2971" s="168"/>
      <c r="O2971" s="163"/>
      <c r="P2971" s="160"/>
      <c r="Q2971" s="175"/>
      <c r="R2971" s="5"/>
      <c r="S2971" s="5"/>
      <c r="T2971" s="5"/>
      <c r="U2971" s="165"/>
      <c r="V2971" s="164"/>
      <c r="W2971" s="116"/>
      <c r="X2971" s="116"/>
      <c r="Y2971" s="116"/>
    </row>
    <row r="2972" customFormat="false" ht="15" hidden="false" customHeight="true" outlineLevel="0" collapsed="false">
      <c r="B2972" s="5"/>
      <c r="C2972" s="155"/>
      <c r="D2972" s="156"/>
      <c r="F2972" s="170"/>
      <c r="G2972" s="5"/>
      <c r="H2972" s="5"/>
      <c r="I2972" s="5"/>
      <c r="J2972" s="158"/>
      <c r="K2972" s="163"/>
      <c r="L2972" s="160"/>
      <c r="M2972" s="174"/>
      <c r="N2972" s="168"/>
      <c r="O2972" s="163"/>
      <c r="P2972" s="160"/>
      <c r="Q2972" s="175"/>
      <c r="R2972" s="5"/>
      <c r="S2972" s="5"/>
      <c r="T2972" s="5"/>
      <c r="U2972" s="35"/>
      <c r="V2972" s="171"/>
      <c r="W2972" s="116"/>
      <c r="X2972" s="176"/>
    </row>
    <row r="2973" customFormat="false" ht="15" hidden="false" customHeight="true" outlineLevel="0" collapsed="false">
      <c r="A2973" s="174"/>
      <c r="B2973" s="5"/>
      <c r="C2973" s="155"/>
      <c r="D2973" s="156"/>
      <c r="F2973" s="157"/>
      <c r="G2973" s="5"/>
      <c r="H2973" s="5"/>
      <c r="I2973" s="5"/>
      <c r="J2973" s="158"/>
      <c r="K2973" s="159"/>
      <c r="L2973" s="160"/>
      <c r="M2973" s="186"/>
      <c r="N2973" s="162"/>
      <c r="O2973" s="163"/>
      <c r="P2973" s="163"/>
      <c r="Q2973" s="158"/>
      <c r="R2973" s="5"/>
      <c r="S2973" s="5"/>
      <c r="T2973" s="5"/>
      <c r="U2973" s="35"/>
      <c r="V2973" s="171"/>
    </row>
    <row r="2974" customFormat="false" ht="15" hidden="false" customHeight="true" outlineLevel="0" collapsed="false">
      <c r="B2974" s="5"/>
      <c r="C2974" s="155"/>
      <c r="D2974" s="156"/>
      <c r="F2974" s="157"/>
      <c r="G2974" s="5"/>
      <c r="H2974" s="5"/>
      <c r="I2974" s="5"/>
      <c r="J2974" s="158"/>
      <c r="K2974" s="159"/>
      <c r="L2974" s="160"/>
      <c r="M2974" s="161"/>
      <c r="N2974" s="162"/>
      <c r="O2974" s="163"/>
      <c r="P2974" s="163"/>
      <c r="Q2974" s="158"/>
      <c r="R2974" s="5"/>
      <c r="S2974" s="5"/>
      <c r="T2974" s="5"/>
      <c r="U2974" s="35"/>
      <c r="V2974" s="164"/>
    </row>
    <row r="2975" customFormat="false" ht="15" hidden="false" customHeight="true" outlineLevel="0" collapsed="false">
      <c r="B2975" s="5"/>
      <c r="C2975" s="155"/>
      <c r="D2975" s="156"/>
      <c r="F2975" s="157"/>
      <c r="G2975" s="5"/>
      <c r="H2975" s="5"/>
      <c r="I2975" s="5"/>
      <c r="J2975" s="158"/>
      <c r="K2975" s="159"/>
      <c r="L2975" s="160"/>
      <c r="M2975" s="161"/>
      <c r="N2975" s="162"/>
      <c r="O2975" s="163"/>
      <c r="P2975" s="163"/>
      <c r="Q2975" s="158"/>
      <c r="R2975" s="5"/>
      <c r="S2975" s="5"/>
      <c r="T2975" s="5"/>
      <c r="U2975" s="35"/>
      <c r="V2975" s="164"/>
    </row>
    <row r="2976" customFormat="false" ht="15" hidden="false" customHeight="true" outlineLevel="0" collapsed="false">
      <c r="B2976" s="5"/>
      <c r="C2976" s="155"/>
      <c r="D2976" s="156"/>
      <c r="F2976" s="157"/>
      <c r="G2976" s="5"/>
      <c r="H2976" s="5"/>
      <c r="I2976" s="5"/>
      <c r="J2976" s="158"/>
      <c r="K2976" s="159"/>
      <c r="L2976" s="160"/>
      <c r="M2976" s="161"/>
      <c r="N2976" s="162"/>
      <c r="O2976" s="163"/>
      <c r="P2976" s="163"/>
      <c r="Q2976" s="158"/>
      <c r="R2976" s="5"/>
      <c r="S2976" s="5"/>
      <c r="T2976" s="5"/>
      <c r="U2976" s="35"/>
      <c r="V2976" s="164"/>
    </row>
    <row r="2977" customFormat="false" ht="15" hidden="false" customHeight="true" outlineLevel="0" collapsed="false">
      <c r="B2977" s="5"/>
      <c r="C2977" s="155"/>
      <c r="D2977" s="156"/>
      <c r="F2977" s="157"/>
      <c r="G2977" s="5"/>
      <c r="H2977" s="5"/>
      <c r="I2977" s="5"/>
      <c r="J2977" s="158"/>
      <c r="K2977" s="159"/>
      <c r="L2977" s="160"/>
      <c r="M2977" s="161"/>
      <c r="N2977" s="162"/>
      <c r="O2977" s="163"/>
      <c r="P2977" s="163"/>
      <c r="Q2977" s="158"/>
      <c r="R2977" s="5"/>
      <c r="S2977" s="5"/>
      <c r="T2977" s="5"/>
      <c r="U2977" s="35"/>
      <c r="V2977" s="164"/>
    </row>
    <row r="2978" customFormat="false" ht="15" hidden="false" customHeight="true" outlineLevel="0" collapsed="false">
      <c r="B2978" s="5"/>
      <c r="C2978" s="155"/>
      <c r="D2978" s="156"/>
      <c r="F2978" s="170"/>
      <c r="G2978" s="5"/>
      <c r="H2978" s="5"/>
      <c r="I2978" s="5"/>
      <c r="J2978" s="158"/>
      <c r="K2978" s="159"/>
      <c r="L2978" s="160"/>
      <c r="M2978" s="174"/>
      <c r="N2978" s="168"/>
      <c r="O2978" s="163"/>
      <c r="P2978" s="160"/>
      <c r="Q2978" s="175"/>
      <c r="R2978" s="5"/>
      <c r="S2978" s="5"/>
      <c r="T2978" s="5"/>
      <c r="U2978" s="35"/>
      <c r="V2978" s="171"/>
    </row>
    <row r="2979" customFormat="false" ht="15" hidden="false" customHeight="true" outlineLevel="0" collapsed="false">
      <c r="B2979" s="5"/>
      <c r="C2979" s="155"/>
      <c r="D2979" s="156"/>
      <c r="F2979" s="170"/>
      <c r="G2979" s="5"/>
      <c r="H2979" s="5"/>
      <c r="I2979" s="5"/>
      <c r="J2979" s="158"/>
      <c r="K2979" s="159"/>
      <c r="L2979" s="160"/>
      <c r="M2979" s="174"/>
      <c r="N2979" s="168"/>
      <c r="O2979" s="163"/>
      <c r="P2979" s="160"/>
      <c r="Q2979" s="5"/>
      <c r="R2979" s="5"/>
      <c r="S2979" s="5"/>
      <c r="T2979" s="5"/>
      <c r="U2979" s="35"/>
      <c r="V2979" s="171"/>
    </row>
    <row r="2980" customFormat="false" ht="15" hidden="false" customHeight="true" outlineLevel="0" collapsed="false">
      <c r="B2980" s="5"/>
      <c r="C2980" s="155"/>
      <c r="D2980" s="156"/>
      <c r="F2980" s="170"/>
      <c r="G2980" s="5"/>
      <c r="H2980" s="5"/>
      <c r="I2980" s="5"/>
      <c r="J2980" s="158"/>
      <c r="K2980" s="159"/>
      <c r="L2980" s="160"/>
      <c r="M2980" s="161"/>
      <c r="N2980" s="162"/>
      <c r="O2980" s="163"/>
      <c r="P2980" s="163"/>
      <c r="Q2980" s="5"/>
      <c r="R2980" s="5"/>
      <c r="S2980" s="5"/>
      <c r="T2980" s="5"/>
      <c r="U2980" s="35"/>
      <c r="V2980" s="171"/>
      <c r="W2980" s="172"/>
      <c r="X2980" s="173"/>
    </row>
    <row r="2981" customFormat="false" ht="15" hidden="false" customHeight="true" outlineLevel="0" collapsed="false">
      <c r="B2981" s="5"/>
      <c r="C2981" s="155"/>
      <c r="D2981" s="156"/>
      <c r="F2981" s="170"/>
      <c r="G2981" s="5"/>
      <c r="H2981" s="5"/>
      <c r="I2981" s="5"/>
      <c r="J2981" s="158"/>
      <c r="K2981" s="159"/>
      <c r="L2981" s="160"/>
      <c r="M2981" s="178"/>
      <c r="N2981" s="162"/>
      <c r="O2981" s="163"/>
      <c r="P2981" s="163"/>
      <c r="Q2981" s="5"/>
      <c r="R2981" s="5"/>
      <c r="S2981" s="5"/>
      <c r="T2981" s="5"/>
      <c r="U2981" s="35"/>
      <c r="V2981" s="171"/>
    </row>
    <row r="2982" customFormat="false" ht="15" hidden="false" customHeight="true" outlineLevel="0" collapsed="false">
      <c r="B2982" s="5"/>
      <c r="C2982" s="155"/>
      <c r="D2982" s="156"/>
      <c r="F2982" s="157"/>
      <c r="G2982" s="5"/>
      <c r="H2982" s="5"/>
      <c r="I2982" s="5"/>
      <c r="J2982" s="158"/>
      <c r="K2982" s="159"/>
      <c r="L2982" s="160"/>
      <c r="M2982" s="161"/>
      <c r="N2982" s="162"/>
      <c r="O2982" s="163"/>
      <c r="P2982" s="163"/>
      <c r="Q2982" s="158"/>
      <c r="R2982" s="5"/>
      <c r="S2982" s="5"/>
      <c r="T2982" s="5"/>
      <c r="U2982" s="35"/>
      <c r="V2982" s="164"/>
    </row>
    <row r="2983" customFormat="false" ht="15" hidden="false" customHeight="true" outlineLevel="0" collapsed="false">
      <c r="C2983" s="155"/>
      <c r="D2983" s="156"/>
      <c r="F2983" s="157"/>
      <c r="G2983" s="5"/>
      <c r="H2983" s="165"/>
      <c r="I2983" s="165"/>
      <c r="J2983" s="158"/>
      <c r="K2983" s="159"/>
      <c r="L2983" s="166"/>
      <c r="M2983" s="167"/>
      <c r="N2983" s="168"/>
      <c r="O2983" s="163"/>
      <c r="P2983" s="163"/>
      <c r="Q2983" s="158"/>
      <c r="R2983" s="5"/>
      <c r="S2983" s="169"/>
      <c r="T2983" s="158"/>
      <c r="U2983" s="35"/>
      <c r="V2983" s="164"/>
    </row>
    <row r="2984" customFormat="false" ht="15" hidden="false" customHeight="true" outlineLevel="0" collapsed="false">
      <c r="C2984" s="155"/>
      <c r="D2984" s="156"/>
      <c r="F2984" s="157"/>
      <c r="G2984" s="5"/>
      <c r="H2984" s="165"/>
      <c r="I2984" s="165"/>
      <c r="J2984" s="158"/>
      <c r="K2984" s="159"/>
      <c r="L2984" s="166"/>
      <c r="M2984" s="167"/>
      <c r="N2984" s="168"/>
      <c r="O2984" s="163"/>
      <c r="P2984" s="163"/>
      <c r="Q2984" s="158"/>
      <c r="R2984" s="5"/>
      <c r="S2984" s="169"/>
      <c r="T2984" s="158"/>
      <c r="U2984" s="35"/>
      <c r="V2984" s="164"/>
    </row>
    <row r="2985" customFormat="false" ht="15" hidden="false" customHeight="true" outlineLevel="0" collapsed="false">
      <c r="B2985" s="5"/>
      <c r="C2985" s="155"/>
      <c r="D2985" s="156"/>
      <c r="F2985" s="170"/>
      <c r="G2985" s="5"/>
      <c r="H2985" s="5"/>
      <c r="I2985" s="5"/>
      <c r="J2985" s="158"/>
      <c r="K2985" s="163"/>
      <c r="L2985" s="160"/>
      <c r="M2985" s="174"/>
      <c r="N2985" s="168"/>
      <c r="O2985" s="163"/>
      <c r="P2985" s="160"/>
      <c r="Q2985" s="175"/>
      <c r="R2985" s="5"/>
      <c r="S2985" s="5"/>
      <c r="T2985" s="5"/>
      <c r="U2985" s="35"/>
      <c r="V2985" s="171"/>
      <c r="W2985" s="170"/>
      <c r="X2985" s="176"/>
    </row>
    <row r="2986" customFormat="false" ht="15" hidden="false" customHeight="true" outlineLevel="0" collapsed="false">
      <c r="B2986" s="5"/>
      <c r="C2986" s="155"/>
      <c r="D2986" s="156"/>
      <c r="F2986" s="157"/>
      <c r="G2986" s="5"/>
      <c r="H2986" s="5"/>
      <c r="I2986" s="5"/>
      <c r="J2986" s="158"/>
      <c r="K2986" s="159"/>
      <c r="L2986" s="160"/>
      <c r="M2986" s="177"/>
      <c r="N2986" s="162"/>
      <c r="O2986" s="163"/>
      <c r="P2986" s="163"/>
      <c r="Q2986" s="158"/>
      <c r="R2986" s="5"/>
      <c r="S2986" s="5"/>
      <c r="T2986" s="5"/>
      <c r="U2986" s="35"/>
      <c r="V2986" s="171"/>
    </row>
    <row r="2987" customFormat="false" ht="15" hidden="false" customHeight="true" outlineLevel="0" collapsed="false">
      <c r="B2987" s="5"/>
      <c r="C2987" s="155"/>
      <c r="D2987" s="156"/>
      <c r="F2987" s="157"/>
      <c r="G2987" s="5"/>
      <c r="H2987" s="5"/>
      <c r="I2987" s="5"/>
      <c r="J2987" s="158"/>
      <c r="K2987" s="159"/>
      <c r="L2987" s="160"/>
      <c r="M2987" s="161"/>
      <c r="N2987" s="162"/>
      <c r="O2987" s="163"/>
      <c r="P2987" s="163"/>
      <c r="Q2987" s="158"/>
      <c r="R2987" s="5"/>
      <c r="S2987" s="5"/>
      <c r="T2987" s="5"/>
      <c r="U2987" s="35"/>
      <c r="V2987" s="171"/>
    </row>
    <row r="2988" customFormat="false" ht="15" hidden="false" customHeight="true" outlineLevel="0" collapsed="false">
      <c r="B2988" s="5"/>
      <c r="C2988" s="155"/>
      <c r="D2988" s="156"/>
      <c r="F2988" s="157"/>
      <c r="G2988" s="5"/>
      <c r="H2988" s="5"/>
      <c r="I2988" s="5"/>
      <c r="J2988" s="158"/>
      <c r="K2988" s="159"/>
      <c r="L2988" s="160"/>
      <c r="M2988" s="161"/>
      <c r="N2988" s="162"/>
      <c r="O2988" s="163"/>
      <c r="P2988" s="163"/>
      <c r="Q2988" s="158"/>
      <c r="R2988" s="5"/>
      <c r="S2988" s="5"/>
      <c r="T2988" s="5"/>
      <c r="U2988" s="35"/>
      <c r="V2988" s="164"/>
    </row>
    <row r="2989" customFormat="false" ht="15" hidden="false" customHeight="true" outlineLevel="0" collapsed="false">
      <c r="B2989" s="5"/>
      <c r="C2989" s="155"/>
      <c r="D2989" s="156"/>
      <c r="F2989" s="157"/>
      <c r="G2989" s="5"/>
      <c r="H2989" s="5"/>
      <c r="I2989" s="5"/>
      <c r="J2989" s="158"/>
      <c r="K2989" s="159"/>
      <c r="L2989" s="160"/>
      <c r="M2989" s="161"/>
      <c r="N2989" s="162"/>
      <c r="O2989" s="163"/>
      <c r="P2989" s="163"/>
      <c r="Q2989" s="158"/>
      <c r="R2989" s="5"/>
      <c r="S2989" s="5"/>
      <c r="T2989" s="5"/>
      <c r="U2989" s="35"/>
      <c r="V2989" s="164"/>
    </row>
    <row r="2990" customFormat="false" ht="15" hidden="false" customHeight="true" outlineLevel="0" collapsed="false">
      <c r="B2990" s="5"/>
      <c r="C2990" s="155"/>
      <c r="D2990" s="156"/>
      <c r="F2990" s="157"/>
      <c r="G2990" s="5"/>
      <c r="H2990" s="5"/>
      <c r="I2990" s="5"/>
      <c r="J2990" s="158"/>
      <c r="K2990" s="159"/>
      <c r="L2990" s="160"/>
      <c r="M2990" s="161"/>
      <c r="N2990" s="162"/>
      <c r="O2990" s="163"/>
      <c r="P2990" s="163"/>
      <c r="Q2990" s="158"/>
      <c r="R2990" s="5"/>
      <c r="S2990" s="5"/>
      <c r="T2990" s="5"/>
      <c r="U2990" s="35"/>
      <c r="V2990" s="164"/>
    </row>
    <row r="2991" customFormat="false" ht="15" hidden="false" customHeight="true" outlineLevel="0" collapsed="false">
      <c r="B2991" s="5"/>
      <c r="C2991" s="155"/>
      <c r="D2991" s="156"/>
      <c r="F2991" s="170"/>
      <c r="G2991" s="5"/>
      <c r="H2991" s="5"/>
      <c r="I2991" s="5"/>
      <c r="J2991" s="158"/>
      <c r="K2991" s="163"/>
      <c r="L2991" s="160"/>
      <c r="M2991" s="174"/>
      <c r="N2991" s="168"/>
      <c r="O2991" s="163"/>
      <c r="P2991" s="160"/>
      <c r="Q2991" s="175"/>
      <c r="R2991" s="5"/>
      <c r="S2991" s="5"/>
      <c r="T2991" s="5"/>
      <c r="U2991" s="35"/>
      <c r="V2991" s="171"/>
      <c r="W2991" s="116"/>
      <c r="X2991" s="116"/>
      <c r="Y2991" s="116"/>
    </row>
    <row r="2992" customFormat="false" ht="15" hidden="false" customHeight="true" outlineLevel="0" collapsed="false">
      <c r="B2992" s="5"/>
      <c r="C2992" s="155"/>
      <c r="D2992" s="156"/>
      <c r="F2992" s="170"/>
      <c r="G2992" s="5"/>
      <c r="H2992" s="5"/>
      <c r="I2992" s="5"/>
      <c r="J2992" s="158"/>
      <c r="K2992" s="163"/>
      <c r="L2992" s="160"/>
      <c r="M2992" s="174"/>
      <c r="N2992" s="168"/>
      <c r="O2992" s="163"/>
      <c r="P2992" s="160"/>
      <c r="Q2992" s="175"/>
      <c r="R2992" s="5"/>
      <c r="S2992" s="5"/>
      <c r="T2992" s="5"/>
      <c r="U2992" s="35"/>
      <c r="V2992" s="171"/>
      <c r="W2992" s="170"/>
      <c r="X2992" s="176"/>
    </row>
    <row r="2993" customFormat="false" ht="15" hidden="false" customHeight="true" outlineLevel="0" collapsed="false">
      <c r="B2993" s="5"/>
      <c r="C2993" s="155"/>
      <c r="D2993" s="156"/>
      <c r="F2993" s="157"/>
      <c r="G2993" s="5"/>
      <c r="H2993" s="5"/>
      <c r="I2993" s="5"/>
      <c r="J2993" s="158"/>
      <c r="K2993" s="159"/>
      <c r="L2993" s="160"/>
      <c r="M2993" s="161"/>
      <c r="N2993" s="162"/>
      <c r="O2993" s="163"/>
      <c r="P2993" s="163"/>
      <c r="Q2993" s="158"/>
      <c r="R2993" s="5"/>
      <c r="S2993" s="5"/>
      <c r="T2993" s="5"/>
      <c r="U2993" s="35"/>
      <c r="V2993" s="171"/>
    </row>
    <row r="2994" customFormat="false" ht="15" hidden="false" customHeight="true" outlineLevel="0" collapsed="false">
      <c r="B2994" s="5"/>
      <c r="C2994" s="155"/>
      <c r="D2994" s="156"/>
      <c r="F2994" s="157"/>
      <c r="G2994" s="5"/>
      <c r="H2994" s="5"/>
      <c r="I2994" s="5"/>
      <c r="J2994" s="158"/>
      <c r="K2994" s="159"/>
      <c r="L2994" s="160"/>
      <c r="M2994" s="161"/>
      <c r="N2994" s="162"/>
      <c r="O2994" s="163"/>
      <c r="P2994" s="163"/>
      <c r="Q2994" s="158"/>
      <c r="R2994" s="5"/>
      <c r="S2994" s="5"/>
      <c r="T2994" s="5"/>
      <c r="U2994" s="35"/>
      <c r="V2994" s="171"/>
    </row>
    <row r="2995" customFormat="false" ht="15" hidden="false" customHeight="true" outlineLevel="0" collapsed="false">
      <c r="B2995" s="5"/>
      <c r="C2995" s="155"/>
      <c r="D2995" s="156"/>
      <c r="F2995" s="157"/>
      <c r="G2995" s="5"/>
      <c r="H2995" s="5"/>
      <c r="I2995" s="5"/>
      <c r="J2995" s="158"/>
      <c r="K2995" s="159"/>
      <c r="L2995" s="160"/>
      <c r="M2995" s="161"/>
      <c r="N2995" s="162"/>
      <c r="O2995" s="163"/>
      <c r="P2995" s="163"/>
      <c r="Q2995" s="158"/>
      <c r="R2995" s="5"/>
      <c r="S2995" s="5"/>
      <c r="T2995" s="5"/>
      <c r="U2995" s="35"/>
      <c r="V2995" s="164"/>
    </row>
    <row r="2996" customFormat="false" ht="15" hidden="false" customHeight="true" outlineLevel="0" collapsed="false">
      <c r="B2996" s="5"/>
      <c r="C2996" s="155"/>
      <c r="D2996" s="156"/>
      <c r="F2996" s="157"/>
      <c r="G2996" s="5"/>
      <c r="H2996" s="5"/>
      <c r="I2996" s="5"/>
      <c r="J2996" s="158"/>
      <c r="K2996" s="159"/>
      <c r="L2996" s="160"/>
      <c r="M2996" s="161"/>
      <c r="N2996" s="162"/>
      <c r="O2996" s="163"/>
      <c r="P2996" s="163"/>
      <c r="Q2996" s="158"/>
      <c r="R2996" s="5"/>
      <c r="S2996" s="5"/>
      <c r="T2996" s="5"/>
      <c r="U2996" s="35"/>
      <c r="V2996" s="171"/>
    </row>
    <row r="2997" customFormat="false" ht="15" hidden="false" customHeight="true" outlineLevel="0" collapsed="false">
      <c r="C2997" s="155"/>
      <c r="D2997" s="156"/>
      <c r="F2997" s="157"/>
      <c r="G2997" s="5"/>
      <c r="H2997" s="165"/>
      <c r="I2997" s="165"/>
      <c r="J2997" s="158"/>
      <c r="K2997" s="159"/>
      <c r="L2997" s="166"/>
      <c r="M2997" s="167"/>
      <c r="N2997" s="168"/>
      <c r="O2997" s="163"/>
      <c r="P2997" s="163"/>
      <c r="Q2997" s="158"/>
      <c r="R2997" s="5"/>
      <c r="S2997" s="169"/>
      <c r="T2997" s="158"/>
      <c r="U2997" s="35"/>
      <c r="V2997" s="164"/>
    </row>
    <row r="2998" customFormat="false" ht="15" hidden="false" customHeight="true" outlineLevel="0" collapsed="false">
      <c r="C2998" s="155"/>
      <c r="D2998" s="156"/>
      <c r="F2998" s="157"/>
      <c r="G2998" s="5"/>
      <c r="H2998" s="165"/>
      <c r="I2998" s="165"/>
      <c r="J2998" s="158"/>
      <c r="K2998" s="159"/>
      <c r="L2998" s="166"/>
      <c r="M2998" s="167"/>
      <c r="N2998" s="168"/>
      <c r="O2998" s="163"/>
      <c r="P2998" s="163"/>
      <c r="Q2998" s="158"/>
      <c r="R2998" s="5"/>
      <c r="S2998" s="169"/>
      <c r="T2998" s="158"/>
      <c r="U2998" s="35"/>
      <c r="V2998" s="164"/>
    </row>
    <row r="2999" customFormat="false" ht="15" hidden="false" customHeight="true" outlineLevel="0" collapsed="false">
      <c r="C2999" s="155"/>
      <c r="D2999" s="156"/>
      <c r="F2999" s="157"/>
      <c r="G2999" s="5"/>
      <c r="H2999" s="165"/>
      <c r="I2999" s="165"/>
      <c r="J2999" s="158"/>
      <c r="K2999" s="159"/>
      <c r="L2999" s="166"/>
      <c r="M2999" s="167"/>
      <c r="N2999" s="168"/>
      <c r="O2999" s="163"/>
      <c r="P2999" s="163"/>
      <c r="Q2999" s="158"/>
      <c r="R2999" s="5"/>
      <c r="S2999" s="169"/>
      <c r="T2999" s="158"/>
      <c r="U2999" s="35"/>
      <c r="V2999" s="164"/>
    </row>
    <row r="3000" customFormat="false" ht="15" hidden="false" customHeight="true" outlineLevel="0" collapsed="false">
      <c r="B3000" s="5"/>
      <c r="C3000" s="155"/>
      <c r="D3000" s="156"/>
      <c r="F3000" s="157"/>
      <c r="G3000" s="5"/>
      <c r="H3000" s="5"/>
      <c r="I3000" s="5"/>
      <c r="J3000" s="158"/>
      <c r="K3000" s="159"/>
      <c r="L3000" s="160"/>
      <c r="M3000" s="161"/>
      <c r="N3000" s="162"/>
      <c r="O3000" s="163"/>
      <c r="P3000" s="163"/>
      <c r="Q3000" s="158"/>
      <c r="R3000" s="5"/>
      <c r="S3000" s="5"/>
      <c r="T3000" s="5"/>
      <c r="U3000" s="35"/>
      <c r="V3000" s="164"/>
    </row>
    <row r="3001" customFormat="false" ht="15" hidden="false" customHeight="true" outlineLevel="0" collapsed="false">
      <c r="B3001" s="73"/>
      <c r="C3001" s="155"/>
      <c r="D3001" s="156"/>
      <c r="F3001" s="170"/>
      <c r="G3001" s="5"/>
      <c r="H3001" s="5"/>
      <c r="I3001" s="5"/>
      <c r="J3001" s="158"/>
      <c r="K3001" s="159"/>
      <c r="L3001" s="160"/>
      <c r="M3001" s="174"/>
      <c r="N3001" s="168"/>
      <c r="O3001" s="163"/>
      <c r="P3001" s="160"/>
      <c r="Q3001" s="5"/>
      <c r="R3001" s="5"/>
      <c r="S3001" s="5"/>
      <c r="T3001" s="5"/>
      <c r="U3001" s="35"/>
      <c r="V3001" s="171"/>
    </row>
    <row r="3002" customFormat="false" ht="15" hidden="false" customHeight="true" outlineLevel="0" collapsed="false">
      <c r="B3002" s="5"/>
      <c r="C3002" s="155"/>
      <c r="D3002" s="156"/>
      <c r="F3002" s="157"/>
      <c r="G3002" s="5"/>
      <c r="H3002" s="5"/>
      <c r="I3002" s="5"/>
      <c r="J3002" s="158"/>
      <c r="K3002" s="159"/>
      <c r="L3002" s="160"/>
      <c r="M3002" s="161"/>
      <c r="N3002" s="162"/>
      <c r="O3002" s="163"/>
      <c r="P3002" s="163"/>
      <c r="Q3002" s="158"/>
      <c r="R3002" s="5"/>
      <c r="S3002" s="5"/>
      <c r="T3002" s="5"/>
      <c r="U3002" s="35"/>
      <c r="V3002" s="171"/>
    </row>
    <row r="3003" customFormat="false" ht="15" hidden="false" customHeight="true" outlineLevel="0" collapsed="false">
      <c r="B3003" s="5"/>
      <c r="C3003" s="155"/>
      <c r="D3003" s="156"/>
      <c r="F3003" s="157"/>
      <c r="G3003" s="5"/>
      <c r="H3003" s="5"/>
      <c r="I3003" s="5"/>
      <c r="J3003" s="158"/>
      <c r="K3003" s="159"/>
      <c r="L3003" s="160"/>
      <c r="M3003" s="161"/>
      <c r="N3003" s="162"/>
      <c r="O3003" s="163"/>
      <c r="P3003" s="163"/>
      <c r="Q3003" s="158"/>
      <c r="R3003" s="5"/>
      <c r="S3003" s="5"/>
      <c r="T3003" s="5"/>
      <c r="U3003" s="35"/>
      <c r="V3003" s="164"/>
    </row>
    <row r="3004" customFormat="false" ht="15" hidden="false" customHeight="true" outlineLevel="0" collapsed="false">
      <c r="B3004" s="5"/>
      <c r="C3004" s="155"/>
      <c r="D3004" s="156"/>
      <c r="F3004" s="157"/>
      <c r="G3004" s="5"/>
      <c r="H3004" s="5"/>
      <c r="I3004" s="5"/>
      <c r="J3004" s="158"/>
      <c r="K3004" s="159"/>
      <c r="L3004" s="160"/>
      <c r="M3004" s="161"/>
      <c r="N3004" s="162"/>
      <c r="O3004" s="163"/>
      <c r="P3004" s="163"/>
      <c r="Q3004" s="158"/>
      <c r="R3004" s="5"/>
      <c r="S3004" s="5"/>
      <c r="T3004" s="5"/>
      <c r="U3004" s="35"/>
      <c r="V3004" s="164"/>
    </row>
    <row r="3005" customFormat="false" ht="15" hidden="false" customHeight="true" outlineLevel="0" collapsed="false">
      <c r="C3005" s="155"/>
      <c r="D3005" s="156"/>
      <c r="F3005" s="157"/>
      <c r="G3005" s="5"/>
      <c r="H3005" s="165"/>
      <c r="I3005" s="165"/>
      <c r="J3005" s="158"/>
      <c r="K3005" s="159"/>
      <c r="L3005" s="166"/>
      <c r="M3005" s="167"/>
      <c r="N3005" s="168"/>
      <c r="O3005" s="163"/>
      <c r="P3005" s="163"/>
      <c r="Q3005" s="158"/>
      <c r="R3005" s="5"/>
      <c r="S3005" s="169"/>
      <c r="T3005" s="158"/>
      <c r="U3005" s="35"/>
      <c r="V3005" s="164"/>
    </row>
    <row r="3006" customFormat="false" ht="15" hidden="false" customHeight="true" outlineLevel="0" collapsed="false">
      <c r="C3006" s="155"/>
      <c r="D3006" s="156"/>
      <c r="F3006" s="157"/>
      <c r="G3006" s="5"/>
      <c r="H3006" s="165"/>
      <c r="I3006" s="165"/>
      <c r="J3006" s="158"/>
      <c r="K3006" s="159"/>
      <c r="L3006" s="166"/>
      <c r="M3006" s="167"/>
      <c r="N3006" s="168"/>
      <c r="O3006" s="163"/>
      <c r="P3006" s="163"/>
      <c r="Q3006" s="158"/>
      <c r="R3006" s="5"/>
      <c r="S3006" s="169"/>
      <c r="T3006" s="158"/>
      <c r="U3006" s="35"/>
      <c r="V3006" s="164"/>
    </row>
    <row r="3007" customFormat="false" ht="15" hidden="false" customHeight="true" outlineLevel="0" collapsed="false">
      <c r="B3007" s="5"/>
      <c r="C3007" s="155"/>
      <c r="D3007" s="156"/>
      <c r="F3007" s="170"/>
      <c r="G3007" s="5"/>
      <c r="H3007" s="5"/>
      <c r="I3007" s="5"/>
      <c r="J3007" s="158"/>
      <c r="K3007" s="163"/>
      <c r="L3007" s="160"/>
      <c r="M3007" s="174"/>
      <c r="N3007" s="168"/>
      <c r="O3007" s="163"/>
      <c r="P3007" s="160"/>
      <c r="Q3007" s="175"/>
      <c r="R3007" s="5"/>
      <c r="S3007" s="5"/>
      <c r="T3007" s="5"/>
      <c r="U3007" s="35"/>
      <c r="V3007" s="171"/>
      <c r="W3007" s="116"/>
      <c r="X3007" s="176"/>
    </row>
    <row r="3008" customFormat="false" ht="15" hidden="false" customHeight="true" outlineLevel="0" collapsed="false">
      <c r="B3008" s="5"/>
      <c r="C3008" s="155"/>
      <c r="D3008" s="156"/>
      <c r="F3008" s="170"/>
      <c r="G3008" s="5"/>
      <c r="H3008" s="5"/>
      <c r="I3008" s="5"/>
      <c r="J3008" s="158"/>
      <c r="K3008" s="159"/>
      <c r="L3008" s="160"/>
      <c r="M3008" s="174"/>
      <c r="N3008" s="168"/>
      <c r="O3008" s="163"/>
      <c r="P3008" s="160"/>
      <c r="Q3008" s="5"/>
      <c r="R3008" s="5"/>
      <c r="S3008" s="5"/>
      <c r="T3008" s="5"/>
      <c r="U3008" s="35"/>
      <c r="V3008" s="171"/>
    </row>
    <row r="3009" customFormat="false" ht="15" hidden="false" customHeight="true" outlineLevel="0" collapsed="false">
      <c r="B3009" s="5"/>
      <c r="C3009" s="155"/>
      <c r="D3009" s="156"/>
      <c r="F3009" s="157"/>
      <c r="G3009" s="5"/>
      <c r="H3009" s="5"/>
      <c r="I3009" s="5"/>
      <c r="J3009" s="158"/>
      <c r="K3009" s="159"/>
      <c r="L3009" s="160"/>
      <c r="M3009" s="161"/>
      <c r="N3009" s="162"/>
      <c r="O3009" s="163"/>
      <c r="P3009" s="163"/>
      <c r="Q3009" s="158"/>
      <c r="R3009" s="5"/>
      <c r="S3009" s="5"/>
      <c r="T3009" s="5"/>
      <c r="U3009" s="35"/>
      <c r="V3009" s="164"/>
    </row>
    <row r="3010" customFormat="false" ht="15" hidden="false" customHeight="true" outlineLevel="0" collapsed="false">
      <c r="C3010" s="155"/>
      <c r="D3010" s="156"/>
      <c r="F3010" s="157"/>
      <c r="G3010" s="5"/>
      <c r="H3010" s="165"/>
      <c r="I3010" s="165"/>
      <c r="J3010" s="158"/>
      <c r="K3010" s="159"/>
      <c r="L3010" s="166"/>
      <c r="M3010" s="167"/>
      <c r="N3010" s="168"/>
      <c r="O3010" s="163"/>
      <c r="P3010" s="163"/>
      <c r="Q3010" s="158"/>
      <c r="R3010" s="5"/>
      <c r="S3010" s="169"/>
      <c r="T3010" s="158"/>
      <c r="U3010" s="35"/>
      <c r="V3010" s="164"/>
    </row>
    <row r="3011" customFormat="false" ht="15" hidden="false" customHeight="true" outlineLevel="0" collapsed="false">
      <c r="B3011" s="5"/>
      <c r="C3011" s="155"/>
      <c r="D3011" s="156"/>
      <c r="F3011" s="170"/>
      <c r="G3011" s="5"/>
      <c r="H3011" s="5"/>
      <c r="I3011" s="5"/>
      <c r="J3011" s="158"/>
      <c r="K3011" s="163"/>
      <c r="L3011" s="160"/>
      <c r="M3011" s="174"/>
      <c r="N3011" s="168"/>
      <c r="O3011" s="163"/>
      <c r="P3011" s="160"/>
      <c r="Q3011" s="197"/>
      <c r="R3011" s="5"/>
      <c r="S3011" s="5"/>
      <c r="T3011" s="198"/>
      <c r="U3011" s="165"/>
      <c r="V3011" s="164"/>
      <c r="W3011" s="116"/>
      <c r="X3011" s="116"/>
      <c r="Y3011" s="116"/>
    </row>
    <row r="3012" customFormat="false" ht="15" hidden="false" customHeight="true" outlineLevel="0" collapsed="false">
      <c r="B3012" s="5"/>
      <c r="C3012" s="155"/>
      <c r="D3012" s="156"/>
      <c r="F3012" s="170"/>
      <c r="G3012" s="5"/>
      <c r="H3012" s="5"/>
      <c r="I3012" s="5"/>
      <c r="J3012" s="158"/>
      <c r="K3012" s="163"/>
      <c r="L3012" s="160"/>
      <c r="M3012" s="174"/>
      <c r="N3012" s="168"/>
      <c r="O3012" s="163"/>
      <c r="P3012" s="160"/>
      <c r="Q3012" s="175"/>
      <c r="R3012" s="5"/>
      <c r="S3012" s="5"/>
      <c r="T3012" s="5"/>
      <c r="U3012" s="35"/>
      <c r="V3012" s="171"/>
      <c r="W3012" s="116"/>
    </row>
    <row r="3013" customFormat="false" ht="15" hidden="false" customHeight="true" outlineLevel="0" collapsed="false">
      <c r="B3013" s="5"/>
      <c r="C3013" s="155"/>
      <c r="D3013" s="156"/>
      <c r="F3013" s="157"/>
      <c r="G3013" s="5"/>
      <c r="H3013" s="5"/>
      <c r="I3013" s="5"/>
      <c r="J3013" s="158"/>
      <c r="K3013" s="159"/>
      <c r="L3013" s="160"/>
      <c r="M3013" s="161"/>
      <c r="N3013" s="162"/>
      <c r="O3013" s="163"/>
      <c r="P3013" s="163"/>
      <c r="Q3013" s="158"/>
      <c r="R3013" s="5"/>
      <c r="S3013" s="5"/>
      <c r="T3013" s="5"/>
      <c r="U3013" s="35"/>
      <c r="V3013" s="164"/>
    </row>
    <row r="3014" customFormat="false" ht="15" hidden="false" customHeight="true" outlineLevel="0" collapsed="false">
      <c r="B3014" s="5"/>
      <c r="C3014" s="155"/>
      <c r="D3014" s="156"/>
      <c r="F3014" s="157"/>
      <c r="G3014" s="5"/>
      <c r="H3014" s="5"/>
      <c r="I3014" s="5"/>
      <c r="J3014" s="158"/>
      <c r="K3014" s="159"/>
      <c r="L3014" s="160"/>
      <c r="M3014" s="161"/>
      <c r="N3014" s="162"/>
      <c r="O3014" s="163"/>
      <c r="P3014" s="163"/>
      <c r="Q3014" s="158"/>
      <c r="R3014" s="5"/>
      <c r="S3014" s="5"/>
      <c r="T3014" s="5"/>
      <c r="U3014" s="35"/>
      <c r="V3014" s="164"/>
    </row>
    <row r="3015" customFormat="false" ht="15" hidden="false" customHeight="true" outlineLevel="0" collapsed="false">
      <c r="B3015" s="5"/>
      <c r="C3015" s="155"/>
      <c r="D3015" s="156"/>
      <c r="F3015" s="157"/>
      <c r="G3015" s="5"/>
      <c r="H3015" s="5"/>
      <c r="I3015" s="5"/>
      <c r="J3015" s="158"/>
      <c r="K3015" s="159"/>
      <c r="L3015" s="160"/>
      <c r="M3015" s="161"/>
      <c r="N3015" s="162"/>
      <c r="O3015" s="163"/>
      <c r="P3015" s="163"/>
      <c r="Q3015" s="158"/>
      <c r="R3015" s="5"/>
      <c r="S3015" s="5"/>
      <c r="T3015" s="5"/>
      <c r="U3015" s="35"/>
      <c r="V3015" s="164"/>
    </row>
    <row r="3016" customFormat="false" ht="15" hidden="false" customHeight="true" outlineLevel="0" collapsed="false">
      <c r="C3016" s="155"/>
      <c r="D3016" s="156"/>
      <c r="F3016" s="157"/>
      <c r="G3016" s="5"/>
      <c r="H3016" s="165"/>
      <c r="I3016" s="165"/>
      <c r="J3016" s="158"/>
      <c r="K3016" s="159"/>
      <c r="L3016" s="166"/>
      <c r="M3016" s="167"/>
      <c r="N3016" s="168"/>
      <c r="O3016" s="163"/>
      <c r="P3016" s="163"/>
      <c r="Q3016" s="158"/>
      <c r="R3016" s="5"/>
      <c r="S3016" s="169"/>
      <c r="T3016" s="158"/>
      <c r="U3016" s="35"/>
      <c r="V3016" s="164"/>
    </row>
    <row r="3017" customFormat="false" ht="15" hidden="false" customHeight="true" outlineLevel="0" collapsed="false">
      <c r="C3017" s="155"/>
      <c r="D3017" s="156"/>
      <c r="F3017" s="157"/>
      <c r="G3017" s="5"/>
      <c r="H3017" s="165"/>
      <c r="I3017" s="165"/>
      <c r="J3017" s="158"/>
      <c r="K3017" s="159"/>
      <c r="L3017" s="166"/>
      <c r="M3017" s="167"/>
      <c r="N3017" s="168"/>
      <c r="O3017" s="163"/>
      <c r="P3017" s="163"/>
      <c r="Q3017" s="158"/>
      <c r="R3017" s="5"/>
      <c r="S3017" s="169"/>
      <c r="T3017" s="158"/>
      <c r="U3017" s="35"/>
      <c r="V3017" s="164"/>
    </row>
    <row r="3018" customFormat="false" ht="15" hidden="false" customHeight="true" outlineLevel="0" collapsed="false">
      <c r="C3018" s="155"/>
      <c r="D3018" s="156"/>
      <c r="F3018" s="157"/>
      <c r="G3018" s="5"/>
      <c r="H3018" s="165"/>
      <c r="I3018" s="165"/>
      <c r="J3018" s="158"/>
      <c r="K3018" s="159"/>
      <c r="L3018" s="166"/>
      <c r="M3018" s="167"/>
      <c r="N3018" s="168"/>
      <c r="O3018" s="163"/>
      <c r="P3018" s="163"/>
      <c r="Q3018" s="158"/>
      <c r="R3018" s="5"/>
      <c r="S3018" s="169"/>
      <c r="T3018" s="158"/>
      <c r="U3018" s="35"/>
      <c r="V3018" s="164"/>
    </row>
    <row r="3019" customFormat="false" ht="15" hidden="false" customHeight="true" outlineLevel="0" collapsed="false">
      <c r="C3019" s="155"/>
      <c r="D3019" s="156"/>
      <c r="F3019" s="157"/>
      <c r="G3019" s="5"/>
      <c r="H3019" s="165"/>
      <c r="I3019" s="165"/>
      <c r="J3019" s="158"/>
      <c r="K3019" s="159"/>
      <c r="L3019" s="166"/>
      <c r="M3019" s="167"/>
      <c r="N3019" s="168"/>
      <c r="O3019" s="163"/>
      <c r="P3019" s="163"/>
      <c r="Q3019" s="158"/>
      <c r="R3019" s="5"/>
      <c r="S3019" s="169"/>
      <c r="T3019" s="158"/>
      <c r="U3019" s="35"/>
      <c r="V3019" s="164"/>
    </row>
    <row r="3020" customFormat="false" ht="15" hidden="false" customHeight="true" outlineLevel="0" collapsed="false">
      <c r="C3020" s="155"/>
      <c r="D3020" s="156"/>
      <c r="F3020" s="157"/>
      <c r="G3020" s="5"/>
      <c r="H3020" s="165"/>
      <c r="I3020" s="165"/>
      <c r="J3020" s="158"/>
      <c r="K3020" s="159"/>
      <c r="L3020" s="166"/>
      <c r="M3020" s="167"/>
      <c r="N3020" s="168"/>
      <c r="O3020" s="163"/>
      <c r="P3020" s="163"/>
      <c r="Q3020" s="158"/>
      <c r="R3020" s="5"/>
      <c r="S3020" s="169"/>
      <c r="T3020" s="158"/>
      <c r="U3020" s="35"/>
      <c r="V3020" s="164"/>
    </row>
    <row r="3021" customFormat="false" ht="15" hidden="false" customHeight="true" outlineLevel="0" collapsed="false">
      <c r="B3021" s="5"/>
      <c r="C3021" s="155"/>
      <c r="D3021" s="156"/>
      <c r="F3021" s="170"/>
      <c r="G3021" s="5"/>
      <c r="H3021" s="5"/>
      <c r="I3021" s="5"/>
      <c r="J3021" s="158"/>
      <c r="K3021" s="163"/>
      <c r="L3021" s="160"/>
      <c r="M3021" s="174"/>
      <c r="N3021" s="168"/>
      <c r="O3021" s="163"/>
      <c r="P3021" s="160"/>
      <c r="Q3021" s="175"/>
      <c r="R3021" s="5"/>
      <c r="S3021" s="5"/>
      <c r="T3021" s="5"/>
      <c r="U3021" s="35"/>
      <c r="V3021" s="171"/>
      <c r="W3021" s="116"/>
      <c r="X3021" s="116"/>
      <c r="Y3021" s="116"/>
    </row>
    <row r="3022" customFormat="false" ht="15" hidden="false" customHeight="true" outlineLevel="0" collapsed="false">
      <c r="C3022" s="155"/>
      <c r="D3022" s="156"/>
      <c r="F3022" s="157"/>
      <c r="G3022" s="5"/>
      <c r="H3022" s="165"/>
      <c r="I3022" s="165"/>
      <c r="J3022" s="158"/>
      <c r="K3022" s="159"/>
      <c r="L3022" s="166"/>
      <c r="M3022" s="167"/>
      <c r="N3022" s="168"/>
      <c r="O3022" s="163"/>
      <c r="P3022" s="163"/>
      <c r="Q3022" s="158"/>
      <c r="R3022" s="5"/>
      <c r="S3022" s="169"/>
      <c r="T3022" s="158"/>
      <c r="U3022" s="35"/>
      <c r="V3022" s="164"/>
    </row>
    <row r="3023" customFormat="false" ht="15" hidden="false" customHeight="true" outlineLevel="0" collapsed="false">
      <c r="C3023" s="155"/>
      <c r="D3023" s="156"/>
      <c r="F3023" s="157"/>
      <c r="G3023" s="5"/>
      <c r="H3023" s="165"/>
      <c r="I3023" s="165"/>
      <c r="J3023" s="158"/>
      <c r="K3023" s="159"/>
      <c r="L3023" s="166"/>
      <c r="M3023" s="167"/>
      <c r="N3023" s="168"/>
      <c r="O3023" s="163"/>
      <c r="P3023" s="163"/>
      <c r="Q3023" s="158"/>
      <c r="R3023" s="5"/>
      <c r="S3023" s="169"/>
      <c r="T3023" s="158"/>
      <c r="U3023" s="35"/>
      <c r="V3023" s="164"/>
    </row>
    <row r="3024" customFormat="false" ht="15" hidden="false" customHeight="true" outlineLevel="0" collapsed="false">
      <c r="C3024" s="155"/>
      <c r="D3024" s="156"/>
      <c r="F3024" s="157"/>
      <c r="G3024" s="5"/>
      <c r="H3024" s="165"/>
      <c r="I3024" s="165"/>
      <c r="J3024" s="158"/>
      <c r="K3024" s="159"/>
      <c r="L3024" s="166"/>
      <c r="M3024" s="167"/>
      <c r="N3024" s="168"/>
      <c r="O3024" s="163"/>
      <c r="P3024" s="163"/>
      <c r="Q3024" s="158"/>
      <c r="R3024" s="5"/>
      <c r="S3024" s="169"/>
      <c r="T3024" s="158"/>
      <c r="U3024" s="35"/>
      <c r="V3024" s="164"/>
    </row>
    <row r="3025" customFormat="false" ht="15" hidden="false" customHeight="true" outlineLevel="0" collapsed="false">
      <c r="C3025" s="155"/>
      <c r="D3025" s="156"/>
      <c r="F3025" s="157"/>
      <c r="G3025" s="5"/>
      <c r="H3025" s="165"/>
      <c r="I3025" s="165"/>
      <c r="J3025" s="158"/>
      <c r="K3025" s="159"/>
      <c r="L3025" s="166"/>
      <c r="M3025" s="167"/>
      <c r="N3025" s="168"/>
      <c r="O3025" s="163"/>
      <c r="P3025" s="163"/>
      <c r="Q3025" s="158"/>
      <c r="R3025" s="5"/>
      <c r="S3025" s="169"/>
      <c r="T3025" s="158"/>
      <c r="U3025" s="35"/>
      <c r="V3025" s="164"/>
    </row>
    <row r="3026" customFormat="false" ht="15" hidden="false" customHeight="true" outlineLevel="0" collapsed="false">
      <c r="B3026" s="5"/>
      <c r="C3026" s="155"/>
      <c r="D3026" s="156"/>
      <c r="F3026" s="170"/>
      <c r="G3026" s="5"/>
      <c r="H3026" s="5"/>
      <c r="I3026" s="5"/>
      <c r="J3026" s="158"/>
      <c r="K3026" s="163"/>
      <c r="L3026" s="160"/>
      <c r="M3026" s="174"/>
      <c r="N3026" s="168"/>
      <c r="O3026" s="160"/>
      <c r="P3026" s="160"/>
      <c r="Q3026" s="175"/>
      <c r="R3026" s="5"/>
      <c r="S3026" s="5"/>
      <c r="T3026" s="5"/>
      <c r="U3026" s="165"/>
      <c r="V3026" s="171"/>
      <c r="W3026" s="116"/>
      <c r="X3026" s="116"/>
      <c r="Y3026" s="116"/>
    </row>
    <row r="3027" customFormat="false" ht="15" hidden="false" customHeight="true" outlineLevel="0" collapsed="false">
      <c r="B3027" s="5"/>
      <c r="C3027" s="155"/>
      <c r="D3027" s="156"/>
      <c r="F3027" s="157"/>
      <c r="G3027" s="5"/>
      <c r="H3027" s="5"/>
      <c r="I3027" s="5"/>
      <c r="J3027" s="158"/>
      <c r="K3027" s="159"/>
      <c r="L3027" s="160"/>
      <c r="M3027" s="177"/>
      <c r="N3027" s="162"/>
      <c r="O3027" s="163"/>
      <c r="P3027" s="163"/>
      <c r="Q3027" s="158"/>
      <c r="R3027" s="5"/>
      <c r="S3027" s="5"/>
      <c r="T3027" s="5"/>
      <c r="U3027" s="35"/>
      <c r="V3027" s="171"/>
    </row>
    <row r="3028" customFormat="false" ht="15" hidden="false" customHeight="true" outlineLevel="0" collapsed="false">
      <c r="C3028" s="155"/>
      <c r="D3028" s="156"/>
      <c r="F3028" s="157"/>
      <c r="G3028" s="5"/>
      <c r="H3028" s="165"/>
      <c r="I3028" s="165"/>
      <c r="J3028" s="158"/>
      <c r="K3028" s="159"/>
      <c r="L3028" s="166"/>
      <c r="M3028" s="167"/>
      <c r="N3028" s="168"/>
      <c r="O3028" s="163"/>
      <c r="P3028" s="163"/>
      <c r="Q3028" s="158"/>
      <c r="R3028" s="5"/>
      <c r="S3028" s="169"/>
      <c r="T3028" s="158"/>
      <c r="U3028" s="35"/>
      <c r="V3028" s="164"/>
    </row>
    <row r="3029" customFormat="false" ht="15" hidden="false" customHeight="true" outlineLevel="0" collapsed="false">
      <c r="B3029" s="5"/>
      <c r="C3029" s="155"/>
      <c r="D3029" s="156"/>
      <c r="F3029" s="157"/>
      <c r="G3029" s="5"/>
      <c r="H3029" s="5"/>
      <c r="I3029" s="5"/>
      <c r="J3029" s="158"/>
      <c r="K3029" s="159"/>
      <c r="L3029" s="160"/>
      <c r="M3029" s="161"/>
      <c r="N3029" s="162"/>
      <c r="O3029" s="163"/>
      <c r="P3029" s="163"/>
      <c r="Q3029" s="158"/>
      <c r="R3029" s="5"/>
      <c r="S3029" s="5"/>
      <c r="T3029" s="5"/>
      <c r="U3029" s="35"/>
      <c r="V3029" s="171"/>
    </row>
    <row r="3030" customFormat="false" ht="15" hidden="false" customHeight="true" outlineLevel="0" collapsed="false">
      <c r="B3030" s="5"/>
      <c r="C3030" s="155"/>
      <c r="D3030" s="156"/>
      <c r="F3030" s="157"/>
      <c r="G3030" s="5"/>
      <c r="H3030" s="5"/>
      <c r="I3030" s="5"/>
      <c r="J3030" s="158"/>
      <c r="K3030" s="159"/>
      <c r="L3030" s="160"/>
      <c r="M3030" s="177"/>
      <c r="N3030" s="162"/>
      <c r="O3030" s="163"/>
      <c r="P3030" s="163"/>
      <c r="Q3030" s="158"/>
      <c r="R3030" s="5"/>
      <c r="S3030" s="5"/>
      <c r="T3030" s="5"/>
      <c r="U3030" s="35"/>
      <c r="V3030" s="171"/>
    </row>
    <row r="3031" customFormat="false" ht="15" hidden="false" customHeight="true" outlineLevel="0" collapsed="false">
      <c r="B3031" s="5"/>
      <c r="C3031" s="155"/>
      <c r="D3031" s="156"/>
      <c r="F3031" s="157"/>
      <c r="G3031" s="5"/>
      <c r="H3031" s="5"/>
      <c r="I3031" s="5"/>
      <c r="J3031" s="158"/>
      <c r="K3031" s="159"/>
      <c r="L3031" s="160"/>
      <c r="M3031" s="177"/>
      <c r="N3031" s="162"/>
      <c r="O3031" s="163"/>
      <c r="P3031" s="163"/>
      <c r="Q3031" s="158"/>
      <c r="R3031" s="5"/>
      <c r="S3031" s="5"/>
      <c r="T3031" s="5"/>
      <c r="U3031" s="35"/>
      <c r="V3031" s="171"/>
    </row>
    <row r="3032" customFormat="false" ht="15" hidden="false" customHeight="true" outlineLevel="0" collapsed="false">
      <c r="B3032" s="5"/>
      <c r="C3032" s="155"/>
      <c r="D3032" s="156"/>
      <c r="F3032" s="157"/>
      <c r="G3032" s="5"/>
      <c r="H3032" s="5"/>
      <c r="I3032" s="5"/>
      <c r="J3032" s="158"/>
      <c r="K3032" s="159"/>
      <c r="L3032" s="160"/>
      <c r="N3032" s="162"/>
      <c r="O3032" s="163"/>
      <c r="P3032" s="163"/>
      <c r="Q3032" s="158"/>
      <c r="R3032" s="5"/>
      <c r="S3032" s="5"/>
      <c r="T3032" s="5"/>
      <c r="U3032" s="35"/>
      <c r="V3032" s="164"/>
    </row>
    <row r="3033" customFormat="false" ht="15" hidden="false" customHeight="true" outlineLevel="0" collapsed="false">
      <c r="B3033" s="5"/>
      <c r="C3033" s="155"/>
      <c r="D3033" s="156"/>
      <c r="F3033" s="157"/>
      <c r="G3033" s="5"/>
      <c r="H3033" s="5"/>
      <c r="I3033" s="5"/>
      <c r="J3033" s="158"/>
      <c r="K3033" s="159"/>
      <c r="L3033" s="160"/>
      <c r="M3033" s="161"/>
      <c r="N3033" s="162"/>
      <c r="O3033" s="163"/>
      <c r="P3033" s="163"/>
      <c r="Q3033" s="158"/>
      <c r="R3033" s="5"/>
      <c r="S3033" s="5"/>
      <c r="T3033" s="5"/>
      <c r="U3033" s="35"/>
      <c r="V3033" s="164"/>
    </row>
    <row r="3034" customFormat="false" ht="15" hidden="false" customHeight="true" outlineLevel="0" collapsed="false">
      <c r="C3034" s="155"/>
      <c r="D3034" s="156"/>
      <c r="F3034" s="157"/>
      <c r="G3034" s="5"/>
      <c r="H3034" s="165"/>
      <c r="I3034" s="165"/>
      <c r="J3034" s="158"/>
      <c r="K3034" s="159"/>
      <c r="L3034" s="166"/>
      <c r="M3034" s="167"/>
      <c r="N3034" s="168"/>
      <c r="O3034" s="163"/>
      <c r="P3034" s="163"/>
      <c r="Q3034" s="158"/>
      <c r="R3034" s="5"/>
      <c r="S3034" s="169"/>
      <c r="T3034" s="158"/>
      <c r="U3034" s="35"/>
      <c r="V3034" s="164"/>
    </row>
    <row r="3035" customFormat="false" ht="15" hidden="false" customHeight="true" outlineLevel="0" collapsed="false">
      <c r="C3035" s="155"/>
      <c r="D3035" s="156"/>
      <c r="F3035" s="157"/>
      <c r="G3035" s="5"/>
      <c r="H3035" s="165"/>
      <c r="I3035" s="165"/>
      <c r="J3035" s="158"/>
      <c r="K3035" s="159"/>
      <c r="L3035" s="166"/>
      <c r="M3035" s="167"/>
      <c r="N3035" s="168"/>
      <c r="O3035" s="163"/>
      <c r="P3035" s="163"/>
      <c r="Q3035" s="158"/>
      <c r="R3035" s="5"/>
      <c r="S3035" s="169"/>
      <c r="T3035" s="158"/>
      <c r="U3035" s="35"/>
      <c r="V3035" s="164"/>
    </row>
    <row r="3036" customFormat="false" ht="15" hidden="false" customHeight="true" outlineLevel="0" collapsed="false">
      <c r="C3036" s="155"/>
      <c r="D3036" s="156"/>
      <c r="F3036" s="157"/>
      <c r="G3036" s="5"/>
      <c r="H3036" s="165"/>
      <c r="I3036" s="165"/>
      <c r="J3036" s="158"/>
      <c r="K3036" s="159"/>
      <c r="L3036" s="166"/>
      <c r="M3036" s="167"/>
      <c r="N3036" s="168"/>
      <c r="O3036" s="163"/>
      <c r="P3036" s="163"/>
      <c r="Q3036" s="158"/>
      <c r="R3036" s="5"/>
      <c r="S3036" s="169"/>
      <c r="T3036" s="158"/>
      <c r="U3036" s="35"/>
      <c r="V3036" s="164"/>
    </row>
    <row r="3037" customFormat="false" ht="15" hidden="false" customHeight="true" outlineLevel="0" collapsed="false">
      <c r="B3037" s="5"/>
      <c r="C3037" s="155"/>
      <c r="D3037" s="156"/>
      <c r="F3037" s="170"/>
      <c r="G3037" s="5"/>
      <c r="H3037" s="5"/>
      <c r="I3037" s="5"/>
      <c r="J3037" s="158"/>
      <c r="K3037" s="163"/>
      <c r="L3037" s="160"/>
      <c r="M3037" s="174"/>
      <c r="N3037" s="168"/>
      <c r="O3037" s="163"/>
      <c r="P3037" s="160"/>
      <c r="Q3037" s="175"/>
      <c r="R3037" s="5"/>
      <c r="S3037" s="5"/>
      <c r="T3037" s="5"/>
      <c r="U3037" s="35"/>
      <c r="V3037" s="171"/>
      <c r="W3037" s="116"/>
      <c r="X3037" s="176"/>
    </row>
    <row r="3038" customFormat="false" ht="15" hidden="false" customHeight="true" outlineLevel="0" collapsed="false">
      <c r="B3038" s="5"/>
      <c r="C3038" s="155"/>
      <c r="D3038" s="156"/>
      <c r="F3038" s="170"/>
      <c r="G3038" s="5"/>
      <c r="H3038" s="5"/>
      <c r="I3038" s="5"/>
      <c r="J3038" s="158"/>
      <c r="K3038" s="163"/>
      <c r="L3038" s="160"/>
      <c r="M3038" s="174"/>
      <c r="N3038" s="168"/>
      <c r="O3038" s="163"/>
      <c r="P3038" s="160"/>
      <c r="Q3038" s="175"/>
      <c r="R3038" s="5"/>
      <c r="S3038" s="5"/>
      <c r="T3038" s="5"/>
      <c r="U3038" s="35"/>
      <c r="V3038" s="171"/>
      <c r="W3038" s="170"/>
      <c r="X3038" s="176"/>
    </row>
    <row r="3039" customFormat="false" ht="15" hidden="false" customHeight="true" outlineLevel="0" collapsed="false">
      <c r="B3039" s="5"/>
      <c r="C3039" s="155"/>
      <c r="D3039" s="156"/>
      <c r="F3039" s="170"/>
      <c r="G3039" s="5"/>
      <c r="H3039" s="5"/>
      <c r="I3039" s="5"/>
      <c r="J3039" s="158"/>
      <c r="K3039" s="163"/>
      <c r="L3039" s="160"/>
      <c r="M3039" s="174"/>
      <c r="N3039" s="168"/>
      <c r="O3039" s="163"/>
      <c r="P3039" s="160"/>
      <c r="Q3039" s="175"/>
      <c r="R3039" s="5"/>
      <c r="S3039" s="5"/>
      <c r="T3039" s="5"/>
      <c r="U3039" s="35"/>
      <c r="V3039" s="171"/>
      <c r="W3039" s="170"/>
      <c r="X3039" s="176"/>
    </row>
    <row r="3040" customFormat="false" ht="15" hidden="false" customHeight="true" outlineLevel="0" collapsed="false">
      <c r="B3040" s="5"/>
      <c r="C3040" s="155"/>
      <c r="D3040" s="156"/>
      <c r="F3040" s="170"/>
      <c r="G3040" s="5"/>
      <c r="H3040" s="5"/>
      <c r="I3040" s="5"/>
      <c r="J3040" s="158"/>
      <c r="K3040" s="163"/>
      <c r="L3040" s="160"/>
      <c r="M3040" s="174"/>
      <c r="N3040" s="168"/>
      <c r="O3040" s="163"/>
      <c r="P3040" s="160"/>
      <c r="Q3040" s="175"/>
      <c r="R3040" s="5"/>
      <c r="S3040" s="5"/>
      <c r="T3040" s="5"/>
      <c r="U3040" s="35"/>
      <c r="V3040" s="171"/>
      <c r="W3040" s="170"/>
      <c r="X3040" s="176"/>
    </row>
    <row r="3041" customFormat="false" ht="15" hidden="false" customHeight="true" outlineLevel="0" collapsed="false">
      <c r="B3041" s="5"/>
      <c r="C3041" s="155"/>
      <c r="D3041" s="156"/>
      <c r="F3041" s="157"/>
      <c r="G3041" s="5"/>
      <c r="H3041" s="5"/>
      <c r="I3041" s="5"/>
      <c r="J3041" s="158"/>
      <c r="K3041" s="159"/>
      <c r="L3041" s="160"/>
      <c r="M3041" s="161"/>
      <c r="N3041" s="162"/>
      <c r="O3041" s="163"/>
      <c r="P3041" s="163"/>
      <c r="Q3041" s="158"/>
      <c r="R3041" s="5"/>
      <c r="S3041" s="5"/>
      <c r="T3041" s="5"/>
      <c r="U3041" s="35"/>
      <c r="V3041" s="171"/>
    </row>
    <row r="3042" customFormat="false" ht="15" hidden="false" customHeight="true" outlineLevel="0" collapsed="false">
      <c r="B3042" s="5"/>
      <c r="C3042" s="155"/>
      <c r="D3042" s="156"/>
      <c r="F3042" s="170"/>
      <c r="G3042" s="5"/>
      <c r="H3042" s="5"/>
      <c r="I3042" s="5"/>
      <c r="J3042" s="158"/>
      <c r="K3042" s="159"/>
      <c r="L3042" s="160"/>
      <c r="M3042" s="174"/>
      <c r="N3042" s="168"/>
      <c r="O3042" s="163"/>
      <c r="P3042" s="160"/>
      <c r="Q3042" s="5"/>
      <c r="R3042" s="5"/>
      <c r="S3042" s="5"/>
      <c r="T3042" s="5"/>
      <c r="U3042" s="35"/>
      <c r="V3042" s="171"/>
    </row>
    <row r="3043" customFormat="false" ht="15" hidden="false" customHeight="true" outlineLevel="0" collapsed="false">
      <c r="C3043" s="155"/>
      <c r="D3043" s="156"/>
      <c r="F3043" s="157"/>
      <c r="G3043" s="5"/>
      <c r="H3043" s="165"/>
      <c r="I3043" s="165"/>
      <c r="J3043" s="158"/>
      <c r="K3043" s="159"/>
      <c r="L3043" s="166"/>
      <c r="M3043" s="167"/>
      <c r="N3043" s="168"/>
      <c r="O3043" s="163"/>
      <c r="P3043" s="163"/>
      <c r="Q3043" s="158"/>
      <c r="R3043" s="5"/>
      <c r="S3043" s="169"/>
      <c r="T3043" s="158"/>
      <c r="U3043" s="35"/>
      <c r="V3043" s="164"/>
    </row>
    <row r="3044" customFormat="false" ht="15" hidden="false" customHeight="true" outlineLevel="0" collapsed="false">
      <c r="B3044" s="5"/>
      <c r="C3044" s="155"/>
      <c r="D3044" s="156"/>
      <c r="F3044" s="170"/>
      <c r="G3044" s="5"/>
      <c r="H3044" s="5"/>
      <c r="I3044" s="5"/>
      <c r="J3044" s="158"/>
      <c r="K3044" s="163"/>
      <c r="L3044" s="160"/>
      <c r="M3044" s="174"/>
      <c r="N3044" s="168"/>
      <c r="O3044" s="163"/>
      <c r="P3044" s="160"/>
      <c r="Q3044" s="175"/>
      <c r="R3044" s="5"/>
      <c r="S3044" s="5"/>
      <c r="T3044" s="5"/>
      <c r="U3044" s="35"/>
      <c r="V3044" s="171"/>
      <c r="W3044" s="116"/>
      <c r="X3044" s="116"/>
      <c r="Y3044" s="116"/>
    </row>
    <row r="3045" customFormat="false" ht="15" hidden="false" customHeight="true" outlineLevel="0" collapsed="false">
      <c r="B3045" s="5"/>
      <c r="C3045" s="155"/>
      <c r="D3045" s="156"/>
      <c r="F3045" s="157"/>
      <c r="G3045" s="5"/>
      <c r="H3045" s="5"/>
      <c r="I3045" s="5"/>
      <c r="J3045" s="158"/>
      <c r="K3045" s="159"/>
      <c r="L3045" s="160"/>
      <c r="M3045" s="161"/>
      <c r="N3045" s="162"/>
      <c r="O3045" s="163"/>
      <c r="P3045" s="163"/>
      <c r="Q3045" s="158"/>
      <c r="R3045" s="5"/>
      <c r="S3045" s="5"/>
      <c r="T3045" s="5"/>
      <c r="U3045" s="35"/>
      <c r="V3045" s="171"/>
    </row>
    <row r="3046" customFormat="false" ht="15" hidden="false" customHeight="true" outlineLevel="0" collapsed="false">
      <c r="C3046" s="155"/>
      <c r="D3046" s="156"/>
      <c r="F3046" s="157"/>
      <c r="G3046" s="5"/>
      <c r="H3046" s="165"/>
      <c r="I3046" s="165"/>
      <c r="J3046" s="158"/>
      <c r="K3046" s="159"/>
      <c r="L3046" s="166"/>
      <c r="M3046" s="167"/>
      <c r="N3046" s="168"/>
      <c r="O3046" s="163"/>
      <c r="P3046" s="163"/>
      <c r="Q3046" s="158"/>
      <c r="R3046" s="5"/>
      <c r="S3046" s="169"/>
      <c r="T3046" s="158"/>
      <c r="U3046" s="35"/>
      <c r="V3046" s="164"/>
    </row>
    <row r="3047" customFormat="false" ht="15" hidden="false" customHeight="true" outlineLevel="0" collapsed="false">
      <c r="B3047" s="5"/>
      <c r="C3047" s="155"/>
      <c r="D3047" s="156"/>
      <c r="F3047" s="157"/>
      <c r="G3047" s="5"/>
      <c r="H3047" s="5"/>
      <c r="I3047" s="5"/>
      <c r="J3047" s="158"/>
      <c r="K3047" s="159"/>
      <c r="L3047" s="160"/>
      <c r="M3047" s="161"/>
      <c r="N3047" s="162"/>
      <c r="O3047" s="163"/>
      <c r="P3047" s="163"/>
      <c r="Q3047" s="5"/>
      <c r="R3047" s="5"/>
      <c r="S3047" s="5"/>
      <c r="T3047" s="5"/>
      <c r="U3047" s="35"/>
      <c r="V3047" s="164"/>
    </row>
    <row r="3048" customFormat="false" ht="15" hidden="false" customHeight="true" outlineLevel="0" collapsed="false">
      <c r="C3048" s="155"/>
      <c r="D3048" s="156"/>
      <c r="F3048" s="157"/>
      <c r="G3048" s="5"/>
      <c r="H3048" s="165"/>
      <c r="I3048" s="165"/>
      <c r="J3048" s="158"/>
      <c r="K3048" s="159"/>
      <c r="L3048" s="166"/>
      <c r="M3048" s="167"/>
      <c r="N3048" s="168"/>
      <c r="O3048" s="163"/>
      <c r="P3048" s="163"/>
      <c r="Q3048" s="158"/>
      <c r="R3048" s="5"/>
      <c r="S3048" s="169"/>
      <c r="T3048" s="158"/>
      <c r="U3048" s="35"/>
      <c r="V3048" s="164"/>
    </row>
    <row r="3049" customFormat="false" ht="15" hidden="false" customHeight="true" outlineLevel="0" collapsed="false">
      <c r="B3049" s="5"/>
      <c r="C3049" s="155"/>
      <c r="D3049" s="156"/>
      <c r="F3049" s="170"/>
      <c r="G3049" s="5"/>
      <c r="H3049" s="5"/>
      <c r="I3049" s="5"/>
      <c r="J3049" s="158"/>
      <c r="K3049" s="163"/>
      <c r="L3049" s="160"/>
      <c r="M3049" s="174"/>
      <c r="N3049" s="168"/>
      <c r="O3049" s="163"/>
      <c r="P3049" s="160"/>
      <c r="Q3049" s="175"/>
      <c r="R3049" s="5"/>
      <c r="S3049" s="5"/>
      <c r="T3049" s="5"/>
      <c r="U3049" s="35"/>
      <c r="V3049" s="171"/>
      <c r="W3049" s="116"/>
      <c r="X3049" s="116"/>
      <c r="Y3049" s="116"/>
    </row>
    <row r="3050" customFormat="false" ht="15" hidden="false" customHeight="true" outlineLevel="0" collapsed="false">
      <c r="B3050" s="5"/>
      <c r="C3050" s="155"/>
      <c r="D3050" s="156"/>
      <c r="F3050" s="170"/>
      <c r="G3050" s="5"/>
      <c r="H3050" s="5"/>
      <c r="I3050" s="5"/>
      <c r="J3050" s="158"/>
      <c r="K3050" s="163"/>
      <c r="L3050" s="160"/>
      <c r="M3050" s="174"/>
      <c r="N3050" s="168"/>
      <c r="O3050" s="163"/>
      <c r="P3050" s="160"/>
      <c r="Q3050" s="175"/>
      <c r="R3050" s="5"/>
      <c r="S3050" s="5"/>
      <c r="T3050" s="5"/>
      <c r="U3050" s="35"/>
      <c r="V3050" s="171"/>
      <c r="W3050" s="116"/>
    </row>
    <row r="3051" customFormat="false" ht="15" hidden="false" customHeight="true" outlineLevel="0" collapsed="false">
      <c r="B3051" s="5"/>
      <c r="C3051" s="155"/>
      <c r="D3051" s="156"/>
      <c r="F3051" s="170"/>
      <c r="G3051" s="5"/>
      <c r="H3051" s="5"/>
      <c r="I3051" s="5"/>
      <c r="J3051" s="158"/>
      <c r="K3051" s="163"/>
      <c r="L3051" s="160"/>
      <c r="M3051" s="174"/>
      <c r="N3051" s="168"/>
      <c r="O3051" s="163"/>
      <c r="P3051" s="160"/>
      <c r="Q3051" s="175"/>
      <c r="R3051" s="5"/>
      <c r="S3051" s="5"/>
      <c r="T3051" s="5"/>
      <c r="U3051" s="35"/>
      <c r="V3051" s="171"/>
      <c r="W3051" s="170"/>
      <c r="X3051" s="176"/>
    </row>
    <row r="3052" customFormat="false" ht="15" hidden="false" customHeight="true" outlineLevel="0" collapsed="false">
      <c r="C3052" s="155"/>
      <c r="D3052" s="156"/>
      <c r="F3052" s="157"/>
      <c r="G3052" s="5"/>
      <c r="H3052" s="165"/>
      <c r="I3052" s="165"/>
      <c r="J3052" s="158"/>
      <c r="K3052" s="159"/>
      <c r="L3052" s="166"/>
      <c r="M3052" s="167"/>
      <c r="N3052" s="168"/>
      <c r="O3052" s="163"/>
      <c r="P3052" s="163"/>
      <c r="Q3052" s="158"/>
      <c r="R3052" s="5"/>
      <c r="S3052" s="169"/>
      <c r="T3052" s="158"/>
      <c r="U3052" s="35"/>
      <c r="V3052" s="164"/>
    </row>
    <row r="3053" customFormat="false" ht="15" hidden="false" customHeight="true" outlineLevel="0" collapsed="false">
      <c r="C3053" s="155"/>
      <c r="D3053" s="156"/>
      <c r="F3053" s="157"/>
      <c r="G3053" s="5"/>
      <c r="H3053" s="165"/>
      <c r="I3053" s="165"/>
      <c r="J3053" s="158"/>
      <c r="K3053" s="159"/>
      <c r="L3053" s="166"/>
      <c r="M3053" s="167"/>
      <c r="N3053" s="168"/>
      <c r="O3053" s="163"/>
      <c r="P3053" s="163"/>
      <c r="Q3053" s="158"/>
      <c r="R3053" s="5"/>
      <c r="S3053" s="169"/>
      <c r="T3053" s="158"/>
      <c r="U3053" s="35"/>
      <c r="V3053" s="164"/>
    </row>
    <row r="3054" customFormat="false" ht="15" hidden="false" customHeight="true" outlineLevel="0" collapsed="false">
      <c r="C3054" s="155"/>
      <c r="D3054" s="156"/>
      <c r="F3054" s="157"/>
      <c r="G3054" s="5"/>
      <c r="H3054" s="165"/>
      <c r="I3054" s="165"/>
      <c r="J3054" s="158"/>
      <c r="K3054" s="159"/>
      <c r="L3054" s="166"/>
      <c r="M3054" s="167"/>
      <c r="N3054" s="168"/>
      <c r="O3054" s="163"/>
      <c r="P3054" s="163"/>
      <c r="Q3054" s="158"/>
      <c r="R3054" s="5"/>
      <c r="S3054" s="169"/>
      <c r="T3054" s="158"/>
      <c r="U3054" s="35"/>
      <c r="V3054" s="164"/>
    </row>
    <row r="3055" customFormat="false" ht="15" hidden="false" customHeight="true" outlineLevel="0" collapsed="false">
      <c r="B3055" s="5"/>
      <c r="C3055" s="155"/>
      <c r="D3055" s="156"/>
      <c r="F3055" s="170"/>
      <c r="G3055" s="5"/>
      <c r="H3055" s="5"/>
      <c r="I3055" s="5"/>
      <c r="J3055" s="158"/>
      <c r="K3055" s="163"/>
      <c r="L3055" s="160"/>
      <c r="M3055" s="174"/>
      <c r="N3055" s="168"/>
      <c r="O3055" s="163"/>
      <c r="P3055" s="160"/>
      <c r="Q3055" s="175"/>
      <c r="R3055" s="5"/>
      <c r="S3055" s="5"/>
      <c r="T3055" s="5"/>
      <c r="U3055" s="35"/>
      <c r="V3055" s="171"/>
      <c r="W3055" s="170"/>
      <c r="X3055" s="176"/>
    </row>
    <row r="3056" customFormat="false" ht="15" hidden="false" customHeight="true" outlineLevel="0" collapsed="false">
      <c r="B3056" s="5"/>
      <c r="C3056" s="155"/>
      <c r="D3056" s="156"/>
      <c r="F3056" s="157"/>
      <c r="G3056" s="5"/>
      <c r="H3056" s="5"/>
      <c r="I3056" s="5"/>
      <c r="J3056" s="158"/>
      <c r="K3056" s="159"/>
      <c r="L3056" s="160"/>
      <c r="M3056" s="177"/>
      <c r="N3056" s="162"/>
      <c r="O3056" s="163"/>
      <c r="P3056" s="163"/>
      <c r="Q3056" s="158"/>
      <c r="R3056" s="5"/>
      <c r="S3056" s="5"/>
      <c r="T3056" s="5"/>
      <c r="U3056" s="35"/>
      <c r="V3056" s="171"/>
    </row>
    <row r="3057" customFormat="false" ht="15" hidden="false" customHeight="true" outlineLevel="0" collapsed="false">
      <c r="B3057" s="5"/>
      <c r="C3057" s="155"/>
      <c r="D3057" s="156"/>
      <c r="F3057" s="157"/>
      <c r="G3057" s="5"/>
      <c r="H3057" s="5"/>
      <c r="I3057" s="5"/>
      <c r="J3057" s="158"/>
      <c r="K3057" s="159"/>
      <c r="L3057" s="160"/>
      <c r="M3057" s="161"/>
      <c r="N3057" s="162"/>
      <c r="O3057" s="163"/>
      <c r="P3057" s="163"/>
      <c r="Q3057" s="158"/>
      <c r="R3057" s="5"/>
      <c r="S3057" s="5"/>
      <c r="T3057" s="5"/>
      <c r="U3057" s="35"/>
      <c r="V3057" s="164"/>
    </row>
    <row r="3058" customFormat="false" ht="15" hidden="false" customHeight="true" outlineLevel="0" collapsed="false">
      <c r="B3058" s="5"/>
      <c r="C3058" s="155"/>
      <c r="D3058" s="156"/>
      <c r="F3058" s="157"/>
      <c r="G3058" s="5"/>
      <c r="H3058" s="5"/>
      <c r="I3058" s="5"/>
      <c r="J3058" s="158"/>
      <c r="K3058" s="159"/>
      <c r="L3058" s="160"/>
      <c r="M3058" s="161"/>
      <c r="N3058" s="162"/>
      <c r="O3058" s="163"/>
      <c r="P3058" s="163"/>
      <c r="Q3058" s="158"/>
      <c r="R3058" s="5"/>
      <c r="S3058" s="5"/>
      <c r="T3058" s="5"/>
      <c r="U3058" s="35"/>
      <c r="V3058" s="164"/>
    </row>
    <row r="3059" customFormat="false" ht="15" hidden="false" customHeight="true" outlineLevel="0" collapsed="false">
      <c r="C3059" s="155"/>
      <c r="D3059" s="156"/>
      <c r="F3059" s="157"/>
      <c r="G3059" s="5"/>
      <c r="H3059" s="165"/>
      <c r="I3059" s="165"/>
      <c r="J3059" s="158"/>
      <c r="K3059" s="159"/>
      <c r="L3059" s="166"/>
      <c r="M3059" s="167"/>
      <c r="N3059" s="168"/>
      <c r="O3059" s="163"/>
      <c r="P3059" s="163"/>
      <c r="Q3059" s="158"/>
      <c r="R3059" s="5"/>
      <c r="S3059" s="169"/>
      <c r="T3059" s="158"/>
      <c r="U3059" s="35"/>
      <c r="V3059" s="164"/>
    </row>
    <row r="3060" customFormat="false" ht="15" hidden="false" customHeight="true" outlineLevel="0" collapsed="false">
      <c r="B3060" s="5"/>
      <c r="C3060" s="155"/>
      <c r="D3060" s="156"/>
      <c r="F3060" s="157"/>
      <c r="G3060" s="5"/>
      <c r="H3060" s="5"/>
      <c r="I3060" s="5"/>
      <c r="J3060" s="158"/>
      <c r="K3060" s="159"/>
      <c r="L3060" s="160"/>
      <c r="M3060" s="161"/>
      <c r="N3060" s="162"/>
      <c r="O3060" s="163"/>
      <c r="P3060" s="163"/>
      <c r="Q3060" s="158"/>
      <c r="R3060" s="5"/>
      <c r="S3060" s="5"/>
      <c r="T3060" s="5"/>
      <c r="U3060" s="35"/>
      <c r="V3060" s="164"/>
    </row>
    <row r="3061" customFormat="false" ht="15" hidden="false" customHeight="true" outlineLevel="0" collapsed="false">
      <c r="B3061" s="5"/>
      <c r="C3061" s="155"/>
      <c r="D3061" s="156"/>
      <c r="F3061" s="170"/>
      <c r="G3061" s="5"/>
      <c r="H3061" s="5"/>
      <c r="I3061" s="5"/>
      <c r="J3061" s="158"/>
      <c r="K3061" s="163"/>
      <c r="L3061" s="160"/>
      <c r="M3061" s="174"/>
      <c r="N3061" s="168"/>
      <c r="O3061" s="163"/>
      <c r="P3061" s="160"/>
      <c r="Q3061" s="175"/>
      <c r="R3061" s="5"/>
      <c r="S3061" s="5"/>
      <c r="T3061" s="5"/>
      <c r="U3061" s="165"/>
      <c r="V3061" s="164"/>
      <c r="W3061" s="116"/>
      <c r="X3061" s="116"/>
      <c r="Y3061" s="116"/>
    </row>
    <row r="3062" customFormat="false" ht="15" hidden="false" customHeight="true" outlineLevel="0" collapsed="false">
      <c r="B3062" s="5"/>
      <c r="C3062" s="155"/>
      <c r="D3062" s="156"/>
      <c r="F3062" s="170"/>
      <c r="G3062" s="5"/>
      <c r="H3062" s="5"/>
      <c r="I3062" s="5"/>
      <c r="J3062" s="158"/>
      <c r="K3062" s="159"/>
      <c r="L3062" s="160"/>
      <c r="M3062" s="161"/>
      <c r="N3062" s="162"/>
      <c r="O3062" s="163"/>
      <c r="P3062" s="163"/>
      <c r="Q3062" s="5"/>
      <c r="R3062" s="5"/>
      <c r="S3062" s="5"/>
      <c r="T3062" s="5"/>
      <c r="U3062" s="35"/>
      <c r="V3062" s="171"/>
      <c r="W3062" s="172"/>
      <c r="X3062" s="173"/>
    </row>
    <row r="3063" customFormat="false" ht="15" hidden="false" customHeight="true" outlineLevel="0" collapsed="false">
      <c r="B3063" s="5"/>
      <c r="C3063" s="155"/>
      <c r="D3063" s="156"/>
      <c r="F3063" s="170"/>
      <c r="G3063" s="5"/>
      <c r="H3063" s="5"/>
      <c r="I3063" s="5"/>
      <c r="J3063" s="158"/>
      <c r="K3063" s="159"/>
      <c r="L3063" s="160"/>
      <c r="M3063" s="178"/>
      <c r="N3063" s="162"/>
      <c r="O3063" s="163"/>
      <c r="P3063" s="163"/>
      <c r="Q3063" s="5"/>
      <c r="R3063" s="5"/>
      <c r="S3063" s="5"/>
      <c r="T3063" s="5"/>
      <c r="U3063" s="35"/>
      <c r="V3063" s="171"/>
    </row>
    <row r="3064" customFormat="false" ht="15" hidden="false" customHeight="true" outlineLevel="0" collapsed="false">
      <c r="B3064" s="5"/>
      <c r="C3064" s="155"/>
      <c r="D3064" s="156"/>
      <c r="F3064" s="170"/>
      <c r="G3064" s="5"/>
      <c r="H3064" s="5"/>
      <c r="I3064" s="5"/>
      <c r="J3064" s="158"/>
      <c r="K3064" s="159"/>
      <c r="L3064" s="160"/>
      <c r="M3064" s="161"/>
      <c r="N3064" s="162"/>
      <c r="O3064" s="163"/>
      <c r="P3064" s="160"/>
      <c r="Q3064" s="5"/>
      <c r="R3064" s="5"/>
      <c r="S3064" s="5"/>
      <c r="T3064" s="5"/>
      <c r="U3064" s="35"/>
      <c r="V3064" s="171"/>
      <c r="W3064" s="172"/>
      <c r="X3064" s="173"/>
    </row>
    <row r="3065" customFormat="false" ht="15" hidden="false" customHeight="true" outlineLevel="0" collapsed="false">
      <c r="B3065" s="5"/>
      <c r="C3065" s="155"/>
      <c r="D3065" s="156"/>
      <c r="F3065" s="170"/>
      <c r="G3065" s="5"/>
      <c r="H3065" s="5"/>
      <c r="I3065" s="5"/>
      <c r="J3065" s="158"/>
      <c r="K3065" s="159"/>
      <c r="L3065" s="160"/>
      <c r="M3065" s="174"/>
      <c r="N3065" s="168"/>
      <c r="O3065" s="163"/>
      <c r="P3065" s="160"/>
      <c r="Q3065" s="175"/>
      <c r="R3065" s="5"/>
      <c r="S3065" s="5"/>
      <c r="T3065" s="5"/>
      <c r="U3065" s="35"/>
      <c r="V3065" s="171"/>
    </row>
    <row r="3066" customFormat="false" ht="15" hidden="false" customHeight="true" outlineLevel="0" collapsed="false">
      <c r="B3066" s="5"/>
      <c r="C3066" s="155"/>
      <c r="D3066" s="156"/>
      <c r="F3066" s="170"/>
      <c r="G3066" s="5"/>
      <c r="H3066" s="5"/>
      <c r="I3066" s="5"/>
      <c r="J3066" s="158"/>
      <c r="K3066" s="159"/>
      <c r="L3066" s="160"/>
      <c r="M3066" s="174"/>
      <c r="N3066" s="168"/>
      <c r="O3066" s="163"/>
      <c r="P3066" s="160"/>
      <c r="Q3066" s="5"/>
      <c r="R3066" s="5"/>
      <c r="S3066" s="5"/>
      <c r="T3066" s="5"/>
      <c r="U3066" s="35"/>
      <c r="V3066" s="171"/>
    </row>
    <row r="3067" customFormat="false" ht="15" hidden="false" customHeight="true" outlineLevel="0" collapsed="false">
      <c r="B3067" s="5"/>
      <c r="C3067" s="155"/>
      <c r="D3067" s="156"/>
      <c r="F3067" s="170"/>
      <c r="G3067" s="5"/>
      <c r="H3067" s="5"/>
      <c r="I3067" s="5"/>
      <c r="J3067" s="158"/>
      <c r="K3067" s="159"/>
      <c r="L3067" s="160"/>
      <c r="M3067" s="178"/>
      <c r="N3067" s="162"/>
      <c r="O3067" s="163"/>
      <c r="P3067" s="163"/>
      <c r="Q3067" s="5"/>
      <c r="R3067" s="5"/>
      <c r="S3067" s="5"/>
      <c r="T3067" s="5"/>
      <c r="U3067" s="35"/>
      <c r="V3067" s="171"/>
    </row>
    <row r="3068" customFormat="false" ht="15" hidden="false" customHeight="true" outlineLevel="0" collapsed="false">
      <c r="B3068" s="5"/>
      <c r="C3068" s="155"/>
      <c r="D3068" s="156"/>
      <c r="F3068" s="170"/>
      <c r="G3068" s="5"/>
      <c r="H3068" s="5"/>
      <c r="I3068" s="5"/>
      <c r="J3068" s="158"/>
      <c r="K3068" s="159"/>
      <c r="L3068" s="160"/>
      <c r="M3068" s="161"/>
      <c r="N3068" s="162"/>
      <c r="O3068" s="163"/>
      <c r="P3068" s="160"/>
      <c r="Q3068" s="5"/>
      <c r="R3068" s="5"/>
      <c r="S3068" s="5"/>
      <c r="T3068" s="5"/>
      <c r="U3068" s="35"/>
      <c r="V3068" s="171"/>
      <c r="W3068" s="172"/>
      <c r="X3068" s="173"/>
    </row>
    <row r="3069" customFormat="false" ht="15" hidden="false" customHeight="true" outlineLevel="0" collapsed="false">
      <c r="B3069" s="5"/>
      <c r="C3069" s="155"/>
      <c r="D3069" s="156"/>
      <c r="F3069" s="170"/>
      <c r="G3069" s="5"/>
      <c r="H3069" s="5"/>
      <c r="I3069" s="5"/>
      <c r="J3069" s="158"/>
      <c r="K3069" s="159"/>
      <c r="L3069" s="160"/>
      <c r="M3069" s="161"/>
      <c r="N3069" s="162"/>
      <c r="O3069" s="163"/>
      <c r="P3069" s="160"/>
      <c r="Q3069" s="5"/>
      <c r="R3069" s="5"/>
      <c r="S3069" s="5"/>
      <c r="T3069" s="5"/>
      <c r="U3069" s="35"/>
      <c r="V3069" s="171"/>
      <c r="W3069" s="172"/>
      <c r="X3069" s="173"/>
    </row>
    <row r="3070" customFormat="false" ht="15" hidden="false" customHeight="true" outlineLevel="0" collapsed="false">
      <c r="B3070" s="5"/>
      <c r="C3070" s="155"/>
      <c r="D3070" s="156"/>
      <c r="F3070" s="157"/>
      <c r="G3070" s="5"/>
      <c r="H3070" s="5"/>
      <c r="I3070" s="5"/>
      <c r="J3070" s="158"/>
      <c r="K3070" s="159"/>
      <c r="L3070" s="160"/>
      <c r="M3070" s="161"/>
      <c r="N3070" s="162"/>
      <c r="O3070" s="163"/>
      <c r="P3070" s="163"/>
      <c r="Q3070" s="158"/>
      <c r="R3070" s="5"/>
      <c r="S3070" s="5"/>
      <c r="T3070" s="5"/>
      <c r="U3070" s="35"/>
      <c r="V3070" s="171"/>
    </row>
    <row r="3071" customFormat="false" ht="15" hidden="false" customHeight="true" outlineLevel="0" collapsed="false">
      <c r="B3071" s="5"/>
      <c r="C3071" s="155"/>
      <c r="D3071" s="156"/>
      <c r="F3071" s="157"/>
      <c r="G3071" s="5"/>
      <c r="H3071" s="5"/>
      <c r="I3071" s="5"/>
      <c r="J3071" s="158"/>
      <c r="K3071" s="159"/>
      <c r="L3071" s="160"/>
      <c r="M3071" s="161"/>
      <c r="N3071" s="162"/>
      <c r="O3071" s="163"/>
      <c r="P3071" s="163"/>
      <c r="Q3071" s="158"/>
      <c r="R3071" s="5"/>
      <c r="S3071" s="5"/>
      <c r="T3071" s="5"/>
      <c r="U3071" s="35"/>
      <c r="V3071" s="164"/>
    </row>
    <row r="3072" customFormat="false" ht="15" hidden="false" customHeight="true" outlineLevel="0" collapsed="false">
      <c r="B3072" s="5"/>
      <c r="C3072" s="155"/>
      <c r="D3072" s="156"/>
      <c r="F3072" s="157"/>
      <c r="G3072" s="5"/>
      <c r="H3072" s="5"/>
      <c r="I3072" s="5"/>
      <c r="J3072" s="158"/>
      <c r="K3072" s="159"/>
      <c r="L3072" s="160"/>
      <c r="M3072" s="161"/>
      <c r="N3072" s="162"/>
      <c r="O3072" s="163"/>
      <c r="P3072" s="163"/>
      <c r="Q3072" s="158"/>
      <c r="R3072" s="5"/>
      <c r="S3072" s="5"/>
      <c r="T3072" s="5"/>
      <c r="U3072" s="35"/>
      <c r="V3072" s="164"/>
    </row>
    <row r="3073" customFormat="false" ht="15" hidden="false" customHeight="true" outlineLevel="0" collapsed="false">
      <c r="B3073" s="5"/>
      <c r="C3073" s="155"/>
      <c r="D3073" s="156"/>
      <c r="F3073" s="157"/>
      <c r="G3073" s="5"/>
      <c r="H3073" s="5"/>
      <c r="I3073" s="5"/>
      <c r="J3073" s="158"/>
      <c r="K3073" s="159"/>
      <c r="L3073" s="160"/>
      <c r="M3073" s="161"/>
      <c r="N3073" s="162"/>
      <c r="O3073" s="163"/>
      <c r="P3073" s="163"/>
      <c r="Q3073" s="158"/>
      <c r="R3073" s="5"/>
      <c r="S3073" s="5"/>
      <c r="T3073" s="5"/>
      <c r="U3073" s="35"/>
      <c r="V3073" s="164"/>
    </row>
    <row r="3074" customFormat="false" ht="15" hidden="false" customHeight="true" outlineLevel="0" collapsed="false">
      <c r="B3074" s="5"/>
      <c r="C3074" s="155"/>
      <c r="D3074" s="156"/>
      <c r="F3074" s="157"/>
      <c r="G3074" s="5"/>
      <c r="H3074" s="5"/>
      <c r="I3074" s="5"/>
      <c r="J3074" s="158"/>
      <c r="K3074" s="159"/>
      <c r="L3074" s="160"/>
      <c r="M3074" s="161"/>
      <c r="N3074" s="162"/>
      <c r="O3074" s="163"/>
      <c r="P3074" s="163"/>
      <c r="Q3074" s="158"/>
      <c r="R3074" s="5"/>
      <c r="S3074" s="5"/>
      <c r="T3074" s="5"/>
      <c r="U3074" s="35"/>
      <c r="V3074" s="164"/>
    </row>
    <row r="3075" customFormat="false" ht="15" hidden="false" customHeight="true" outlineLevel="0" collapsed="false">
      <c r="C3075" s="155"/>
      <c r="D3075" s="156"/>
      <c r="F3075" s="157"/>
      <c r="G3075" s="5"/>
      <c r="H3075" s="165"/>
      <c r="I3075" s="165"/>
      <c r="J3075" s="158"/>
      <c r="K3075" s="159"/>
      <c r="L3075" s="166"/>
      <c r="M3075" s="167"/>
      <c r="N3075" s="168"/>
      <c r="O3075" s="163"/>
      <c r="P3075" s="163"/>
      <c r="Q3075" s="158"/>
      <c r="R3075" s="5"/>
      <c r="S3075" s="169"/>
      <c r="T3075" s="158"/>
      <c r="U3075" s="35"/>
      <c r="V3075" s="164"/>
    </row>
    <row r="3076" customFormat="false" ht="15" hidden="false" customHeight="true" outlineLevel="0" collapsed="false">
      <c r="C3076" s="155"/>
      <c r="D3076" s="156"/>
      <c r="F3076" s="157"/>
      <c r="G3076" s="5"/>
      <c r="H3076" s="165"/>
      <c r="I3076" s="165"/>
      <c r="J3076" s="158"/>
      <c r="K3076" s="159"/>
      <c r="L3076" s="166"/>
      <c r="M3076" s="167"/>
      <c r="N3076" s="168"/>
      <c r="O3076" s="163"/>
      <c r="P3076" s="163"/>
      <c r="Q3076" s="158"/>
      <c r="R3076" s="5"/>
      <c r="S3076" s="169"/>
      <c r="T3076" s="158"/>
      <c r="U3076" s="35"/>
      <c r="V3076" s="164"/>
    </row>
    <row r="3077" customFormat="false" ht="15" hidden="false" customHeight="true" outlineLevel="0" collapsed="false">
      <c r="C3077" s="155"/>
      <c r="D3077" s="156"/>
      <c r="F3077" s="157"/>
      <c r="G3077" s="5"/>
      <c r="H3077" s="165"/>
      <c r="I3077" s="165"/>
      <c r="J3077" s="158"/>
      <c r="K3077" s="159"/>
      <c r="L3077" s="166"/>
      <c r="M3077" s="167"/>
      <c r="N3077" s="168"/>
      <c r="O3077" s="163"/>
      <c r="P3077" s="163"/>
      <c r="Q3077" s="158"/>
      <c r="R3077" s="5"/>
      <c r="S3077" s="169"/>
      <c r="T3077" s="158"/>
      <c r="U3077" s="35"/>
      <c r="V3077" s="164"/>
    </row>
    <row r="3078" customFormat="false" ht="15" hidden="false" customHeight="true" outlineLevel="0" collapsed="false">
      <c r="C3078" s="155"/>
      <c r="D3078" s="156"/>
      <c r="F3078" s="157"/>
      <c r="G3078" s="5"/>
      <c r="H3078" s="165"/>
      <c r="I3078" s="165"/>
      <c r="J3078" s="158"/>
      <c r="K3078" s="159"/>
      <c r="L3078" s="166"/>
      <c r="M3078" s="167"/>
      <c r="N3078" s="168"/>
      <c r="O3078" s="163"/>
      <c r="P3078" s="163"/>
      <c r="Q3078" s="158"/>
      <c r="R3078" s="5"/>
      <c r="S3078" s="169"/>
      <c r="T3078" s="158"/>
      <c r="U3078" s="35"/>
      <c r="V3078" s="164"/>
    </row>
    <row r="3079" customFormat="false" ht="15" hidden="false" customHeight="true" outlineLevel="0" collapsed="false">
      <c r="C3079" s="155"/>
      <c r="D3079" s="156"/>
      <c r="F3079" s="157"/>
      <c r="G3079" s="5"/>
      <c r="H3079" s="165"/>
      <c r="I3079" s="165"/>
      <c r="J3079" s="158"/>
      <c r="K3079" s="159"/>
      <c r="L3079" s="166"/>
      <c r="M3079" s="167"/>
      <c r="N3079" s="168"/>
      <c r="O3079" s="163"/>
      <c r="P3079" s="163"/>
      <c r="Q3079" s="158"/>
      <c r="R3079" s="5"/>
      <c r="S3079" s="169"/>
      <c r="T3079" s="158"/>
      <c r="U3079" s="35"/>
      <c r="V3079" s="164"/>
    </row>
    <row r="3080" customFormat="false" ht="15" hidden="false" customHeight="true" outlineLevel="0" collapsed="false">
      <c r="B3080" s="5"/>
      <c r="C3080" s="155"/>
      <c r="D3080" s="156"/>
      <c r="F3080" s="170"/>
      <c r="G3080" s="5"/>
      <c r="H3080" s="5"/>
      <c r="I3080" s="5"/>
      <c r="J3080" s="158"/>
      <c r="K3080" s="159"/>
      <c r="L3080" s="160"/>
      <c r="M3080" s="161"/>
      <c r="N3080" s="162"/>
      <c r="O3080" s="163"/>
      <c r="P3080" s="160"/>
      <c r="Q3080" s="5"/>
      <c r="R3080" s="5"/>
      <c r="S3080" s="5"/>
      <c r="T3080" s="5"/>
      <c r="U3080" s="35"/>
      <c r="V3080" s="171"/>
      <c r="W3080" s="172"/>
      <c r="X3080" s="173"/>
    </row>
    <row r="3081" customFormat="false" ht="15" hidden="false" customHeight="true" outlineLevel="0" collapsed="false">
      <c r="B3081" s="5"/>
      <c r="C3081" s="155"/>
      <c r="D3081" s="156"/>
      <c r="F3081" s="170"/>
      <c r="G3081" s="5"/>
      <c r="H3081" s="5"/>
      <c r="I3081" s="5"/>
      <c r="J3081" s="158"/>
      <c r="K3081" s="159"/>
      <c r="L3081" s="160"/>
      <c r="M3081" s="178"/>
      <c r="N3081" s="162"/>
      <c r="O3081" s="163"/>
      <c r="P3081" s="163"/>
      <c r="Q3081" s="5"/>
      <c r="R3081" s="5"/>
      <c r="S3081" s="5"/>
      <c r="T3081" s="5"/>
      <c r="U3081" s="35"/>
      <c r="V3081" s="171"/>
      <c r="W3081" s="172"/>
      <c r="X3081" s="173"/>
    </row>
    <row r="3082" customFormat="false" ht="15" hidden="false" customHeight="true" outlineLevel="0" collapsed="false">
      <c r="B3082" s="5"/>
      <c r="C3082" s="155"/>
      <c r="D3082" s="156"/>
      <c r="F3082" s="157"/>
      <c r="G3082" s="5"/>
      <c r="H3082" s="5"/>
      <c r="I3082" s="5"/>
      <c r="J3082" s="158"/>
      <c r="K3082" s="159"/>
      <c r="L3082" s="160"/>
      <c r="M3082" s="161"/>
      <c r="N3082" s="162"/>
      <c r="O3082" s="163"/>
      <c r="P3082" s="163"/>
      <c r="Q3082" s="158"/>
      <c r="R3082" s="5"/>
      <c r="S3082" s="5"/>
      <c r="T3082" s="5"/>
      <c r="U3082" s="35"/>
      <c r="V3082" s="171"/>
    </row>
    <row r="3083" customFormat="false" ht="15" hidden="false" customHeight="true" outlineLevel="0" collapsed="false">
      <c r="B3083" s="5"/>
      <c r="C3083" s="155"/>
      <c r="D3083" s="156"/>
      <c r="F3083" s="157"/>
      <c r="G3083" s="5"/>
      <c r="H3083" s="5"/>
      <c r="I3083" s="5"/>
      <c r="J3083" s="158"/>
      <c r="K3083" s="159"/>
      <c r="L3083" s="160"/>
      <c r="M3083" s="161"/>
      <c r="N3083" s="162"/>
      <c r="O3083" s="163"/>
      <c r="P3083" s="163"/>
      <c r="Q3083" s="158"/>
      <c r="R3083" s="5"/>
      <c r="S3083" s="5"/>
      <c r="T3083" s="5"/>
      <c r="U3083" s="35"/>
      <c r="V3083" s="171"/>
    </row>
    <row r="3084" customFormat="false" ht="15" hidden="false" customHeight="true" outlineLevel="0" collapsed="false">
      <c r="B3084" s="5"/>
      <c r="C3084" s="155"/>
      <c r="D3084" s="156"/>
      <c r="F3084" s="157"/>
      <c r="G3084" s="5"/>
      <c r="H3084" s="5"/>
      <c r="I3084" s="5"/>
      <c r="J3084" s="158"/>
      <c r="K3084" s="159"/>
      <c r="L3084" s="160"/>
      <c r="M3084" s="161"/>
      <c r="N3084" s="162"/>
      <c r="O3084" s="163"/>
      <c r="P3084" s="163"/>
      <c r="Q3084" s="158"/>
      <c r="R3084" s="5"/>
      <c r="S3084" s="5"/>
      <c r="T3084" s="5"/>
      <c r="U3084" s="35"/>
      <c r="V3084" s="171"/>
    </row>
    <row r="3085" customFormat="false" ht="15" hidden="false" customHeight="true" outlineLevel="0" collapsed="false">
      <c r="B3085" s="5"/>
      <c r="C3085" s="155"/>
      <c r="D3085" s="156"/>
      <c r="F3085" s="157"/>
      <c r="G3085" s="5"/>
      <c r="H3085" s="5"/>
      <c r="I3085" s="5"/>
      <c r="J3085" s="158"/>
      <c r="K3085" s="159"/>
      <c r="L3085" s="160"/>
      <c r="M3085" s="161"/>
      <c r="N3085" s="162"/>
      <c r="O3085" s="163"/>
      <c r="P3085" s="163"/>
      <c r="Q3085" s="158"/>
      <c r="R3085" s="5"/>
      <c r="S3085" s="5"/>
      <c r="T3085" s="5"/>
      <c r="U3085" s="35"/>
      <c r="V3085" s="171"/>
    </row>
    <row r="3086" customFormat="false" ht="15" hidden="false" customHeight="true" outlineLevel="0" collapsed="false">
      <c r="B3086" s="5"/>
      <c r="C3086" s="155"/>
      <c r="D3086" s="156"/>
      <c r="F3086" s="157"/>
      <c r="G3086" s="5"/>
      <c r="H3086" s="5"/>
      <c r="I3086" s="5"/>
      <c r="J3086" s="158"/>
      <c r="K3086" s="159"/>
      <c r="L3086" s="160"/>
      <c r="M3086" s="161"/>
      <c r="N3086" s="162"/>
      <c r="O3086" s="163"/>
      <c r="P3086" s="163"/>
      <c r="Q3086" s="158"/>
      <c r="R3086" s="5"/>
      <c r="S3086" s="5"/>
      <c r="T3086" s="5"/>
      <c r="U3086" s="35"/>
      <c r="V3086" s="164"/>
    </row>
    <row r="3087" customFormat="false" ht="15" hidden="false" customHeight="true" outlineLevel="0" collapsed="false">
      <c r="B3087" s="5"/>
      <c r="C3087" s="155"/>
      <c r="D3087" s="156"/>
      <c r="F3087" s="157"/>
      <c r="G3087" s="5"/>
      <c r="H3087" s="5"/>
      <c r="I3087" s="5"/>
      <c r="J3087" s="158"/>
      <c r="K3087" s="159"/>
      <c r="L3087" s="160"/>
      <c r="M3087" s="161"/>
      <c r="N3087" s="162"/>
      <c r="O3087" s="163"/>
      <c r="P3087" s="163"/>
      <c r="Q3087" s="158"/>
      <c r="R3087" s="5"/>
      <c r="S3087" s="5"/>
      <c r="T3087" s="5"/>
      <c r="U3087" s="35"/>
      <c r="V3087" s="164"/>
    </row>
    <row r="3088" customFormat="false" ht="15" hidden="false" customHeight="true" outlineLevel="0" collapsed="false">
      <c r="B3088" s="5"/>
      <c r="C3088" s="155"/>
      <c r="D3088" s="156"/>
      <c r="F3088" s="157"/>
      <c r="G3088" s="5"/>
      <c r="H3088" s="5"/>
      <c r="I3088" s="5"/>
      <c r="J3088" s="158"/>
      <c r="K3088" s="159"/>
      <c r="L3088" s="160"/>
      <c r="M3088" s="161"/>
      <c r="N3088" s="162"/>
      <c r="O3088" s="163"/>
      <c r="P3088" s="163"/>
      <c r="Q3088" s="158"/>
      <c r="R3088" s="5"/>
      <c r="S3088" s="5"/>
      <c r="T3088" s="5"/>
      <c r="U3088" s="35"/>
      <c r="V3088" s="164"/>
    </row>
    <row r="3089" customFormat="false" ht="15" hidden="false" customHeight="true" outlineLevel="0" collapsed="false">
      <c r="B3089" s="5"/>
      <c r="C3089" s="155"/>
      <c r="D3089" s="156"/>
      <c r="F3089" s="157"/>
      <c r="G3089" s="5"/>
      <c r="H3089" s="5"/>
      <c r="I3089" s="5"/>
      <c r="J3089" s="158"/>
      <c r="K3089" s="159"/>
      <c r="L3089" s="160"/>
      <c r="M3089" s="161"/>
      <c r="N3089" s="162"/>
      <c r="O3089" s="163"/>
      <c r="P3089" s="163"/>
      <c r="Q3089" s="158"/>
      <c r="R3089" s="5"/>
      <c r="S3089" s="5"/>
      <c r="T3089" s="5"/>
      <c r="U3089" s="35"/>
      <c r="V3089" s="164"/>
    </row>
    <row r="3090" customFormat="false" ht="15" hidden="false" customHeight="true" outlineLevel="0" collapsed="false">
      <c r="B3090" s="5"/>
      <c r="C3090" s="155"/>
      <c r="D3090" s="156"/>
      <c r="F3090" s="157"/>
      <c r="G3090" s="5"/>
      <c r="H3090" s="5"/>
      <c r="I3090" s="5"/>
      <c r="J3090" s="158"/>
      <c r="K3090" s="159"/>
      <c r="L3090" s="160"/>
      <c r="M3090" s="161"/>
      <c r="N3090" s="162"/>
      <c r="O3090" s="163"/>
      <c r="P3090" s="163"/>
      <c r="Q3090" s="158"/>
      <c r="R3090" s="5"/>
      <c r="S3090" s="5"/>
      <c r="T3090" s="5"/>
      <c r="U3090" s="35"/>
      <c r="V3090" s="164"/>
    </row>
    <row r="3091" customFormat="false" ht="15" hidden="false" customHeight="true" outlineLevel="0" collapsed="false">
      <c r="B3091" s="5"/>
      <c r="C3091" s="155"/>
      <c r="D3091" s="156"/>
      <c r="F3091" s="157"/>
      <c r="G3091" s="5"/>
      <c r="H3091" s="5"/>
      <c r="I3091" s="5"/>
      <c r="J3091" s="158"/>
      <c r="K3091" s="159"/>
      <c r="L3091" s="160"/>
      <c r="M3091" s="161"/>
      <c r="N3091" s="162"/>
      <c r="O3091" s="163"/>
      <c r="P3091" s="163"/>
      <c r="Q3091" s="158"/>
      <c r="R3091" s="5"/>
      <c r="S3091" s="5"/>
      <c r="T3091" s="5"/>
      <c r="U3091" s="35"/>
      <c r="V3091" s="164"/>
    </row>
    <row r="3092" customFormat="false" ht="15" hidden="false" customHeight="true" outlineLevel="0" collapsed="false">
      <c r="C3092" s="155"/>
      <c r="D3092" s="156"/>
      <c r="F3092" s="157"/>
      <c r="G3092" s="180"/>
      <c r="H3092" s="165"/>
      <c r="I3092" s="165"/>
      <c r="J3092" s="158"/>
      <c r="K3092" s="159"/>
      <c r="L3092" s="166"/>
      <c r="M3092" s="167"/>
      <c r="N3092" s="168"/>
      <c r="O3092" s="163"/>
      <c r="P3092" s="163"/>
      <c r="Q3092" s="158"/>
      <c r="R3092" s="5"/>
      <c r="S3092" s="169"/>
      <c r="T3092" s="158"/>
      <c r="U3092" s="35"/>
      <c r="V3092" s="164"/>
    </row>
    <row r="3093" customFormat="false" ht="15" hidden="false" customHeight="true" outlineLevel="0" collapsed="false">
      <c r="C3093" s="155"/>
      <c r="D3093" s="156"/>
      <c r="F3093" s="157"/>
      <c r="G3093" s="5"/>
      <c r="H3093" s="165"/>
      <c r="I3093" s="165"/>
      <c r="J3093" s="158"/>
      <c r="K3093" s="159"/>
      <c r="L3093" s="166"/>
      <c r="M3093" s="167"/>
      <c r="N3093" s="168"/>
      <c r="O3093" s="163"/>
      <c r="P3093" s="163"/>
      <c r="Q3093" s="158"/>
      <c r="R3093" s="5"/>
      <c r="S3093" s="169"/>
      <c r="T3093" s="158"/>
      <c r="U3093" s="35"/>
      <c r="V3093" s="164"/>
    </row>
    <row r="3094" customFormat="false" ht="15" hidden="false" customHeight="true" outlineLevel="0" collapsed="false">
      <c r="C3094" s="155"/>
      <c r="D3094" s="156"/>
      <c r="F3094" s="157"/>
      <c r="G3094" s="5"/>
      <c r="H3094" s="165"/>
      <c r="I3094" s="165"/>
      <c r="J3094" s="158"/>
      <c r="K3094" s="159"/>
      <c r="L3094" s="166"/>
      <c r="M3094" s="167"/>
      <c r="N3094" s="168"/>
      <c r="O3094" s="163"/>
      <c r="P3094" s="163"/>
      <c r="Q3094" s="158"/>
      <c r="R3094" s="5"/>
      <c r="S3094" s="169"/>
      <c r="T3094" s="158"/>
      <c r="U3094" s="35"/>
      <c r="V3094" s="164"/>
    </row>
    <row r="3095" customFormat="false" ht="15" hidden="false" customHeight="true" outlineLevel="0" collapsed="false">
      <c r="C3095" s="155"/>
      <c r="D3095" s="156"/>
      <c r="F3095" s="157"/>
      <c r="G3095" s="5"/>
      <c r="H3095" s="165"/>
      <c r="I3095" s="165"/>
      <c r="J3095" s="158"/>
      <c r="K3095" s="159"/>
      <c r="L3095" s="166"/>
      <c r="M3095" s="167"/>
      <c r="N3095" s="168"/>
      <c r="O3095" s="163"/>
      <c r="P3095" s="163"/>
      <c r="Q3095" s="158"/>
      <c r="R3095" s="5"/>
      <c r="S3095" s="169"/>
      <c r="T3095" s="158"/>
      <c r="U3095" s="35"/>
      <c r="V3095" s="164"/>
    </row>
    <row r="3096" customFormat="false" ht="15" hidden="false" customHeight="true" outlineLevel="0" collapsed="false">
      <c r="B3096" s="5"/>
      <c r="C3096" s="155"/>
      <c r="D3096" s="156"/>
      <c r="F3096" s="170"/>
      <c r="G3096" s="5"/>
      <c r="H3096" s="5"/>
      <c r="I3096" s="5"/>
      <c r="J3096" s="158"/>
      <c r="K3096" s="163"/>
      <c r="L3096" s="160"/>
      <c r="M3096" s="174"/>
      <c r="N3096" s="168"/>
      <c r="O3096" s="163"/>
      <c r="P3096" s="160"/>
      <c r="Q3096" s="175"/>
      <c r="R3096" s="5"/>
      <c r="S3096" s="5"/>
      <c r="T3096" s="5"/>
      <c r="U3096" s="165"/>
      <c r="V3096" s="164"/>
      <c r="W3096" s="116"/>
      <c r="X3096" s="116"/>
      <c r="Y3096" s="116"/>
    </row>
    <row r="3097" customFormat="false" ht="15" hidden="false" customHeight="true" outlineLevel="0" collapsed="false">
      <c r="B3097" s="5"/>
      <c r="C3097" s="155"/>
      <c r="D3097" s="156"/>
      <c r="F3097" s="170"/>
      <c r="G3097" s="5"/>
      <c r="H3097" s="5"/>
      <c r="I3097" s="5"/>
      <c r="J3097" s="158"/>
      <c r="K3097" s="163"/>
      <c r="L3097" s="160"/>
      <c r="M3097" s="174"/>
      <c r="N3097" s="168"/>
      <c r="O3097" s="163"/>
      <c r="P3097" s="160"/>
      <c r="Q3097" s="175"/>
      <c r="R3097" s="5"/>
      <c r="S3097" s="5"/>
      <c r="T3097" s="5"/>
      <c r="U3097" s="165"/>
      <c r="V3097" s="171"/>
      <c r="W3097" s="116"/>
      <c r="X3097" s="116"/>
      <c r="Y3097" s="116"/>
    </row>
    <row r="3098" customFormat="false" ht="15" hidden="false" customHeight="true" outlineLevel="0" collapsed="false">
      <c r="B3098" s="5"/>
      <c r="C3098" s="155"/>
      <c r="D3098" s="156"/>
      <c r="F3098" s="170"/>
      <c r="G3098" s="5"/>
      <c r="H3098" s="5"/>
      <c r="I3098" s="5"/>
      <c r="J3098" s="158"/>
      <c r="K3098" s="163"/>
      <c r="L3098" s="160"/>
      <c r="M3098" s="174"/>
      <c r="N3098" s="168"/>
      <c r="O3098" s="163"/>
      <c r="P3098" s="160"/>
      <c r="Q3098" s="175"/>
      <c r="R3098" s="5"/>
      <c r="S3098" s="5"/>
      <c r="T3098" s="5"/>
      <c r="U3098" s="35"/>
      <c r="V3098" s="171"/>
      <c r="W3098" s="170"/>
      <c r="X3098" s="176"/>
    </row>
    <row r="3099" customFormat="false" ht="15" hidden="false" customHeight="true" outlineLevel="0" collapsed="false">
      <c r="B3099" s="5"/>
      <c r="C3099" s="155"/>
      <c r="D3099" s="156"/>
      <c r="F3099" s="170"/>
      <c r="G3099" s="5"/>
      <c r="H3099" s="5"/>
      <c r="I3099" s="5"/>
      <c r="J3099" s="158"/>
      <c r="K3099" s="163"/>
      <c r="L3099" s="160"/>
      <c r="M3099" s="174"/>
      <c r="N3099" s="168"/>
      <c r="O3099" s="163"/>
      <c r="P3099" s="160"/>
      <c r="Q3099" s="175"/>
      <c r="R3099" s="5"/>
      <c r="S3099" s="5"/>
      <c r="T3099" s="5"/>
      <c r="U3099" s="35"/>
      <c r="V3099" s="171"/>
      <c r="W3099" s="170"/>
      <c r="X3099" s="176"/>
    </row>
    <row r="3100" customFormat="false" ht="15" hidden="false" customHeight="true" outlineLevel="0" collapsed="false">
      <c r="B3100" s="5"/>
      <c r="C3100" s="155"/>
      <c r="D3100" s="156"/>
      <c r="F3100" s="170"/>
      <c r="G3100" s="5"/>
      <c r="H3100" s="5"/>
      <c r="I3100" s="5"/>
      <c r="J3100" s="158"/>
      <c r="K3100" s="159"/>
      <c r="L3100" s="160"/>
      <c r="M3100" s="161"/>
      <c r="N3100" s="162"/>
      <c r="O3100" s="163"/>
      <c r="P3100" s="160"/>
      <c r="Q3100" s="5"/>
      <c r="R3100" s="5"/>
      <c r="S3100" s="5"/>
      <c r="T3100" s="5"/>
      <c r="U3100" s="35"/>
      <c r="V3100" s="171"/>
      <c r="W3100" s="172"/>
      <c r="X3100" s="173"/>
    </row>
    <row r="3101" customFormat="false" ht="15" hidden="false" customHeight="true" outlineLevel="0" collapsed="false">
      <c r="B3101" s="5"/>
      <c r="C3101" s="155"/>
      <c r="D3101" s="156"/>
      <c r="F3101" s="170"/>
      <c r="G3101" s="5"/>
      <c r="H3101" s="5"/>
      <c r="I3101" s="5"/>
      <c r="J3101" s="158"/>
      <c r="K3101" s="159"/>
      <c r="L3101" s="160"/>
      <c r="M3101" s="178"/>
      <c r="N3101" s="162"/>
      <c r="O3101" s="163"/>
      <c r="P3101" s="163"/>
      <c r="Q3101" s="5"/>
      <c r="R3101" s="5"/>
      <c r="S3101" s="5"/>
      <c r="T3101" s="5"/>
      <c r="U3101" s="35"/>
      <c r="V3101" s="171"/>
    </row>
    <row r="3102" customFormat="false" ht="15" hidden="false" customHeight="true" outlineLevel="0" collapsed="false">
      <c r="A3102" s="170"/>
      <c r="B3102" s="5"/>
      <c r="C3102" s="155"/>
      <c r="D3102" s="156"/>
      <c r="F3102" s="170"/>
      <c r="G3102" s="5"/>
      <c r="H3102" s="5"/>
      <c r="I3102" s="5"/>
      <c r="J3102" s="158"/>
      <c r="K3102" s="159"/>
      <c r="L3102" s="160"/>
      <c r="M3102" s="174"/>
      <c r="N3102" s="168"/>
      <c r="O3102" s="163"/>
      <c r="P3102" s="160"/>
      <c r="Q3102" s="5"/>
      <c r="R3102" s="5"/>
      <c r="S3102" s="5"/>
      <c r="T3102" s="5"/>
      <c r="U3102" s="35"/>
      <c r="V3102" s="171"/>
    </row>
    <row r="3103" customFormat="false" ht="15" hidden="false" customHeight="true" outlineLevel="0" collapsed="false">
      <c r="B3103" s="5"/>
      <c r="C3103" s="155"/>
      <c r="D3103" s="156"/>
      <c r="F3103" s="170"/>
      <c r="G3103" s="5"/>
      <c r="H3103" s="5"/>
      <c r="I3103" s="5"/>
      <c r="J3103" s="158"/>
      <c r="K3103" s="159"/>
      <c r="L3103" s="160"/>
      <c r="M3103" s="174"/>
      <c r="N3103" s="168"/>
      <c r="O3103" s="163"/>
      <c r="P3103" s="160"/>
      <c r="Q3103" s="5"/>
      <c r="R3103" s="5"/>
      <c r="S3103" s="5"/>
      <c r="T3103" s="5"/>
      <c r="U3103" s="35"/>
      <c r="V3103" s="171"/>
    </row>
    <row r="3104" customFormat="false" ht="15" hidden="false" customHeight="true" outlineLevel="0" collapsed="false">
      <c r="B3104" s="5"/>
      <c r="C3104" s="155"/>
      <c r="D3104" s="156"/>
      <c r="F3104" s="157"/>
      <c r="G3104" s="5"/>
      <c r="H3104" s="5"/>
      <c r="I3104" s="5"/>
      <c r="J3104" s="158"/>
      <c r="K3104" s="159"/>
      <c r="L3104" s="160"/>
      <c r="M3104" s="161"/>
      <c r="N3104" s="162"/>
      <c r="O3104" s="163"/>
      <c r="P3104" s="163"/>
      <c r="Q3104" s="158"/>
      <c r="R3104" s="5"/>
      <c r="S3104" s="5"/>
      <c r="T3104" s="5"/>
      <c r="U3104" s="35"/>
      <c r="V3104" s="171"/>
    </row>
    <row r="3105" customFormat="false" ht="15" hidden="false" customHeight="true" outlineLevel="0" collapsed="false">
      <c r="B3105" s="5"/>
      <c r="C3105" s="155"/>
      <c r="D3105" s="156"/>
      <c r="F3105" s="157"/>
      <c r="G3105" s="5"/>
      <c r="H3105" s="5"/>
      <c r="I3105" s="5"/>
      <c r="J3105" s="158"/>
      <c r="K3105" s="159"/>
      <c r="L3105" s="160"/>
      <c r="M3105" s="161"/>
      <c r="N3105" s="162"/>
      <c r="O3105" s="163"/>
      <c r="P3105" s="163"/>
      <c r="Q3105" s="158"/>
      <c r="R3105" s="5"/>
      <c r="S3105" s="5"/>
      <c r="T3105" s="5"/>
      <c r="U3105" s="35"/>
      <c r="V3105" s="171"/>
    </row>
    <row r="3106" customFormat="false" ht="15" hidden="false" customHeight="true" outlineLevel="0" collapsed="false">
      <c r="B3106" s="5"/>
      <c r="C3106" s="155"/>
      <c r="D3106" s="156"/>
      <c r="F3106" s="157"/>
      <c r="G3106" s="5"/>
      <c r="H3106" s="5"/>
      <c r="I3106" s="5"/>
      <c r="J3106" s="158"/>
      <c r="K3106" s="159"/>
      <c r="L3106" s="160"/>
      <c r="M3106" s="161"/>
      <c r="N3106" s="162"/>
      <c r="O3106" s="163"/>
      <c r="P3106" s="163"/>
      <c r="Q3106" s="158"/>
      <c r="R3106" s="5"/>
      <c r="S3106" s="5"/>
      <c r="T3106" s="5"/>
      <c r="U3106" s="35"/>
      <c r="V3106" s="164"/>
    </row>
    <row r="3107" customFormat="false" ht="15" hidden="false" customHeight="true" outlineLevel="0" collapsed="false">
      <c r="B3107" s="5"/>
      <c r="C3107" s="155"/>
      <c r="D3107" s="156"/>
      <c r="F3107" s="157"/>
      <c r="G3107" s="5"/>
      <c r="H3107" s="5"/>
      <c r="I3107" s="5"/>
      <c r="J3107" s="158"/>
      <c r="K3107" s="159"/>
      <c r="L3107" s="160"/>
      <c r="M3107" s="161"/>
      <c r="N3107" s="162"/>
      <c r="O3107" s="163"/>
      <c r="P3107" s="163"/>
      <c r="Q3107" s="158"/>
      <c r="R3107" s="5"/>
      <c r="S3107" s="5"/>
      <c r="T3107" s="5"/>
      <c r="U3107" s="35"/>
      <c r="V3107" s="164"/>
    </row>
    <row r="3108" customFormat="false" ht="15" hidden="false" customHeight="true" outlineLevel="0" collapsed="false">
      <c r="B3108" s="5"/>
      <c r="C3108" s="155"/>
      <c r="D3108" s="156"/>
      <c r="F3108" s="157"/>
      <c r="G3108" s="5"/>
      <c r="H3108" s="5"/>
      <c r="I3108" s="5"/>
      <c r="J3108" s="158"/>
      <c r="K3108" s="159"/>
      <c r="L3108" s="160"/>
      <c r="M3108" s="161"/>
      <c r="N3108" s="162"/>
      <c r="O3108" s="163"/>
      <c r="P3108" s="163"/>
      <c r="Q3108" s="158"/>
      <c r="R3108" s="5"/>
      <c r="S3108" s="5"/>
      <c r="T3108" s="5"/>
      <c r="U3108" s="35"/>
      <c r="V3108" s="164"/>
    </row>
    <row r="3109" customFormat="false" ht="15" hidden="false" customHeight="true" outlineLevel="0" collapsed="false">
      <c r="C3109" s="155"/>
      <c r="D3109" s="156"/>
      <c r="F3109" s="157"/>
      <c r="G3109" s="5"/>
      <c r="H3109" s="5"/>
      <c r="I3109" s="5"/>
      <c r="J3109" s="158"/>
      <c r="K3109" s="159"/>
      <c r="L3109" s="160"/>
      <c r="M3109" s="161"/>
      <c r="N3109" s="162"/>
      <c r="O3109" s="163"/>
      <c r="P3109" s="163"/>
      <c r="Q3109" s="158"/>
      <c r="R3109" s="5"/>
      <c r="S3109" s="5"/>
      <c r="T3109" s="5"/>
      <c r="U3109" s="35"/>
      <c r="V3109" s="164"/>
    </row>
    <row r="3110" customFormat="false" ht="15" hidden="false" customHeight="true" outlineLevel="0" collapsed="false">
      <c r="B3110" s="5"/>
      <c r="C3110" s="155"/>
      <c r="D3110" s="156"/>
      <c r="F3110" s="157"/>
      <c r="G3110" s="5"/>
      <c r="H3110" s="5"/>
      <c r="I3110" s="5"/>
      <c r="J3110" s="158"/>
      <c r="K3110" s="159"/>
      <c r="L3110" s="160"/>
      <c r="M3110" s="161"/>
      <c r="N3110" s="162"/>
      <c r="O3110" s="163"/>
      <c r="P3110" s="163"/>
      <c r="Q3110" s="158"/>
      <c r="R3110" s="5"/>
      <c r="S3110" s="5"/>
      <c r="T3110" s="5"/>
      <c r="U3110" s="35"/>
      <c r="V3110" s="164"/>
    </row>
    <row r="3111" customFormat="false" ht="15" hidden="false" customHeight="true" outlineLevel="0" collapsed="false">
      <c r="C3111" s="155"/>
      <c r="D3111" s="156"/>
      <c r="F3111" s="157"/>
      <c r="G3111" s="5"/>
      <c r="H3111" s="165"/>
      <c r="I3111" s="165"/>
      <c r="J3111" s="158"/>
      <c r="K3111" s="159"/>
      <c r="L3111" s="166"/>
      <c r="M3111" s="167"/>
      <c r="N3111" s="168"/>
      <c r="O3111" s="163"/>
      <c r="P3111" s="163"/>
      <c r="Q3111" s="158"/>
      <c r="R3111" s="5"/>
      <c r="S3111" s="169"/>
      <c r="T3111" s="158"/>
      <c r="U3111" s="35"/>
      <c r="V3111" s="164"/>
    </row>
    <row r="3112" customFormat="false" ht="15" hidden="false" customHeight="true" outlineLevel="0" collapsed="false">
      <c r="C3112" s="155"/>
      <c r="D3112" s="156"/>
      <c r="F3112" s="157"/>
      <c r="G3112" s="5"/>
      <c r="H3112" s="165"/>
      <c r="I3112" s="165"/>
      <c r="J3112" s="158"/>
      <c r="K3112" s="159"/>
      <c r="L3112" s="166"/>
      <c r="M3112" s="167"/>
      <c r="N3112" s="168"/>
      <c r="O3112" s="163"/>
      <c r="P3112" s="163"/>
      <c r="Q3112" s="158"/>
      <c r="R3112" s="5"/>
      <c r="S3112" s="169"/>
      <c r="T3112" s="158"/>
      <c r="U3112" s="35"/>
      <c r="V3112" s="164"/>
    </row>
    <row r="3113" customFormat="false" ht="15" hidden="false" customHeight="true" outlineLevel="0" collapsed="false">
      <c r="C3113" s="155"/>
      <c r="D3113" s="156"/>
      <c r="F3113" s="157"/>
      <c r="G3113" s="5"/>
      <c r="H3113" s="165"/>
      <c r="I3113" s="165"/>
      <c r="J3113" s="158"/>
      <c r="K3113" s="159"/>
      <c r="L3113" s="166"/>
      <c r="M3113" s="167"/>
      <c r="N3113" s="168"/>
      <c r="O3113" s="163"/>
      <c r="P3113" s="163"/>
      <c r="Q3113" s="158"/>
      <c r="R3113" s="5"/>
      <c r="S3113" s="169"/>
      <c r="T3113" s="158"/>
      <c r="U3113" s="35"/>
      <c r="V3113" s="164"/>
    </row>
    <row r="3114" s="5" customFormat="true" ht="15" hidden="false" customHeight="true" outlineLevel="0" collapsed="false">
      <c r="A3114" s="1"/>
      <c r="B3114" s="2"/>
      <c r="C3114" s="155"/>
      <c r="D3114" s="156"/>
      <c r="F3114" s="157"/>
      <c r="H3114" s="165"/>
      <c r="I3114" s="165"/>
      <c r="J3114" s="158"/>
      <c r="K3114" s="159"/>
      <c r="L3114" s="166"/>
      <c r="M3114" s="167"/>
      <c r="N3114" s="168"/>
      <c r="O3114" s="163"/>
      <c r="P3114" s="163"/>
      <c r="Q3114" s="158"/>
      <c r="S3114" s="169"/>
      <c r="T3114" s="158"/>
      <c r="U3114" s="35"/>
      <c r="V3114" s="164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  <c r="BY3114" s="1"/>
      <c r="BZ3114" s="1"/>
      <c r="CA3114" s="1"/>
      <c r="CB3114" s="1"/>
      <c r="CC3114" s="1"/>
      <c r="CD3114" s="1"/>
      <c r="CE3114" s="1"/>
      <c r="CF3114" s="1"/>
      <c r="CG3114" s="1"/>
      <c r="CH3114" s="1"/>
      <c r="CI3114" s="1"/>
      <c r="CJ3114" s="1"/>
      <c r="CK3114" s="1"/>
      <c r="CL3114" s="1"/>
      <c r="CM3114" s="1"/>
      <c r="CN3114" s="1"/>
      <c r="CO3114" s="1"/>
      <c r="CP3114" s="1"/>
      <c r="CQ3114" s="1"/>
      <c r="CR3114" s="1"/>
      <c r="CS3114" s="1"/>
      <c r="CT3114" s="1"/>
      <c r="CU3114" s="1"/>
      <c r="CV3114" s="1"/>
      <c r="CW3114" s="1"/>
      <c r="CX3114" s="1"/>
      <c r="CY3114" s="1"/>
      <c r="CZ3114" s="1"/>
      <c r="DA3114" s="1"/>
      <c r="DB3114" s="1"/>
      <c r="DC3114" s="1"/>
      <c r="DD3114" s="1"/>
      <c r="DE3114" s="1"/>
      <c r="DF3114" s="1"/>
      <c r="DG3114" s="1"/>
      <c r="DH3114" s="1"/>
      <c r="DI3114" s="1"/>
      <c r="DJ3114" s="1"/>
      <c r="DK3114" s="1"/>
      <c r="DL3114" s="1"/>
      <c r="DM3114" s="1"/>
      <c r="DN3114" s="1"/>
      <c r="DO3114" s="1"/>
      <c r="DP3114" s="1"/>
      <c r="DQ3114" s="1"/>
      <c r="DR3114" s="1"/>
      <c r="DS3114" s="1"/>
      <c r="DT3114" s="1"/>
      <c r="DU3114" s="1"/>
      <c r="DV3114" s="1"/>
      <c r="DW3114" s="1"/>
      <c r="DX3114" s="1"/>
      <c r="DY3114" s="1"/>
      <c r="DZ3114" s="1"/>
      <c r="EA3114" s="157"/>
      <c r="EC3114" s="165"/>
      <c r="ED3114" s="165"/>
      <c r="EE3114" s="158"/>
      <c r="EF3114" s="199"/>
      <c r="EG3114" s="200"/>
      <c r="EH3114" s="167"/>
      <c r="EI3114" s="168"/>
      <c r="EJ3114" s="168"/>
      <c r="EK3114" s="168"/>
      <c r="EL3114" s="158"/>
      <c r="EN3114" s="169"/>
      <c r="EO3114" s="158"/>
      <c r="EP3114" s="35"/>
      <c r="EQ3114" s="164"/>
      <c r="ER3114" s="2"/>
      <c r="ES3114" s="171"/>
      <c r="EV3114" s="157"/>
      <c r="EX3114" s="165"/>
      <c r="EY3114" s="165"/>
      <c r="EZ3114" s="158"/>
      <c r="FA3114" s="199"/>
      <c r="FB3114" s="200"/>
      <c r="FC3114" s="167"/>
      <c r="FD3114" s="168"/>
      <c r="FE3114" s="168"/>
      <c r="FF3114" s="168"/>
      <c r="FG3114" s="158"/>
      <c r="FI3114" s="169"/>
      <c r="FJ3114" s="158"/>
      <c r="FK3114" s="35"/>
      <c r="FL3114" s="164"/>
      <c r="FM3114" s="2"/>
      <c r="FN3114" s="171"/>
      <c r="FQ3114" s="157"/>
      <c r="FS3114" s="165"/>
      <c r="FT3114" s="165"/>
      <c r="FU3114" s="158"/>
      <c r="FV3114" s="199"/>
      <c r="FW3114" s="200"/>
      <c r="FX3114" s="167"/>
      <c r="FY3114" s="168"/>
      <c r="FZ3114" s="168"/>
      <c r="GA3114" s="168"/>
      <c r="GB3114" s="158"/>
      <c r="GD3114" s="169"/>
      <c r="GE3114" s="158"/>
      <c r="GF3114" s="35"/>
      <c r="GG3114" s="164"/>
      <c r="GH3114" s="2"/>
      <c r="GI3114" s="171"/>
      <c r="GL3114" s="157"/>
      <c r="GN3114" s="165"/>
      <c r="GO3114" s="165"/>
      <c r="GP3114" s="158"/>
      <c r="GQ3114" s="199"/>
      <c r="GR3114" s="200"/>
      <c r="GS3114" s="167"/>
      <c r="GT3114" s="168"/>
      <c r="GU3114" s="168"/>
      <c r="GV3114" s="168"/>
      <c r="GW3114" s="158"/>
      <c r="GY3114" s="169"/>
      <c r="GZ3114" s="158"/>
      <c r="HA3114" s="35"/>
      <c r="HB3114" s="164"/>
      <c r="HC3114" s="2"/>
      <c r="HD3114" s="171"/>
      <c r="HG3114" s="157"/>
      <c r="HI3114" s="165"/>
      <c r="HJ3114" s="165"/>
      <c r="HK3114" s="158"/>
      <c r="HL3114" s="199"/>
      <c r="HM3114" s="200"/>
      <c r="HN3114" s="167"/>
      <c r="HO3114" s="168"/>
      <c r="HP3114" s="168"/>
      <c r="HQ3114" s="168"/>
      <c r="HR3114" s="158"/>
      <c r="HT3114" s="169"/>
      <c r="HU3114" s="158"/>
      <c r="HV3114" s="35"/>
      <c r="HW3114" s="164"/>
      <c r="HX3114" s="2"/>
      <c r="HY3114" s="171"/>
      <c r="IB3114" s="157"/>
      <c r="ID3114" s="165"/>
      <c r="IE3114" s="165"/>
      <c r="IF3114" s="158"/>
      <c r="IG3114" s="199"/>
      <c r="IH3114" s="200"/>
      <c r="II3114" s="167"/>
      <c r="IJ3114" s="168"/>
      <c r="IK3114" s="168"/>
      <c r="IL3114" s="168"/>
      <c r="IM3114" s="158"/>
      <c r="IO3114" s="169"/>
      <c r="IP3114" s="158"/>
      <c r="IQ3114" s="35"/>
      <c r="IR3114" s="164"/>
      <c r="IS3114" s="2"/>
      <c r="IT3114" s="171"/>
      <c r="IW3114" s="157"/>
      <c r="IY3114" s="165"/>
      <c r="IZ3114" s="165"/>
      <c r="JA3114" s="158"/>
      <c r="JB3114" s="199"/>
      <c r="JC3114" s="200"/>
      <c r="JD3114" s="167"/>
      <c r="JE3114" s="168"/>
      <c r="JF3114" s="168"/>
      <c r="JG3114" s="168"/>
      <c r="JH3114" s="158"/>
      <c r="JJ3114" s="169"/>
      <c r="JK3114" s="158"/>
      <c r="JL3114" s="35"/>
      <c r="JM3114" s="164"/>
      <c r="JN3114" s="2"/>
      <c r="JO3114" s="171"/>
      <c r="JR3114" s="157"/>
      <c r="JT3114" s="165"/>
      <c r="JU3114" s="165"/>
      <c r="JV3114" s="158"/>
      <c r="JW3114" s="199"/>
      <c r="JX3114" s="200"/>
      <c r="JY3114" s="167"/>
      <c r="JZ3114" s="168"/>
      <c r="KA3114" s="168"/>
      <c r="KB3114" s="168"/>
      <c r="KC3114" s="158"/>
      <c r="KE3114" s="169"/>
      <c r="KF3114" s="158"/>
      <c r="KG3114" s="35"/>
      <c r="KH3114" s="164"/>
      <c r="KI3114" s="2"/>
      <c r="KJ3114" s="171"/>
      <c r="KM3114" s="157"/>
      <c r="KO3114" s="165"/>
      <c r="KP3114" s="165"/>
      <c r="KQ3114" s="158"/>
      <c r="KR3114" s="199"/>
      <c r="KS3114" s="200"/>
      <c r="KT3114" s="167"/>
      <c r="KU3114" s="168"/>
      <c r="KV3114" s="168"/>
      <c r="KW3114" s="168"/>
      <c r="KX3114" s="158"/>
      <c r="KZ3114" s="169"/>
      <c r="LA3114" s="158"/>
      <c r="LB3114" s="35"/>
      <c r="LC3114" s="164"/>
      <c r="LD3114" s="2"/>
      <c r="LE3114" s="171"/>
      <c r="LH3114" s="157"/>
      <c r="LJ3114" s="165"/>
      <c r="LK3114" s="165"/>
      <c r="LL3114" s="158"/>
      <c r="LM3114" s="199"/>
      <c r="LN3114" s="200"/>
      <c r="LO3114" s="167"/>
      <c r="LP3114" s="168"/>
      <c r="LQ3114" s="168"/>
      <c r="LR3114" s="168"/>
      <c r="LS3114" s="158"/>
      <c r="LU3114" s="169"/>
      <c r="LV3114" s="158"/>
      <c r="LW3114" s="35"/>
      <c r="LX3114" s="164"/>
      <c r="LY3114" s="2"/>
      <c r="LZ3114" s="171"/>
      <c r="MC3114" s="157"/>
      <c r="ME3114" s="165"/>
      <c r="MF3114" s="165"/>
      <c r="MG3114" s="158"/>
      <c r="MH3114" s="199"/>
      <c r="MI3114" s="200"/>
      <c r="MJ3114" s="167"/>
      <c r="MK3114" s="168"/>
      <c r="ML3114" s="168"/>
      <c r="MM3114" s="168"/>
      <c r="MN3114" s="158"/>
      <c r="MP3114" s="169"/>
      <c r="MQ3114" s="158"/>
      <c r="MR3114" s="35"/>
      <c r="MS3114" s="164"/>
      <c r="MT3114" s="2"/>
      <c r="MU3114" s="171"/>
      <c r="MX3114" s="157"/>
      <c r="MZ3114" s="165"/>
      <c r="NA3114" s="165"/>
      <c r="NB3114" s="158"/>
      <c r="NC3114" s="199"/>
      <c r="ND3114" s="200"/>
      <c r="NE3114" s="167"/>
      <c r="NF3114" s="168"/>
      <c r="NG3114" s="168"/>
      <c r="NH3114" s="168"/>
      <c r="NI3114" s="158"/>
      <c r="NK3114" s="169"/>
      <c r="NL3114" s="158"/>
      <c r="NM3114" s="35"/>
      <c r="NN3114" s="164"/>
      <c r="NO3114" s="2"/>
      <c r="NP3114" s="171"/>
      <c r="NS3114" s="157"/>
      <c r="NU3114" s="165"/>
      <c r="NV3114" s="165"/>
      <c r="NW3114" s="158"/>
      <c r="NX3114" s="199"/>
      <c r="NY3114" s="200"/>
      <c r="NZ3114" s="167"/>
      <c r="OA3114" s="168"/>
      <c r="OB3114" s="168"/>
      <c r="OC3114" s="168"/>
      <c r="OD3114" s="158"/>
      <c r="OF3114" s="169"/>
      <c r="OG3114" s="158"/>
      <c r="OH3114" s="35"/>
      <c r="OI3114" s="164"/>
      <c r="OJ3114" s="2"/>
      <c r="OK3114" s="171"/>
      <c r="ON3114" s="157"/>
      <c r="OP3114" s="165"/>
      <c r="OQ3114" s="165"/>
      <c r="OR3114" s="158"/>
      <c r="OS3114" s="199"/>
      <c r="OT3114" s="200"/>
      <c r="OU3114" s="167"/>
      <c r="OV3114" s="168"/>
      <c r="OW3114" s="168"/>
      <c r="OX3114" s="168"/>
      <c r="OY3114" s="158"/>
      <c r="PA3114" s="169"/>
      <c r="PB3114" s="158"/>
      <c r="PC3114" s="35"/>
      <c r="PD3114" s="164"/>
      <c r="PE3114" s="2"/>
      <c r="PF3114" s="171"/>
      <c r="PI3114" s="157"/>
      <c r="PK3114" s="165"/>
      <c r="PL3114" s="165"/>
      <c r="PM3114" s="158"/>
      <c r="PN3114" s="199"/>
      <c r="PO3114" s="200"/>
      <c r="PP3114" s="167"/>
      <c r="PQ3114" s="168"/>
      <c r="PR3114" s="168"/>
      <c r="PS3114" s="168"/>
      <c r="PT3114" s="158"/>
      <c r="PV3114" s="169"/>
      <c r="PW3114" s="158"/>
      <c r="PX3114" s="35"/>
      <c r="PY3114" s="164"/>
      <c r="PZ3114" s="2"/>
      <c r="QA3114" s="171"/>
      <c r="QD3114" s="157"/>
      <c r="QF3114" s="165"/>
      <c r="QG3114" s="165"/>
      <c r="QH3114" s="158"/>
      <c r="QI3114" s="199"/>
      <c r="QJ3114" s="200"/>
      <c r="QK3114" s="167"/>
      <c r="QL3114" s="168"/>
      <c r="QM3114" s="168"/>
      <c r="QN3114" s="168"/>
      <c r="QO3114" s="158"/>
      <c r="QQ3114" s="169"/>
      <c r="QR3114" s="158"/>
      <c r="QS3114" s="35"/>
      <c r="QT3114" s="164"/>
      <c r="QU3114" s="2"/>
      <c r="QV3114" s="171"/>
      <c r="QY3114" s="157"/>
      <c r="RA3114" s="165"/>
      <c r="RB3114" s="165"/>
      <c r="RC3114" s="158"/>
      <c r="RD3114" s="199"/>
      <c r="RE3114" s="200"/>
      <c r="RF3114" s="167"/>
      <c r="RG3114" s="168"/>
      <c r="RH3114" s="168"/>
      <c r="RI3114" s="168"/>
      <c r="RJ3114" s="158"/>
      <c r="RL3114" s="169"/>
      <c r="RM3114" s="158"/>
      <c r="RN3114" s="35"/>
      <c r="RO3114" s="164"/>
      <c r="RP3114" s="2"/>
      <c r="RQ3114" s="171"/>
      <c r="RT3114" s="157"/>
      <c r="RV3114" s="165"/>
      <c r="RW3114" s="165"/>
      <c r="RX3114" s="158"/>
      <c r="RY3114" s="199"/>
      <c r="RZ3114" s="200"/>
      <c r="SA3114" s="167"/>
      <c r="SB3114" s="168"/>
      <c r="SC3114" s="168"/>
      <c r="SD3114" s="168"/>
      <c r="SE3114" s="158"/>
      <c r="SG3114" s="169"/>
      <c r="SH3114" s="158"/>
      <c r="SI3114" s="35"/>
      <c r="SJ3114" s="164"/>
      <c r="SK3114" s="2"/>
      <c r="SL3114" s="171"/>
      <c r="SO3114" s="157"/>
      <c r="SQ3114" s="165"/>
      <c r="SR3114" s="165"/>
      <c r="SS3114" s="158"/>
      <c r="ST3114" s="199"/>
      <c r="SU3114" s="200"/>
      <c r="SV3114" s="167"/>
      <c r="SW3114" s="168"/>
      <c r="SX3114" s="168"/>
      <c r="SY3114" s="168"/>
      <c r="SZ3114" s="158"/>
      <c r="TB3114" s="169"/>
      <c r="TC3114" s="158"/>
      <c r="TD3114" s="35"/>
      <c r="TE3114" s="164"/>
      <c r="TF3114" s="2"/>
      <c r="TG3114" s="171"/>
      <c r="TJ3114" s="157"/>
      <c r="TL3114" s="165"/>
      <c r="TM3114" s="165"/>
      <c r="TN3114" s="158"/>
      <c r="TO3114" s="199"/>
      <c r="TP3114" s="200"/>
      <c r="TQ3114" s="167"/>
      <c r="TR3114" s="168"/>
      <c r="TS3114" s="168"/>
      <c r="TT3114" s="168"/>
      <c r="TU3114" s="158"/>
      <c r="TW3114" s="169"/>
      <c r="TX3114" s="158"/>
      <c r="TY3114" s="35"/>
      <c r="TZ3114" s="164"/>
      <c r="UA3114" s="2"/>
      <c r="UB3114" s="171"/>
      <c r="UE3114" s="157"/>
      <c r="UG3114" s="165"/>
      <c r="UH3114" s="165"/>
      <c r="UI3114" s="158"/>
      <c r="UJ3114" s="199"/>
      <c r="UK3114" s="200"/>
      <c r="UL3114" s="167"/>
      <c r="UM3114" s="168"/>
      <c r="UN3114" s="168"/>
      <c r="UO3114" s="168"/>
      <c r="UP3114" s="158"/>
      <c r="UR3114" s="169"/>
      <c r="US3114" s="158"/>
      <c r="UT3114" s="35"/>
      <c r="UU3114" s="164"/>
      <c r="UV3114" s="2"/>
      <c r="UW3114" s="171"/>
      <c r="UZ3114" s="157"/>
      <c r="VB3114" s="165"/>
      <c r="VC3114" s="165"/>
      <c r="VD3114" s="158"/>
      <c r="VE3114" s="199"/>
      <c r="VF3114" s="200"/>
      <c r="VG3114" s="167"/>
      <c r="VH3114" s="168"/>
      <c r="VI3114" s="168"/>
      <c r="VJ3114" s="168"/>
      <c r="VK3114" s="158"/>
      <c r="VM3114" s="169"/>
      <c r="VN3114" s="158"/>
      <c r="VO3114" s="35"/>
      <c r="VP3114" s="164"/>
      <c r="VQ3114" s="2"/>
      <c r="VR3114" s="171"/>
      <c r="VU3114" s="157"/>
      <c r="VW3114" s="165"/>
      <c r="VX3114" s="165"/>
      <c r="VY3114" s="158"/>
      <c r="VZ3114" s="199"/>
      <c r="WA3114" s="200"/>
      <c r="WB3114" s="167"/>
      <c r="WC3114" s="168"/>
      <c r="WD3114" s="168"/>
      <c r="WE3114" s="168"/>
      <c r="WF3114" s="158"/>
      <c r="WH3114" s="169"/>
      <c r="WI3114" s="158"/>
      <c r="WJ3114" s="35"/>
      <c r="WK3114" s="164"/>
      <c r="WL3114" s="2"/>
      <c r="WM3114" s="171"/>
      <c r="WP3114" s="157"/>
      <c r="WR3114" s="165"/>
      <c r="WS3114" s="165"/>
      <c r="WT3114" s="158"/>
      <c r="WU3114" s="199"/>
      <c r="WV3114" s="200"/>
      <c r="WW3114" s="167"/>
      <c r="WX3114" s="168"/>
      <c r="WY3114" s="168"/>
      <c r="WZ3114" s="168"/>
      <c r="XA3114" s="158"/>
      <c r="XC3114" s="169"/>
      <c r="XD3114" s="158"/>
      <c r="XE3114" s="35"/>
      <c r="XF3114" s="164"/>
      <c r="XG3114" s="2"/>
      <c r="XH3114" s="171"/>
      <c r="XK3114" s="157"/>
      <c r="XM3114" s="165"/>
      <c r="XN3114" s="165"/>
      <c r="XO3114" s="158"/>
      <c r="XP3114" s="199"/>
      <c r="XQ3114" s="200"/>
      <c r="XR3114" s="167"/>
      <c r="XS3114" s="168"/>
      <c r="XT3114" s="168"/>
      <c r="XU3114" s="168"/>
      <c r="XV3114" s="158"/>
      <c r="XX3114" s="169"/>
      <c r="XY3114" s="158"/>
      <c r="XZ3114" s="35"/>
      <c r="YA3114" s="164"/>
      <c r="YB3114" s="2"/>
      <c r="YC3114" s="171"/>
      <c r="YF3114" s="157"/>
      <c r="YH3114" s="165"/>
      <c r="YI3114" s="165"/>
      <c r="YJ3114" s="158"/>
      <c r="YK3114" s="199"/>
      <c r="YL3114" s="200"/>
      <c r="YM3114" s="167"/>
      <c r="YN3114" s="168"/>
      <c r="YO3114" s="168"/>
      <c r="YP3114" s="168"/>
      <c r="YQ3114" s="158"/>
      <c r="YS3114" s="169"/>
      <c r="YT3114" s="158"/>
      <c r="YU3114" s="35"/>
      <c r="YV3114" s="164"/>
      <c r="YW3114" s="2"/>
      <c r="YX3114" s="171"/>
      <c r="ZA3114" s="157"/>
      <c r="ZC3114" s="165"/>
      <c r="ZD3114" s="165"/>
      <c r="ZE3114" s="158"/>
      <c r="ZF3114" s="199"/>
      <c r="ZG3114" s="200"/>
      <c r="ZH3114" s="167"/>
      <c r="ZI3114" s="168"/>
      <c r="ZJ3114" s="168"/>
      <c r="ZK3114" s="168"/>
      <c r="ZL3114" s="158"/>
      <c r="ZN3114" s="169"/>
      <c r="ZO3114" s="158"/>
      <c r="ZP3114" s="35"/>
      <c r="ZQ3114" s="164"/>
      <c r="ZR3114" s="2"/>
      <c r="ZS3114" s="171"/>
      <c r="ZV3114" s="157"/>
      <c r="ZX3114" s="165"/>
      <c r="ZY3114" s="165"/>
      <c r="ZZ3114" s="158"/>
      <c r="AAA3114" s="199"/>
      <c r="AAB3114" s="200"/>
      <c r="AAC3114" s="167"/>
      <c r="AAD3114" s="168"/>
      <c r="AAE3114" s="168"/>
      <c r="AAF3114" s="168"/>
      <c r="AAG3114" s="158"/>
      <c r="AAI3114" s="169"/>
      <c r="AAJ3114" s="158"/>
      <c r="AAK3114" s="35"/>
      <c r="AAL3114" s="164"/>
      <c r="AAM3114" s="2"/>
      <c r="AAN3114" s="171"/>
      <c r="AAQ3114" s="157"/>
      <c r="AAS3114" s="165"/>
      <c r="AAT3114" s="165"/>
      <c r="AAU3114" s="158"/>
      <c r="AAV3114" s="199"/>
      <c r="AAW3114" s="200"/>
      <c r="AAX3114" s="167"/>
      <c r="AAY3114" s="168"/>
      <c r="AAZ3114" s="168"/>
      <c r="ABA3114" s="168"/>
      <c r="ABB3114" s="158"/>
      <c r="ABD3114" s="169"/>
      <c r="ABE3114" s="158"/>
      <c r="ABF3114" s="35"/>
      <c r="ABG3114" s="164"/>
      <c r="ABH3114" s="2"/>
      <c r="ABI3114" s="171"/>
      <c r="ABL3114" s="157"/>
      <c r="ABN3114" s="165"/>
      <c r="ABO3114" s="165"/>
      <c r="ABP3114" s="158"/>
      <c r="ABQ3114" s="199"/>
      <c r="ABR3114" s="200"/>
      <c r="ABS3114" s="167"/>
      <c r="ABT3114" s="168"/>
      <c r="ABU3114" s="168"/>
      <c r="ABV3114" s="168"/>
      <c r="ABW3114" s="158"/>
      <c r="ABY3114" s="169"/>
      <c r="ABZ3114" s="158"/>
      <c r="ACA3114" s="35"/>
      <c r="ACB3114" s="164"/>
      <c r="ACC3114" s="2"/>
      <c r="ACD3114" s="171"/>
      <c r="ACG3114" s="157"/>
      <c r="ACI3114" s="165"/>
      <c r="ACJ3114" s="165"/>
      <c r="ACK3114" s="158"/>
      <c r="ACL3114" s="199"/>
      <c r="ACM3114" s="200"/>
      <c r="ACN3114" s="167"/>
      <c r="ACO3114" s="168"/>
      <c r="ACP3114" s="168"/>
      <c r="ACQ3114" s="168"/>
      <c r="ACR3114" s="158"/>
      <c r="ACT3114" s="169"/>
      <c r="ACU3114" s="158"/>
      <c r="ACV3114" s="35"/>
      <c r="ACW3114" s="164"/>
      <c r="ACX3114" s="2"/>
      <c r="ACY3114" s="171"/>
      <c r="ADB3114" s="157"/>
      <c r="ADD3114" s="165"/>
      <c r="ADE3114" s="165"/>
      <c r="ADF3114" s="158"/>
      <c r="ADG3114" s="199"/>
      <c r="ADH3114" s="200"/>
      <c r="ADI3114" s="167"/>
      <c r="ADJ3114" s="168"/>
      <c r="ADK3114" s="168"/>
      <c r="ADL3114" s="168"/>
      <c r="ADM3114" s="158"/>
      <c r="ADO3114" s="169"/>
      <c r="ADP3114" s="158"/>
      <c r="ADQ3114" s="35"/>
      <c r="ADR3114" s="164"/>
      <c r="ADS3114" s="2"/>
      <c r="ADT3114" s="171"/>
      <c r="ADW3114" s="157"/>
      <c r="ADY3114" s="165"/>
      <c r="ADZ3114" s="165"/>
      <c r="AEA3114" s="158"/>
      <c r="AEB3114" s="199"/>
      <c r="AEC3114" s="200"/>
      <c r="AED3114" s="167"/>
      <c r="AEE3114" s="168"/>
      <c r="AEF3114" s="168"/>
      <c r="AEG3114" s="168"/>
      <c r="AEH3114" s="158"/>
      <c r="AEJ3114" s="169"/>
      <c r="AEK3114" s="158"/>
      <c r="AEL3114" s="35"/>
      <c r="AEM3114" s="164"/>
      <c r="AEN3114" s="2"/>
      <c r="AEO3114" s="171"/>
      <c r="AER3114" s="157"/>
      <c r="AET3114" s="165"/>
      <c r="AEU3114" s="165"/>
      <c r="AEV3114" s="158"/>
      <c r="AEW3114" s="199"/>
      <c r="AEX3114" s="200"/>
      <c r="AEY3114" s="167"/>
      <c r="AEZ3114" s="168"/>
      <c r="AFA3114" s="168"/>
      <c r="AFB3114" s="168"/>
      <c r="AFC3114" s="158"/>
      <c r="AFE3114" s="169"/>
      <c r="AFF3114" s="158"/>
      <c r="AFG3114" s="35"/>
      <c r="AFH3114" s="164"/>
      <c r="AFI3114" s="2"/>
      <c r="AFJ3114" s="171"/>
      <c r="AFM3114" s="157"/>
      <c r="AFO3114" s="165"/>
      <c r="AFP3114" s="165"/>
      <c r="AFQ3114" s="158"/>
      <c r="AFR3114" s="199"/>
      <c r="AFS3114" s="200"/>
      <c r="AFT3114" s="167"/>
      <c r="AFU3114" s="168"/>
      <c r="AFV3114" s="168"/>
      <c r="AFW3114" s="168"/>
      <c r="AFX3114" s="158"/>
      <c r="AFZ3114" s="169"/>
      <c r="AGA3114" s="158"/>
      <c r="AGB3114" s="35"/>
      <c r="AGC3114" s="164"/>
      <c r="AGD3114" s="2"/>
      <c r="AGE3114" s="171"/>
      <c r="AGH3114" s="157"/>
      <c r="AGJ3114" s="165"/>
      <c r="AGK3114" s="165"/>
      <c r="AGL3114" s="158"/>
      <c r="AGM3114" s="199"/>
      <c r="AGN3114" s="200"/>
      <c r="AGO3114" s="167"/>
      <c r="AGP3114" s="168"/>
      <c r="AGQ3114" s="168"/>
      <c r="AGR3114" s="168"/>
      <c r="AGS3114" s="158"/>
      <c r="AGU3114" s="169"/>
      <c r="AGV3114" s="158"/>
      <c r="AGW3114" s="35"/>
      <c r="AGX3114" s="164"/>
      <c r="AGY3114" s="2"/>
      <c r="AGZ3114" s="171"/>
      <c r="AHC3114" s="157"/>
      <c r="AHE3114" s="165"/>
      <c r="AHF3114" s="165"/>
      <c r="AHG3114" s="158"/>
      <c r="AHH3114" s="199"/>
      <c r="AHI3114" s="200"/>
      <c r="AHJ3114" s="167"/>
      <c r="AHK3114" s="168"/>
      <c r="AHL3114" s="168"/>
      <c r="AHM3114" s="168"/>
      <c r="AHN3114" s="158"/>
      <c r="AHP3114" s="169"/>
      <c r="AHQ3114" s="158"/>
      <c r="AHR3114" s="35"/>
      <c r="AHS3114" s="164"/>
      <c r="AHT3114" s="2"/>
      <c r="AHU3114" s="171"/>
      <c r="AHX3114" s="157"/>
      <c r="AHZ3114" s="165"/>
      <c r="AIA3114" s="165"/>
      <c r="AIB3114" s="158"/>
      <c r="AIC3114" s="199"/>
      <c r="AID3114" s="200"/>
      <c r="AIE3114" s="167"/>
      <c r="AIF3114" s="168"/>
      <c r="AIG3114" s="168"/>
      <c r="AIH3114" s="168"/>
      <c r="AII3114" s="158"/>
      <c r="AIK3114" s="169"/>
      <c r="AIL3114" s="158"/>
      <c r="AIM3114" s="35"/>
      <c r="AIN3114" s="164"/>
      <c r="AIO3114" s="2"/>
      <c r="AIP3114" s="171"/>
      <c r="AIS3114" s="157"/>
      <c r="AIU3114" s="165"/>
      <c r="AIV3114" s="165"/>
      <c r="AIW3114" s="158"/>
      <c r="AIX3114" s="199"/>
      <c r="AIY3114" s="200"/>
      <c r="AIZ3114" s="167"/>
      <c r="AJA3114" s="168"/>
      <c r="AJB3114" s="168"/>
      <c r="AJC3114" s="168"/>
      <c r="AJD3114" s="158"/>
      <c r="AJF3114" s="169"/>
      <c r="AJG3114" s="158"/>
      <c r="AJH3114" s="35"/>
      <c r="AJI3114" s="164"/>
      <c r="AJJ3114" s="2"/>
      <c r="AJK3114" s="171"/>
      <c r="AJN3114" s="157"/>
      <c r="AJP3114" s="165"/>
      <c r="AJQ3114" s="165"/>
      <c r="AJR3114" s="158"/>
      <c r="AJS3114" s="199"/>
      <c r="AJT3114" s="200"/>
      <c r="AJU3114" s="167"/>
      <c r="AJV3114" s="168"/>
      <c r="AJW3114" s="168"/>
      <c r="AJX3114" s="168"/>
      <c r="AJY3114" s="158"/>
      <c r="AKA3114" s="169"/>
      <c r="AKB3114" s="158"/>
      <c r="AKC3114" s="35"/>
      <c r="AKD3114" s="164"/>
      <c r="AKE3114" s="2"/>
      <c r="AKF3114" s="171"/>
      <c r="AKI3114" s="157"/>
      <c r="AKK3114" s="165"/>
      <c r="AKL3114" s="165"/>
      <c r="AKM3114" s="158"/>
      <c r="AKN3114" s="199"/>
      <c r="AKO3114" s="200"/>
      <c r="AKP3114" s="167"/>
      <c r="AKQ3114" s="168"/>
      <c r="AKR3114" s="168"/>
      <c r="AKS3114" s="168"/>
      <c r="AKT3114" s="158"/>
      <c r="AKV3114" s="169"/>
      <c r="AKW3114" s="158"/>
      <c r="AKX3114" s="35"/>
      <c r="AKY3114" s="164"/>
      <c r="AKZ3114" s="2"/>
      <c r="ALA3114" s="171"/>
      <c r="ALD3114" s="157"/>
      <c r="ALF3114" s="165"/>
      <c r="ALG3114" s="165"/>
      <c r="ALH3114" s="158"/>
      <c r="ALI3114" s="199"/>
      <c r="ALJ3114" s="200"/>
      <c r="ALK3114" s="167"/>
      <c r="ALL3114" s="168"/>
      <c r="ALM3114" s="168"/>
      <c r="ALN3114" s="168"/>
      <c r="ALO3114" s="158"/>
      <c r="ALQ3114" s="169"/>
      <c r="ALR3114" s="158"/>
      <c r="ALS3114" s="35"/>
      <c r="ALT3114" s="164"/>
      <c r="ALU3114" s="2"/>
      <c r="ALV3114" s="171"/>
      <c r="ALY3114" s="157"/>
      <c r="AMA3114" s="165"/>
      <c r="AMB3114" s="165"/>
      <c r="AMC3114" s="158"/>
      <c r="AMD3114" s="199"/>
      <c r="AME3114" s="200"/>
      <c r="AMF3114" s="167"/>
      <c r="AMG3114" s="168"/>
      <c r="AMH3114" s="168"/>
      <c r="AMI3114" s="168"/>
      <c r="AMJ3114" s="158"/>
    </row>
    <row r="3115" s="5" customFormat="true" ht="15" hidden="false" customHeight="true" outlineLevel="0" collapsed="false">
      <c r="A3115" s="1"/>
      <c r="B3115" s="2"/>
      <c r="C3115" s="155"/>
      <c r="D3115" s="156"/>
      <c r="F3115" s="157"/>
      <c r="H3115" s="165"/>
      <c r="I3115" s="165"/>
      <c r="J3115" s="158"/>
      <c r="K3115" s="159"/>
      <c r="L3115" s="166"/>
      <c r="M3115" s="167"/>
      <c r="N3115" s="168"/>
      <c r="O3115" s="163"/>
      <c r="P3115" s="163"/>
      <c r="Q3115" s="158"/>
      <c r="S3115" s="169"/>
      <c r="T3115" s="158"/>
      <c r="U3115" s="35"/>
      <c r="V3115" s="164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  <c r="BY3115" s="1"/>
      <c r="BZ3115" s="1"/>
      <c r="CA3115" s="1"/>
      <c r="CB3115" s="1"/>
      <c r="CC3115" s="1"/>
      <c r="CD3115" s="1"/>
      <c r="CE3115" s="1"/>
      <c r="CF3115" s="1"/>
      <c r="CG3115" s="1"/>
      <c r="CH3115" s="1"/>
      <c r="CI3115" s="1"/>
      <c r="CJ3115" s="1"/>
      <c r="CK3115" s="1"/>
      <c r="CL3115" s="1"/>
      <c r="CM3115" s="1"/>
      <c r="CN3115" s="1"/>
      <c r="CO3115" s="1"/>
      <c r="CP3115" s="1"/>
      <c r="CQ3115" s="1"/>
      <c r="CR3115" s="1"/>
      <c r="CS3115" s="1"/>
      <c r="CT3115" s="1"/>
      <c r="CU3115" s="1"/>
      <c r="CV3115" s="1"/>
      <c r="CW3115" s="1"/>
      <c r="CX3115" s="1"/>
      <c r="CY3115" s="1"/>
      <c r="CZ3115" s="1"/>
      <c r="DA3115" s="1"/>
      <c r="DB3115" s="1"/>
      <c r="DC3115" s="1"/>
      <c r="DD3115" s="1"/>
      <c r="DE3115" s="1"/>
      <c r="DF3115" s="1"/>
      <c r="DG3115" s="1"/>
      <c r="DH3115" s="1"/>
      <c r="DI3115" s="1"/>
      <c r="DJ3115" s="1"/>
      <c r="DK3115" s="1"/>
      <c r="DL3115" s="1"/>
      <c r="DM3115" s="1"/>
      <c r="DN3115" s="1"/>
      <c r="DO3115" s="1"/>
      <c r="DP3115" s="1"/>
      <c r="DQ3115" s="1"/>
      <c r="DR3115" s="1"/>
      <c r="DS3115" s="1"/>
      <c r="DT3115" s="1"/>
      <c r="DU3115" s="1"/>
      <c r="DV3115" s="1"/>
      <c r="DW3115" s="1"/>
      <c r="DX3115" s="1"/>
      <c r="DY3115" s="1"/>
      <c r="DZ3115" s="1"/>
      <c r="EA3115" s="157"/>
      <c r="EC3115" s="165"/>
      <c r="ED3115" s="165"/>
      <c r="EE3115" s="158"/>
      <c r="EF3115" s="199"/>
      <c r="EG3115" s="200"/>
      <c r="EH3115" s="167"/>
      <c r="EI3115" s="168"/>
      <c r="EJ3115" s="168"/>
      <c r="EK3115" s="168"/>
      <c r="EL3115" s="158"/>
      <c r="EN3115" s="169"/>
      <c r="EO3115" s="158"/>
      <c r="EP3115" s="35"/>
      <c r="EQ3115" s="164"/>
      <c r="ER3115" s="2"/>
      <c r="ES3115" s="171"/>
      <c r="EV3115" s="157"/>
      <c r="EX3115" s="165"/>
      <c r="EY3115" s="165"/>
      <c r="EZ3115" s="158"/>
      <c r="FA3115" s="199"/>
      <c r="FB3115" s="200"/>
      <c r="FC3115" s="167"/>
      <c r="FD3115" s="168"/>
      <c r="FE3115" s="168"/>
      <c r="FF3115" s="168"/>
      <c r="FG3115" s="158"/>
      <c r="FI3115" s="169"/>
      <c r="FJ3115" s="158"/>
      <c r="FK3115" s="35"/>
      <c r="FL3115" s="164"/>
      <c r="FM3115" s="2"/>
      <c r="FN3115" s="171"/>
      <c r="FQ3115" s="157"/>
      <c r="FS3115" s="165"/>
      <c r="FT3115" s="165"/>
      <c r="FU3115" s="158"/>
      <c r="FV3115" s="199"/>
      <c r="FW3115" s="200"/>
      <c r="FX3115" s="167"/>
      <c r="FY3115" s="168"/>
      <c r="FZ3115" s="168"/>
      <c r="GA3115" s="168"/>
      <c r="GB3115" s="158"/>
      <c r="GD3115" s="169"/>
      <c r="GE3115" s="158"/>
      <c r="GF3115" s="35"/>
      <c r="GG3115" s="164"/>
      <c r="GH3115" s="2"/>
      <c r="GI3115" s="171"/>
      <c r="GL3115" s="157"/>
      <c r="GN3115" s="165"/>
      <c r="GO3115" s="165"/>
      <c r="GP3115" s="158"/>
      <c r="GQ3115" s="199"/>
      <c r="GR3115" s="200"/>
      <c r="GS3115" s="167"/>
      <c r="GT3115" s="168"/>
      <c r="GU3115" s="168"/>
      <c r="GV3115" s="168"/>
      <c r="GW3115" s="158"/>
      <c r="GY3115" s="169"/>
      <c r="GZ3115" s="158"/>
      <c r="HA3115" s="35"/>
      <c r="HB3115" s="164"/>
      <c r="HC3115" s="2"/>
      <c r="HD3115" s="171"/>
      <c r="HG3115" s="157"/>
      <c r="HI3115" s="165"/>
      <c r="HJ3115" s="165"/>
      <c r="HK3115" s="158"/>
      <c r="HL3115" s="199"/>
      <c r="HM3115" s="200"/>
      <c r="HN3115" s="167"/>
      <c r="HO3115" s="168"/>
      <c r="HP3115" s="168"/>
      <c r="HQ3115" s="168"/>
      <c r="HR3115" s="158"/>
      <c r="HT3115" s="169"/>
      <c r="HU3115" s="158"/>
      <c r="HV3115" s="35"/>
      <c r="HW3115" s="164"/>
      <c r="HX3115" s="2"/>
      <c r="HY3115" s="171"/>
      <c r="IB3115" s="157"/>
      <c r="ID3115" s="165"/>
      <c r="IE3115" s="165"/>
      <c r="IF3115" s="158"/>
      <c r="IG3115" s="199"/>
      <c r="IH3115" s="200"/>
      <c r="II3115" s="167"/>
      <c r="IJ3115" s="168"/>
      <c r="IK3115" s="168"/>
      <c r="IL3115" s="168"/>
      <c r="IM3115" s="158"/>
      <c r="IO3115" s="169"/>
      <c r="IP3115" s="158"/>
      <c r="IQ3115" s="35"/>
      <c r="IR3115" s="164"/>
      <c r="IS3115" s="2"/>
      <c r="IT3115" s="171"/>
      <c r="IW3115" s="157"/>
      <c r="IY3115" s="165"/>
      <c r="IZ3115" s="165"/>
      <c r="JA3115" s="158"/>
      <c r="JB3115" s="199"/>
      <c r="JC3115" s="200"/>
      <c r="JD3115" s="167"/>
      <c r="JE3115" s="168"/>
      <c r="JF3115" s="168"/>
      <c r="JG3115" s="168"/>
      <c r="JH3115" s="158"/>
      <c r="JJ3115" s="169"/>
      <c r="JK3115" s="158"/>
      <c r="JL3115" s="35"/>
      <c r="JM3115" s="164"/>
      <c r="JN3115" s="2"/>
      <c r="JO3115" s="171"/>
      <c r="JR3115" s="157"/>
      <c r="JT3115" s="165"/>
      <c r="JU3115" s="165"/>
      <c r="JV3115" s="158"/>
      <c r="JW3115" s="199"/>
      <c r="JX3115" s="200"/>
      <c r="JY3115" s="167"/>
      <c r="JZ3115" s="168"/>
      <c r="KA3115" s="168"/>
      <c r="KB3115" s="168"/>
      <c r="KC3115" s="158"/>
      <c r="KE3115" s="169"/>
      <c r="KF3115" s="158"/>
      <c r="KG3115" s="35"/>
      <c r="KH3115" s="164"/>
      <c r="KI3115" s="2"/>
      <c r="KJ3115" s="171"/>
      <c r="KM3115" s="157"/>
      <c r="KO3115" s="165"/>
      <c r="KP3115" s="165"/>
      <c r="KQ3115" s="158"/>
      <c r="KR3115" s="199"/>
      <c r="KS3115" s="200"/>
      <c r="KT3115" s="167"/>
      <c r="KU3115" s="168"/>
      <c r="KV3115" s="168"/>
      <c r="KW3115" s="168"/>
      <c r="KX3115" s="158"/>
      <c r="KZ3115" s="169"/>
      <c r="LA3115" s="158"/>
      <c r="LB3115" s="35"/>
      <c r="LC3115" s="164"/>
      <c r="LD3115" s="2"/>
      <c r="LE3115" s="171"/>
      <c r="LH3115" s="157"/>
      <c r="LJ3115" s="165"/>
      <c r="LK3115" s="165"/>
      <c r="LL3115" s="158"/>
      <c r="LM3115" s="199"/>
      <c r="LN3115" s="200"/>
      <c r="LO3115" s="167"/>
      <c r="LP3115" s="168"/>
      <c r="LQ3115" s="168"/>
      <c r="LR3115" s="168"/>
      <c r="LS3115" s="158"/>
      <c r="LU3115" s="169"/>
      <c r="LV3115" s="158"/>
      <c r="LW3115" s="35"/>
      <c r="LX3115" s="164"/>
      <c r="LY3115" s="2"/>
      <c r="LZ3115" s="171"/>
      <c r="MC3115" s="157"/>
      <c r="ME3115" s="165"/>
      <c r="MF3115" s="165"/>
      <c r="MG3115" s="158"/>
      <c r="MH3115" s="199"/>
      <c r="MI3115" s="200"/>
      <c r="MJ3115" s="167"/>
      <c r="MK3115" s="168"/>
      <c r="ML3115" s="168"/>
      <c r="MM3115" s="168"/>
      <c r="MN3115" s="158"/>
      <c r="MP3115" s="169"/>
      <c r="MQ3115" s="158"/>
      <c r="MR3115" s="35"/>
      <c r="MS3115" s="164"/>
      <c r="MT3115" s="2"/>
      <c r="MU3115" s="171"/>
      <c r="MX3115" s="157"/>
      <c r="MZ3115" s="165"/>
      <c r="NA3115" s="165"/>
      <c r="NB3115" s="158"/>
      <c r="NC3115" s="199"/>
      <c r="ND3115" s="200"/>
      <c r="NE3115" s="167"/>
      <c r="NF3115" s="168"/>
      <c r="NG3115" s="168"/>
      <c r="NH3115" s="168"/>
      <c r="NI3115" s="158"/>
      <c r="NK3115" s="169"/>
      <c r="NL3115" s="158"/>
      <c r="NM3115" s="35"/>
      <c r="NN3115" s="164"/>
      <c r="NO3115" s="2"/>
      <c r="NP3115" s="171"/>
      <c r="NS3115" s="157"/>
      <c r="NU3115" s="165"/>
      <c r="NV3115" s="165"/>
      <c r="NW3115" s="158"/>
      <c r="NX3115" s="199"/>
      <c r="NY3115" s="200"/>
      <c r="NZ3115" s="167"/>
      <c r="OA3115" s="168"/>
      <c r="OB3115" s="168"/>
      <c r="OC3115" s="168"/>
      <c r="OD3115" s="158"/>
      <c r="OF3115" s="169"/>
      <c r="OG3115" s="158"/>
      <c r="OH3115" s="35"/>
      <c r="OI3115" s="164"/>
      <c r="OJ3115" s="2"/>
      <c r="OK3115" s="171"/>
      <c r="ON3115" s="157"/>
      <c r="OP3115" s="165"/>
      <c r="OQ3115" s="165"/>
      <c r="OR3115" s="158"/>
      <c r="OS3115" s="199"/>
      <c r="OT3115" s="200"/>
      <c r="OU3115" s="167"/>
      <c r="OV3115" s="168"/>
      <c r="OW3115" s="168"/>
      <c r="OX3115" s="168"/>
      <c r="OY3115" s="158"/>
      <c r="PA3115" s="169"/>
      <c r="PB3115" s="158"/>
      <c r="PC3115" s="35"/>
      <c r="PD3115" s="164"/>
      <c r="PE3115" s="2"/>
      <c r="PF3115" s="171"/>
      <c r="PI3115" s="157"/>
      <c r="PK3115" s="165"/>
      <c r="PL3115" s="165"/>
      <c r="PM3115" s="158"/>
      <c r="PN3115" s="199"/>
      <c r="PO3115" s="200"/>
      <c r="PP3115" s="167"/>
      <c r="PQ3115" s="168"/>
      <c r="PR3115" s="168"/>
      <c r="PS3115" s="168"/>
      <c r="PT3115" s="158"/>
      <c r="PV3115" s="169"/>
      <c r="PW3115" s="158"/>
      <c r="PX3115" s="35"/>
      <c r="PY3115" s="164"/>
      <c r="PZ3115" s="2"/>
      <c r="QA3115" s="171"/>
      <c r="QD3115" s="157"/>
      <c r="QF3115" s="165"/>
      <c r="QG3115" s="165"/>
      <c r="QH3115" s="158"/>
      <c r="QI3115" s="199"/>
      <c r="QJ3115" s="200"/>
      <c r="QK3115" s="167"/>
      <c r="QL3115" s="168"/>
      <c r="QM3115" s="168"/>
      <c r="QN3115" s="168"/>
      <c r="QO3115" s="158"/>
      <c r="QQ3115" s="169"/>
      <c r="QR3115" s="158"/>
      <c r="QS3115" s="35"/>
      <c r="QT3115" s="164"/>
      <c r="QU3115" s="2"/>
      <c r="QV3115" s="171"/>
      <c r="QY3115" s="157"/>
      <c r="RA3115" s="165"/>
      <c r="RB3115" s="165"/>
      <c r="RC3115" s="158"/>
      <c r="RD3115" s="199"/>
      <c r="RE3115" s="200"/>
      <c r="RF3115" s="167"/>
      <c r="RG3115" s="168"/>
      <c r="RH3115" s="168"/>
      <c r="RI3115" s="168"/>
      <c r="RJ3115" s="158"/>
      <c r="RL3115" s="169"/>
      <c r="RM3115" s="158"/>
      <c r="RN3115" s="35"/>
      <c r="RO3115" s="164"/>
      <c r="RP3115" s="2"/>
      <c r="RQ3115" s="171"/>
      <c r="RT3115" s="157"/>
      <c r="RV3115" s="165"/>
      <c r="RW3115" s="165"/>
      <c r="RX3115" s="158"/>
      <c r="RY3115" s="199"/>
      <c r="RZ3115" s="200"/>
      <c r="SA3115" s="167"/>
      <c r="SB3115" s="168"/>
      <c r="SC3115" s="168"/>
      <c r="SD3115" s="168"/>
      <c r="SE3115" s="158"/>
      <c r="SG3115" s="169"/>
      <c r="SH3115" s="158"/>
      <c r="SI3115" s="35"/>
      <c r="SJ3115" s="164"/>
      <c r="SK3115" s="2"/>
      <c r="SL3115" s="171"/>
      <c r="SO3115" s="157"/>
      <c r="SQ3115" s="165"/>
      <c r="SR3115" s="165"/>
      <c r="SS3115" s="158"/>
      <c r="ST3115" s="199"/>
      <c r="SU3115" s="200"/>
      <c r="SV3115" s="167"/>
      <c r="SW3115" s="168"/>
      <c r="SX3115" s="168"/>
      <c r="SY3115" s="168"/>
      <c r="SZ3115" s="158"/>
      <c r="TB3115" s="169"/>
      <c r="TC3115" s="158"/>
      <c r="TD3115" s="35"/>
      <c r="TE3115" s="164"/>
      <c r="TF3115" s="2"/>
      <c r="TG3115" s="171"/>
      <c r="TJ3115" s="157"/>
      <c r="TL3115" s="165"/>
      <c r="TM3115" s="165"/>
      <c r="TN3115" s="158"/>
      <c r="TO3115" s="199"/>
      <c r="TP3115" s="200"/>
      <c r="TQ3115" s="167"/>
      <c r="TR3115" s="168"/>
      <c r="TS3115" s="168"/>
      <c r="TT3115" s="168"/>
      <c r="TU3115" s="158"/>
      <c r="TW3115" s="169"/>
      <c r="TX3115" s="158"/>
      <c r="TY3115" s="35"/>
      <c r="TZ3115" s="164"/>
      <c r="UA3115" s="2"/>
      <c r="UB3115" s="171"/>
      <c r="UE3115" s="157"/>
      <c r="UG3115" s="165"/>
      <c r="UH3115" s="165"/>
      <c r="UI3115" s="158"/>
      <c r="UJ3115" s="199"/>
      <c r="UK3115" s="200"/>
      <c r="UL3115" s="167"/>
      <c r="UM3115" s="168"/>
      <c r="UN3115" s="168"/>
      <c r="UO3115" s="168"/>
      <c r="UP3115" s="158"/>
      <c r="UR3115" s="169"/>
      <c r="US3115" s="158"/>
      <c r="UT3115" s="35"/>
      <c r="UU3115" s="164"/>
      <c r="UV3115" s="2"/>
      <c r="UW3115" s="171"/>
      <c r="UZ3115" s="157"/>
      <c r="VB3115" s="165"/>
      <c r="VC3115" s="165"/>
      <c r="VD3115" s="158"/>
      <c r="VE3115" s="199"/>
      <c r="VF3115" s="200"/>
      <c r="VG3115" s="167"/>
      <c r="VH3115" s="168"/>
      <c r="VI3115" s="168"/>
      <c r="VJ3115" s="168"/>
      <c r="VK3115" s="158"/>
      <c r="VM3115" s="169"/>
      <c r="VN3115" s="158"/>
      <c r="VO3115" s="35"/>
      <c r="VP3115" s="164"/>
      <c r="VQ3115" s="2"/>
      <c r="VR3115" s="171"/>
      <c r="VU3115" s="157"/>
      <c r="VW3115" s="165"/>
      <c r="VX3115" s="165"/>
      <c r="VY3115" s="158"/>
      <c r="VZ3115" s="199"/>
      <c r="WA3115" s="200"/>
      <c r="WB3115" s="167"/>
      <c r="WC3115" s="168"/>
      <c r="WD3115" s="168"/>
      <c r="WE3115" s="168"/>
      <c r="WF3115" s="158"/>
      <c r="WH3115" s="169"/>
      <c r="WI3115" s="158"/>
      <c r="WJ3115" s="35"/>
      <c r="WK3115" s="164"/>
      <c r="WL3115" s="2"/>
      <c r="WM3115" s="171"/>
      <c r="WP3115" s="157"/>
      <c r="WR3115" s="165"/>
      <c r="WS3115" s="165"/>
      <c r="WT3115" s="158"/>
      <c r="WU3115" s="199"/>
      <c r="WV3115" s="200"/>
      <c r="WW3115" s="167"/>
      <c r="WX3115" s="168"/>
      <c r="WY3115" s="168"/>
      <c r="WZ3115" s="168"/>
      <c r="XA3115" s="158"/>
      <c r="XC3115" s="169"/>
      <c r="XD3115" s="158"/>
      <c r="XE3115" s="35"/>
      <c r="XF3115" s="164"/>
      <c r="XG3115" s="2"/>
      <c r="XH3115" s="171"/>
      <c r="XK3115" s="157"/>
      <c r="XM3115" s="165"/>
      <c r="XN3115" s="165"/>
      <c r="XO3115" s="158"/>
      <c r="XP3115" s="199"/>
      <c r="XQ3115" s="200"/>
      <c r="XR3115" s="167"/>
      <c r="XS3115" s="168"/>
      <c r="XT3115" s="168"/>
      <c r="XU3115" s="168"/>
      <c r="XV3115" s="158"/>
      <c r="XX3115" s="169"/>
      <c r="XY3115" s="158"/>
      <c r="XZ3115" s="35"/>
      <c r="YA3115" s="164"/>
      <c r="YB3115" s="2"/>
      <c r="YC3115" s="171"/>
      <c r="YF3115" s="157"/>
      <c r="YH3115" s="165"/>
      <c r="YI3115" s="165"/>
      <c r="YJ3115" s="158"/>
      <c r="YK3115" s="199"/>
      <c r="YL3115" s="200"/>
      <c r="YM3115" s="167"/>
      <c r="YN3115" s="168"/>
      <c r="YO3115" s="168"/>
      <c r="YP3115" s="168"/>
      <c r="YQ3115" s="158"/>
      <c r="YS3115" s="169"/>
      <c r="YT3115" s="158"/>
      <c r="YU3115" s="35"/>
      <c r="YV3115" s="164"/>
      <c r="YW3115" s="2"/>
      <c r="YX3115" s="171"/>
      <c r="ZA3115" s="157"/>
      <c r="ZC3115" s="165"/>
      <c r="ZD3115" s="165"/>
      <c r="ZE3115" s="158"/>
      <c r="ZF3115" s="199"/>
      <c r="ZG3115" s="200"/>
      <c r="ZH3115" s="167"/>
      <c r="ZI3115" s="168"/>
      <c r="ZJ3115" s="168"/>
      <c r="ZK3115" s="168"/>
      <c r="ZL3115" s="158"/>
      <c r="ZN3115" s="169"/>
      <c r="ZO3115" s="158"/>
      <c r="ZP3115" s="35"/>
      <c r="ZQ3115" s="164"/>
      <c r="ZR3115" s="2"/>
      <c r="ZS3115" s="171"/>
      <c r="ZV3115" s="157"/>
      <c r="ZX3115" s="165"/>
      <c r="ZY3115" s="165"/>
      <c r="ZZ3115" s="158"/>
      <c r="AAA3115" s="199"/>
      <c r="AAB3115" s="200"/>
      <c r="AAC3115" s="167"/>
      <c r="AAD3115" s="168"/>
      <c r="AAE3115" s="168"/>
      <c r="AAF3115" s="168"/>
      <c r="AAG3115" s="158"/>
      <c r="AAI3115" s="169"/>
      <c r="AAJ3115" s="158"/>
      <c r="AAK3115" s="35"/>
      <c r="AAL3115" s="164"/>
      <c r="AAM3115" s="2"/>
      <c r="AAN3115" s="171"/>
      <c r="AAQ3115" s="157"/>
      <c r="AAS3115" s="165"/>
      <c r="AAT3115" s="165"/>
      <c r="AAU3115" s="158"/>
      <c r="AAV3115" s="199"/>
      <c r="AAW3115" s="200"/>
      <c r="AAX3115" s="167"/>
      <c r="AAY3115" s="168"/>
      <c r="AAZ3115" s="168"/>
      <c r="ABA3115" s="168"/>
      <c r="ABB3115" s="158"/>
      <c r="ABD3115" s="169"/>
      <c r="ABE3115" s="158"/>
      <c r="ABF3115" s="35"/>
      <c r="ABG3115" s="164"/>
      <c r="ABH3115" s="2"/>
      <c r="ABI3115" s="171"/>
      <c r="ABL3115" s="157"/>
      <c r="ABN3115" s="165"/>
      <c r="ABO3115" s="165"/>
      <c r="ABP3115" s="158"/>
      <c r="ABQ3115" s="199"/>
      <c r="ABR3115" s="200"/>
      <c r="ABS3115" s="167"/>
      <c r="ABT3115" s="168"/>
      <c r="ABU3115" s="168"/>
      <c r="ABV3115" s="168"/>
      <c r="ABW3115" s="158"/>
      <c r="ABY3115" s="169"/>
      <c r="ABZ3115" s="158"/>
      <c r="ACA3115" s="35"/>
      <c r="ACB3115" s="164"/>
      <c r="ACC3115" s="2"/>
      <c r="ACD3115" s="171"/>
      <c r="ACG3115" s="157"/>
      <c r="ACI3115" s="165"/>
      <c r="ACJ3115" s="165"/>
      <c r="ACK3115" s="158"/>
      <c r="ACL3115" s="199"/>
      <c r="ACM3115" s="200"/>
      <c r="ACN3115" s="167"/>
      <c r="ACO3115" s="168"/>
      <c r="ACP3115" s="168"/>
      <c r="ACQ3115" s="168"/>
      <c r="ACR3115" s="158"/>
      <c r="ACT3115" s="169"/>
      <c r="ACU3115" s="158"/>
      <c r="ACV3115" s="35"/>
      <c r="ACW3115" s="164"/>
      <c r="ACX3115" s="2"/>
      <c r="ACY3115" s="171"/>
      <c r="ADB3115" s="157"/>
      <c r="ADD3115" s="165"/>
      <c r="ADE3115" s="165"/>
      <c r="ADF3115" s="158"/>
      <c r="ADG3115" s="199"/>
      <c r="ADH3115" s="200"/>
      <c r="ADI3115" s="167"/>
      <c r="ADJ3115" s="168"/>
      <c r="ADK3115" s="168"/>
      <c r="ADL3115" s="168"/>
      <c r="ADM3115" s="158"/>
      <c r="ADO3115" s="169"/>
      <c r="ADP3115" s="158"/>
      <c r="ADQ3115" s="35"/>
      <c r="ADR3115" s="164"/>
      <c r="ADS3115" s="2"/>
      <c r="ADT3115" s="171"/>
      <c r="ADW3115" s="157"/>
      <c r="ADY3115" s="165"/>
      <c r="ADZ3115" s="165"/>
      <c r="AEA3115" s="158"/>
      <c r="AEB3115" s="199"/>
      <c r="AEC3115" s="200"/>
      <c r="AED3115" s="167"/>
      <c r="AEE3115" s="168"/>
      <c r="AEF3115" s="168"/>
      <c r="AEG3115" s="168"/>
      <c r="AEH3115" s="158"/>
      <c r="AEJ3115" s="169"/>
      <c r="AEK3115" s="158"/>
      <c r="AEL3115" s="35"/>
      <c r="AEM3115" s="164"/>
      <c r="AEN3115" s="2"/>
      <c r="AEO3115" s="171"/>
      <c r="AER3115" s="157"/>
      <c r="AET3115" s="165"/>
      <c r="AEU3115" s="165"/>
      <c r="AEV3115" s="158"/>
      <c r="AEW3115" s="199"/>
      <c r="AEX3115" s="200"/>
      <c r="AEY3115" s="167"/>
      <c r="AEZ3115" s="168"/>
      <c r="AFA3115" s="168"/>
      <c r="AFB3115" s="168"/>
      <c r="AFC3115" s="158"/>
      <c r="AFE3115" s="169"/>
      <c r="AFF3115" s="158"/>
      <c r="AFG3115" s="35"/>
      <c r="AFH3115" s="164"/>
      <c r="AFI3115" s="2"/>
      <c r="AFJ3115" s="171"/>
      <c r="AFM3115" s="157"/>
      <c r="AFO3115" s="165"/>
      <c r="AFP3115" s="165"/>
      <c r="AFQ3115" s="158"/>
      <c r="AFR3115" s="199"/>
      <c r="AFS3115" s="200"/>
      <c r="AFT3115" s="167"/>
      <c r="AFU3115" s="168"/>
      <c r="AFV3115" s="168"/>
      <c r="AFW3115" s="168"/>
      <c r="AFX3115" s="158"/>
      <c r="AFZ3115" s="169"/>
      <c r="AGA3115" s="158"/>
      <c r="AGB3115" s="35"/>
      <c r="AGC3115" s="164"/>
      <c r="AGD3115" s="2"/>
      <c r="AGE3115" s="171"/>
      <c r="AGH3115" s="157"/>
      <c r="AGJ3115" s="165"/>
      <c r="AGK3115" s="165"/>
      <c r="AGL3115" s="158"/>
      <c r="AGM3115" s="199"/>
      <c r="AGN3115" s="200"/>
      <c r="AGO3115" s="167"/>
      <c r="AGP3115" s="168"/>
      <c r="AGQ3115" s="168"/>
      <c r="AGR3115" s="168"/>
      <c r="AGS3115" s="158"/>
      <c r="AGU3115" s="169"/>
      <c r="AGV3115" s="158"/>
      <c r="AGW3115" s="35"/>
      <c r="AGX3115" s="164"/>
      <c r="AGY3115" s="2"/>
      <c r="AGZ3115" s="171"/>
      <c r="AHC3115" s="157"/>
      <c r="AHE3115" s="165"/>
      <c r="AHF3115" s="165"/>
      <c r="AHG3115" s="158"/>
      <c r="AHH3115" s="199"/>
      <c r="AHI3115" s="200"/>
      <c r="AHJ3115" s="167"/>
      <c r="AHK3115" s="168"/>
      <c r="AHL3115" s="168"/>
      <c r="AHM3115" s="168"/>
      <c r="AHN3115" s="158"/>
      <c r="AHP3115" s="169"/>
      <c r="AHQ3115" s="158"/>
      <c r="AHR3115" s="35"/>
      <c r="AHS3115" s="164"/>
      <c r="AHT3115" s="2"/>
      <c r="AHU3115" s="171"/>
      <c r="AHX3115" s="157"/>
      <c r="AHZ3115" s="165"/>
      <c r="AIA3115" s="165"/>
      <c r="AIB3115" s="158"/>
      <c r="AIC3115" s="199"/>
      <c r="AID3115" s="200"/>
      <c r="AIE3115" s="167"/>
      <c r="AIF3115" s="168"/>
      <c r="AIG3115" s="168"/>
      <c r="AIH3115" s="168"/>
      <c r="AII3115" s="158"/>
      <c r="AIK3115" s="169"/>
      <c r="AIL3115" s="158"/>
      <c r="AIM3115" s="35"/>
      <c r="AIN3115" s="164"/>
      <c r="AIO3115" s="2"/>
      <c r="AIP3115" s="171"/>
      <c r="AIS3115" s="157"/>
      <c r="AIU3115" s="165"/>
      <c r="AIV3115" s="165"/>
      <c r="AIW3115" s="158"/>
      <c r="AIX3115" s="199"/>
      <c r="AIY3115" s="200"/>
      <c r="AIZ3115" s="167"/>
      <c r="AJA3115" s="168"/>
      <c r="AJB3115" s="168"/>
      <c r="AJC3115" s="168"/>
      <c r="AJD3115" s="158"/>
      <c r="AJF3115" s="169"/>
      <c r="AJG3115" s="158"/>
      <c r="AJH3115" s="35"/>
      <c r="AJI3115" s="164"/>
      <c r="AJJ3115" s="2"/>
      <c r="AJK3115" s="171"/>
      <c r="AJN3115" s="157"/>
      <c r="AJP3115" s="165"/>
      <c r="AJQ3115" s="165"/>
      <c r="AJR3115" s="158"/>
      <c r="AJS3115" s="199"/>
      <c r="AJT3115" s="200"/>
      <c r="AJU3115" s="167"/>
      <c r="AJV3115" s="168"/>
      <c r="AJW3115" s="168"/>
      <c r="AJX3115" s="168"/>
      <c r="AJY3115" s="158"/>
      <c r="AKA3115" s="169"/>
      <c r="AKB3115" s="158"/>
      <c r="AKC3115" s="35"/>
      <c r="AKD3115" s="164"/>
      <c r="AKE3115" s="2"/>
      <c r="AKF3115" s="171"/>
      <c r="AKI3115" s="157"/>
      <c r="AKK3115" s="165"/>
      <c r="AKL3115" s="165"/>
      <c r="AKM3115" s="158"/>
      <c r="AKN3115" s="199"/>
      <c r="AKO3115" s="200"/>
      <c r="AKP3115" s="167"/>
      <c r="AKQ3115" s="168"/>
      <c r="AKR3115" s="168"/>
      <c r="AKS3115" s="168"/>
      <c r="AKT3115" s="158"/>
      <c r="AKV3115" s="169"/>
      <c r="AKW3115" s="158"/>
      <c r="AKX3115" s="35"/>
      <c r="AKY3115" s="164"/>
      <c r="AKZ3115" s="2"/>
      <c r="ALA3115" s="171"/>
      <c r="ALD3115" s="157"/>
      <c r="ALF3115" s="165"/>
      <c r="ALG3115" s="165"/>
      <c r="ALH3115" s="158"/>
      <c r="ALI3115" s="199"/>
      <c r="ALJ3115" s="200"/>
      <c r="ALK3115" s="167"/>
      <c r="ALL3115" s="168"/>
      <c r="ALM3115" s="168"/>
      <c r="ALN3115" s="168"/>
      <c r="ALO3115" s="158"/>
      <c r="ALQ3115" s="169"/>
      <c r="ALR3115" s="158"/>
      <c r="ALS3115" s="35"/>
      <c r="ALT3115" s="164"/>
      <c r="ALU3115" s="2"/>
      <c r="ALV3115" s="171"/>
      <c r="ALY3115" s="157"/>
      <c r="AMA3115" s="165"/>
      <c r="AMB3115" s="165"/>
      <c r="AMC3115" s="158"/>
      <c r="AMD3115" s="199"/>
      <c r="AME3115" s="200"/>
      <c r="AMF3115" s="167"/>
      <c r="AMG3115" s="168"/>
      <c r="AMH3115" s="168"/>
      <c r="AMI3115" s="168"/>
      <c r="AMJ3115" s="158"/>
    </row>
    <row r="3116" s="5" customFormat="true" ht="15" hidden="false" customHeight="true" outlineLevel="0" collapsed="false">
      <c r="A3116" s="1"/>
      <c r="B3116" s="2"/>
      <c r="C3116" s="155"/>
      <c r="D3116" s="156"/>
      <c r="F3116" s="157"/>
      <c r="H3116" s="165"/>
      <c r="I3116" s="165"/>
      <c r="J3116" s="158"/>
      <c r="K3116" s="159"/>
      <c r="L3116" s="166"/>
      <c r="M3116" s="167"/>
      <c r="N3116" s="168"/>
      <c r="O3116" s="163"/>
      <c r="P3116" s="163"/>
      <c r="Q3116" s="158"/>
      <c r="S3116" s="169"/>
      <c r="T3116" s="158"/>
      <c r="U3116" s="35"/>
      <c r="V3116" s="164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  <c r="BY3116" s="1"/>
      <c r="BZ3116" s="1"/>
      <c r="CA3116" s="1"/>
      <c r="CB3116" s="1"/>
      <c r="CC3116" s="1"/>
      <c r="CD3116" s="1"/>
      <c r="CE3116" s="1"/>
      <c r="CF3116" s="1"/>
      <c r="CG3116" s="1"/>
      <c r="CH3116" s="1"/>
      <c r="CI3116" s="1"/>
      <c r="CJ3116" s="1"/>
      <c r="CK3116" s="1"/>
      <c r="CL3116" s="1"/>
      <c r="CM3116" s="1"/>
      <c r="CN3116" s="1"/>
      <c r="CO3116" s="1"/>
      <c r="CP3116" s="1"/>
      <c r="CQ3116" s="1"/>
      <c r="CR3116" s="1"/>
      <c r="CS3116" s="1"/>
      <c r="CT3116" s="1"/>
      <c r="CU3116" s="1"/>
      <c r="CV3116" s="1"/>
      <c r="CW3116" s="1"/>
      <c r="CX3116" s="1"/>
      <c r="CY3116" s="1"/>
      <c r="CZ3116" s="1"/>
      <c r="DA3116" s="1"/>
      <c r="DB3116" s="1"/>
      <c r="DC3116" s="1"/>
      <c r="DD3116" s="1"/>
      <c r="DE3116" s="1"/>
      <c r="DF3116" s="1"/>
      <c r="DG3116" s="1"/>
      <c r="DH3116" s="1"/>
      <c r="DI3116" s="1"/>
      <c r="DJ3116" s="1"/>
      <c r="DK3116" s="1"/>
      <c r="DL3116" s="1"/>
      <c r="DM3116" s="1"/>
      <c r="DN3116" s="1"/>
      <c r="DO3116" s="1"/>
      <c r="DP3116" s="1"/>
      <c r="DQ3116" s="1"/>
      <c r="DR3116" s="1"/>
      <c r="DS3116" s="1"/>
      <c r="DT3116" s="1"/>
      <c r="DU3116" s="1"/>
      <c r="DV3116" s="1"/>
      <c r="DW3116" s="1"/>
      <c r="DX3116" s="1"/>
      <c r="DY3116" s="1"/>
      <c r="DZ3116" s="1"/>
      <c r="EA3116" s="157"/>
      <c r="EC3116" s="165"/>
      <c r="ED3116" s="165"/>
      <c r="EE3116" s="158"/>
      <c r="EF3116" s="199"/>
      <c r="EG3116" s="200"/>
      <c r="EH3116" s="167"/>
      <c r="EI3116" s="168"/>
      <c r="EJ3116" s="168"/>
      <c r="EK3116" s="168"/>
      <c r="EL3116" s="158"/>
      <c r="EN3116" s="169"/>
      <c r="EO3116" s="158"/>
      <c r="EP3116" s="35"/>
      <c r="EQ3116" s="164"/>
      <c r="ER3116" s="2"/>
      <c r="ES3116" s="171"/>
      <c r="EV3116" s="157"/>
      <c r="EX3116" s="165"/>
      <c r="EY3116" s="165"/>
      <c r="EZ3116" s="158"/>
      <c r="FA3116" s="199"/>
      <c r="FB3116" s="200"/>
      <c r="FC3116" s="167"/>
      <c r="FD3116" s="168"/>
      <c r="FE3116" s="168"/>
      <c r="FF3116" s="168"/>
      <c r="FG3116" s="158"/>
      <c r="FI3116" s="169"/>
      <c r="FJ3116" s="158"/>
      <c r="FK3116" s="35"/>
      <c r="FL3116" s="164"/>
      <c r="FM3116" s="2"/>
      <c r="FN3116" s="171"/>
      <c r="FQ3116" s="157"/>
      <c r="FS3116" s="165"/>
      <c r="FT3116" s="165"/>
      <c r="FU3116" s="158"/>
      <c r="FV3116" s="199"/>
      <c r="FW3116" s="200"/>
      <c r="FX3116" s="167"/>
      <c r="FY3116" s="168"/>
      <c r="FZ3116" s="168"/>
      <c r="GA3116" s="168"/>
      <c r="GB3116" s="158"/>
      <c r="GD3116" s="169"/>
      <c r="GE3116" s="158"/>
      <c r="GF3116" s="35"/>
      <c r="GG3116" s="164"/>
      <c r="GH3116" s="2"/>
      <c r="GI3116" s="171"/>
      <c r="GL3116" s="157"/>
      <c r="GN3116" s="165"/>
      <c r="GO3116" s="165"/>
      <c r="GP3116" s="158"/>
      <c r="GQ3116" s="199"/>
      <c r="GR3116" s="200"/>
      <c r="GS3116" s="167"/>
      <c r="GT3116" s="168"/>
      <c r="GU3116" s="168"/>
      <c r="GV3116" s="168"/>
      <c r="GW3116" s="158"/>
      <c r="GY3116" s="169"/>
      <c r="GZ3116" s="158"/>
      <c r="HA3116" s="35"/>
      <c r="HB3116" s="164"/>
      <c r="HC3116" s="2"/>
      <c r="HD3116" s="171"/>
      <c r="HG3116" s="157"/>
      <c r="HI3116" s="165"/>
      <c r="HJ3116" s="165"/>
      <c r="HK3116" s="158"/>
      <c r="HL3116" s="199"/>
      <c r="HM3116" s="200"/>
      <c r="HN3116" s="167"/>
      <c r="HO3116" s="168"/>
      <c r="HP3116" s="168"/>
      <c r="HQ3116" s="168"/>
      <c r="HR3116" s="158"/>
      <c r="HT3116" s="169"/>
      <c r="HU3116" s="158"/>
      <c r="HV3116" s="35"/>
      <c r="HW3116" s="164"/>
      <c r="HX3116" s="2"/>
      <c r="HY3116" s="171"/>
      <c r="IB3116" s="157"/>
      <c r="ID3116" s="165"/>
      <c r="IE3116" s="165"/>
      <c r="IF3116" s="158"/>
      <c r="IG3116" s="199"/>
      <c r="IH3116" s="200"/>
      <c r="II3116" s="167"/>
      <c r="IJ3116" s="168"/>
      <c r="IK3116" s="168"/>
      <c r="IL3116" s="168"/>
      <c r="IM3116" s="158"/>
      <c r="IO3116" s="169"/>
      <c r="IP3116" s="158"/>
      <c r="IQ3116" s="35"/>
      <c r="IR3116" s="164"/>
      <c r="IS3116" s="2"/>
      <c r="IT3116" s="171"/>
      <c r="IW3116" s="157"/>
      <c r="IY3116" s="165"/>
      <c r="IZ3116" s="165"/>
      <c r="JA3116" s="158"/>
      <c r="JB3116" s="199"/>
      <c r="JC3116" s="200"/>
      <c r="JD3116" s="167"/>
      <c r="JE3116" s="168"/>
      <c r="JF3116" s="168"/>
      <c r="JG3116" s="168"/>
      <c r="JH3116" s="158"/>
      <c r="JJ3116" s="169"/>
      <c r="JK3116" s="158"/>
      <c r="JL3116" s="35"/>
      <c r="JM3116" s="164"/>
      <c r="JN3116" s="2"/>
      <c r="JO3116" s="171"/>
      <c r="JR3116" s="157"/>
      <c r="JT3116" s="165"/>
      <c r="JU3116" s="165"/>
      <c r="JV3116" s="158"/>
      <c r="JW3116" s="199"/>
      <c r="JX3116" s="200"/>
      <c r="JY3116" s="167"/>
      <c r="JZ3116" s="168"/>
      <c r="KA3116" s="168"/>
      <c r="KB3116" s="168"/>
      <c r="KC3116" s="158"/>
      <c r="KE3116" s="169"/>
      <c r="KF3116" s="158"/>
      <c r="KG3116" s="35"/>
      <c r="KH3116" s="164"/>
      <c r="KI3116" s="2"/>
      <c r="KJ3116" s="171"/>
      <c r="KM3116" s="157"/>
      <c r="KO3116" s="165"/>
      <c r="KP3116" s="165"/>
      <c r="KQ3116" s="158"/>
      <c r="KR3116" s="199"/>
      <c r="KS3116" s="200"/>
      <c r="KT3116" s="167"/>
      <c r="KU3116" s="168"/>
      <c r="KV3116" s="168"/>
      <c r="KW3116" s="168"/>
      <c r="KX3116" s="158"/>
      <c r="KZ3116" s="169"/>
      <c r="LA3116" s="158"/>
      <c r="LB3116" s="35"/>
      <c r="LC3116" s="164"/>
      <c r="LD3116" s="2"/>
      <c r="LE3116" s="171"/>
      <c r="LH3116" s="157"/>
      <c r="LJ3116" s="165"/>
      <c r="LK3116" s="165"/>
      <c r="LL3116" s="158"/>
      <c r="LM3116" s="199"/>
      <c r="LN3116" s="200"/>
      <c r="LO3116" s="167"/>
      <c r="LP3116" s="168"/>
      <c r="LQ3116" s="168"/>
      <c r="LR3116" s="168"/>
      <c r="LS3116" s="158"/>
      <c r="LU3116" s="169"/>
      <c r="LV3116" s="158"/>
      <c r="LW3116" s="35"/>
      <c r="LX3116" s="164"/>
      <c r="LY3116" s="2"/>
      <c r="LZ3116" s="171"/>
      <c r="MC3116" s="157"/>
      <c r="ME3116" s="165"/>
      <c r="MF3116" s="165"/>
      <c r="MG3116" s="158"/>
      <c r="MH3116" s="199"/>
      <c r="MI3116" s="200"/>
      <c r="MJ3116" s="167"/>
      <c r="MK3116" s="168"/>
      <c r="ML3116" s="168"/>
      <c r="MM3116" s="168"/>
      <c r="MN3116" s="158"/>
      <c r="MP3116" s="169"/>
      <c r="MQ3116" s="158"/>
      <c r="MR3116" s="35"/>
      <c r="MS3116" s="164"/>
      <c r="MT3116" s="2"/>
      <c r="MU3116" s="171"/>
      <c r="MX3116" s="157"/>
      <c r="MZ3116" s="165"/>
      <c r="NA3116" s="165"/>
      <c r="NB3116" s="158"/>
      <c r="NC3116" s="199"/>
      <c r="ND3116" s="200"/>
      <c r="NE3116" s="167"/>
      <c r="NF3116" s="168"/>
      <c r="NG3116" s="168"/>
      <c r="NH3116" s="168"/>
      <c r="NI3116" s="158"/>
      <c r="NK3116" s="169"/>
      <c r="NL3116" s="158"/>
      <c r="NM3116" s="35"/>
      <c r="NN3116" s="164"/>
      <c r="NO3116" s="2"/>
      <c r="NP3116" s="171"/>
      <c r="NS3116" s="157"/>
      <c r="NU3116" s="165"/>
      <c r="NV3116" s="165"/>
      <c r="NW3116" s="158"/>
      <c r="NX3116" s="199"/>
      <c r="NY3116" s="200"/>
      <c r="NZ3116" s="167"/>
      <c r="OA3116" s="168"/>
      <c r="OB3116" s="168"/>
      <c r="OC3116" s="168"/>
      <c r="OD3116" s="158"/>
      <c r="OF3116" s="169"/>
      <c r="OG3116" s="158"/>
      <c r="OH3116" s="35"/>
      <c r="OI3116" s="164"/>
      <c r="OJ3116" s="2"/>
      <c r="OK3116" s="171"/>
      <c r="ON3116" s="157"/>
      <c r="OP3116" s="165"/>
      <c r="OQ3116" s="165"/>
      <c r="OR3116" s="158"/>
      <c r="OS3116" s="199"/>
      <c r="OT3116" s="200"/>
      <c r="OU3116" s="167"/>
      <c r="OV3116" s="168"/>
      <c r="OW3116" s="168"/>
      <c r="OX3116" s="168"/>
      <c r="OY3116" s="158"/>
      <c r="PA3116" s="169"/>
      <c r="PB3116" s="158"/>
      <c r="PC3116" s="35"/>
      <c r="PD3116" s="164"/>
      <c r="PE3116" s="2"/>
      <c r="PF3116" s="171"/>
      <c r="PI3116" s="157"/>
      <c r="PK3116" s="165"/>
      <c r="PL3116" s="165"/>
      <c r="PM3116" s="158"/>
      <c r="PN3116" s="199"/>
      <c r="PO3116" s="200"/>
      <c r="PP3116" s="167"/>
      <c r="PQ3116" s="168"/>
      <c r="PR3116" s="168"/>
      <c r="PS3116" s="168"/>
      <c r="PT3116" s="158"/>
      <c r="PV3116" s="169"/>
      <c r="PW3116" s="158"/>
      <c r="PX3116" s="35"/>
      <c r="PY3116" s="164"/>
      <c r="PZ3116" s="2"/>
      <c r="QA3116" s="171"/>
      <c r="QD3116" s="157"/>
      <c r="QF3116" s="165"/>
      <c r="QG3116" s="165"/>
      <c r="QH3116" s="158"/>
      <c r="QI3116" s="199"/>
      <c r="QJ3116" s="200"/>
      <c r="QK3116" s="167"/>
      <c r="QL3116" s="168"/>
      <c r="QM3116" s="168"/>
      <c r="QN3116" s="168"/>
      <c r="QO3116" s="158"/>
      <c r="QQ3116" s="169"/>
      <c r="QR3116" s="158"/>
      <c r="QS3116" s="35"/>
      <c r="QT3116" s="164"/>
      <c r="QU3116" s="2"/>
      <c r="QV3116" s="171"/>
      <c r="QY3116" s="157"/>
      <c r="RA3116" s="165"/>
      <c r="RB3116" s="165"/>
      <c r="RC3116" s="158"/>
      <c r="RD3116" s="199"/>
      <c r="RE3116" s="200"/>
      <c r="RF3116" s="167"/>
      <c r="RG3116" s="168"/>
      <c r="RH3116" s="168"/>
      <c r="RI3116" s="168"/>
      <c r="RJ3116" s="158"/>
      <c r="RL3116" s="169"/>
      <c r="RM3116" s="158"/>
      <c r="RN3116" s="35"/>
      <c r="RO3116" s="164"/>
      <c r="RP3116" s="2"/>
      <c r="RQ3116" s="171"/>
      <c r="RT3116" s="157"/>
      <c r="RV3116" s="165"/>
      <c r="RW3116" s="165"/>
      <c r="RX3116" s="158"/>
      <c r="RY3116" s="199"/>
      <c r="RZ3116" s="200"/>
      <c r="SA3116" s="167"/>
      <c r="SB3116" s="168"/>
      <c r="SC3116" s="168"/>
      <c r="SD3116" s="168"/>
      <c r="SE3116" s="158"/>
      <c r="SG3116" s="169"/>
      <c r="SH3116" s="158"/>
      <c r="SI3116" s="35"/>
      <c r="SJ3116" s="164"/>
      <c r="SK3116" s="2"/>
      <c r="SL3116" s="171"/>
      <c r="SO3116" s="157"/>
      <c r="SQ3116" s="165"/>
      <c r="SR3116" s="165"/>
      <c r="SS3116" s="158"/>
      <c r="ST3116" s="199"/>
      <c r="SU3116" s="200"/>
      <c r="SV3116" s="167"/>
      <c r="SW3116" s="168"/>
      <c r="SX3116" s="168"/>
      <c r="SY3116" s="168"/>
      <c r="SZ3116" s="158"/>
      <c r="TB3116" s="169"/>
      <c r="TC3116" s="158"/>
      <c r="TD3116" s="35"/>
      <c r="TE3116" s="164"/>
      <c r="TF3116" s="2"/>
      <c r="TG3116" s="171"/>
      <c r="TJ3116" s="157"/>
      <c r="TL3116" s="165"/>
      <c r="TM3116" s="165"/>
      <c r="TN3116" s="158"/>
      <c r="TO3116" s="199"/>
      <c r="TP3116" s="200"/>
      <c r="TQ3116" s="167"/>
      <c r="TR3116" s="168"/>
      <c r="TS3116" s="168"/>
      <c r="TT3116" s="168"/>
      <c r="TU3116" s="158"/>
      <c r="TW3116" s="169"/>
      <c r="TX3116" s="158"/>
      <c r="TY3116" s="35"/>
      <c r="TZ3116" s="164"/>
      <c r="UA3116" s="2"/>
      <c r="UB3116" s="171"/>
      <c r="UE3116" s="157"/>
      <c r="UG3116" s="165"/>
      <c r="UH3116" s="165"/>
      <c r="UI3116" s="158"/>
      <c r="UJ3116" s="199"/>
      <c r="UK3116" s="200"/>
      <c r="UL3116" s="167"/>
      <c r="UM3116" s="168"/>
      <c r="UN3116" s="168"/>
      <c r="UO3116" s="168"/>
      <c r="UP3116" s="158"/>
      <c r="UR3116" s="169"/>
      <c r="US3116" s="158"/>
      <c r="UT3116" s="35"/>
      <c r="UU3116" s="164"/>
      <c r="UV3116" s="2"/>
      <c r="UW3116" s="171"/>
      <c r="UZ3116" s="157"/>
      <c r="VB3116" s="165"/>
      <c r="VC3116" s="165"/>
      <c r="VD3116" s="158"/>
      <c r="VE3116" s="199"/>
      <c r="VF3116" s="200"/>
      <c r="VG3116" s="167"/>
      <c r="VH3116" s="168"/>
      <c r="VI3116" s="168"/>
      <c r="VJ3116" s="168"/>
      <c r="VK3116" s="158"/>
      <c r="VM3116" s="169"/>
      <c r="VN3116" s="158"/>
      <c r="VO3116" s="35"/>
      <c r="VP3116" s="164"/>
      <c r="VQ3116" s="2"/>
      <c r="VR3116" s="171"/>
      <c r="VU3116" s="157"/>
      <c r="VW3116" s="165"/>
      <c r="VX3116" s="165"/>
      <c r="VY3116" s="158"/>
      <c r="VZ3116" s="199"/>
      <c r="WA3116" s="200"/>
      <c r="WB3116" s="167"/>
      <c r="WC3116" s="168"/>
      <c r="WD3116" s="168"/>
      <c r="WE3116" s="168"/>
      <c r="WF3116" s="158"/>
      <c r="WH3116" s="169"/>
      <c r="WI3116" s="158"/>
      <c r="WJ3116" s="35"/>
      <c r="WK3116" s="164"/>
      <c r="WL3116" s="2"/>
      <c r="WM3116" s="171"/>
      <c r="WP3116" s="157"/>
      <c r="WR3116" s="165"/>
      <c r="WS3116" s="165"/>
      <c r="WT3116" s="158"/>
      <c r="WU3116" s="199"/>
      <c r="WV3116" s="200"/>
      <c r="WW3116" s="167"/>
      <c r="WX3116" s="168"/>
      <c r="WY3116" s="168"/>
      <c r="WZ3116" s="168"/>
      <c r="XA3116" s="158"/>
      <c r="XC3116" s="169"/>
      <c r="XD3116" s="158"/>
      <c r="XE3116" s="35"/>
      <c r="XF3116" s="164"/>
      <c r="XG3116" s="2"/>
      <c r="XH3116" s="171"/>
      <c r="XK3116" s="157"/>
      <c r="XM3116" s="165"/>
      <c r="XN3116" s="165"/>
      <c r="XO3116" s="158"/>
      <c r="XP3116" s="199"/>
      <c r="XQ3116" s="200"/>
      <c r="XR3116" s="167"/>
      <c r="XS3116" s="168"/>
      <c r="XT3116" s="168"/>
      <c r="XU3116" s="168"/>
      <c r="XV3116" s="158"/>
      <c r="XX3116" s="169"/>
      <c r="XY3116" s="158"/>
      <c r="XZ3116" s="35"/>
      <c r="YA3116" s="164"/>
      <c r="YB3116" s="2"/>
      <c r="YC3116" s="171"/>
      <c r="YF3116" s="157"/>
      <c r="YH3116" s="165"/>
      <c r="YI3116" s="165"/>
      <c r="YJ3116" s="158"/>
      <c r="YK3116" s="199"/>
      <c r="YL3116" s="200"/>
      <c r="YM3116" s="167"/>
      <c r="YN3116" s="168"/>
      <c r="YO3116" s="168"/>
      <c r="YP3116" s="168"/>
      <c r="YQ3116" s="158"/>
      <c r="YS3116" s="169"/>
      <c r="YT3116" s="158"/>
      <c r="YU3116" s="35"/>
      <c r="YV3116" s="164"/>
      <c r="YW3116" s="2"/>
      <c r="YX3116" s="171"/>
      <c r="ZA3116" s="157"/>
      <c r="ZC3116" s="165"/>
      <c r="ZD3116" s="165"/>
      <c r="ZE3116" s="158"/>
      <c r="ZF3116" s="199"/>
      <c r="ZG3116" s="200"/>
      <c r="ZH3116" s="167"/>
      <c r="ZI3116" s="168"/>
      <c r="ZJ3116" s="168"/>
      <c r="ZK3116" s="168"/>
      <c r="ZL3116" s="158"/>
      <c r="ZN3116" s="169"/>
      <c r="ZO3116" s="158"/>
      <c r="ZP3116" s="35"/>
      <c r="ZQ3116" s="164"/>
      <c r="ZR3116" s="2"/>
      <c r="ZS3116" s="171"/>
      <c r="ZV3116" s="157"/>
      <c r="ZX3116" s="165"/>
      <c r="ZY3116" s="165"/>
      <c r="ZZ3116" s="158"/>
      <c r="AAA3116" s="199"/>
      <c r="AAB3116" s="200"/>
      <c r="AAC3116" s="167"/>
      <c r="AAD3116" s="168"/>
      <c r="AAE3116" s="168"/>
      <c r="AAF3116" s="168"/>
      <c r="AAG3116" s="158"/>
      <c r="AAI3116" s="169"/>
      <c r="AAJ3116" s="158"/>
      <c r="AAK3116" s="35"/>
      <c r="AAL3116" s="164"/>
      <c r="AAM3116" s="2"/>
      <c r="AAN3116" s="171"/>
      <c r="AAQ3116" s="157"/>
      <c r="AAS3116" s="165"/>
      <c r="AAT3116" s="165"/>
      <c r="AAU3116" s="158"/>
      <c r="AAV3116" s="199"/>
      <c r="AAW3116" s="200"/>
      <c r="AAX3116" s="167"/>
      <c r="AAY3116" s="168"/>
      <c r="AAZ3116" s="168"/>
      <c r="ABA3116" s="168"/>
      <c r="ABB3116" s="158"/>
      <c r="ABD3116" s="169"/>
      <c r="ABE3116" s="158"/>
      <c r="ABF3116" s="35"/>
      <c r="ABG3116" s="164"/>
      <c r="ABH3116" s="2"/>
      <c r="ABI3116" s="171"/>
      <c r="ABL3116" s="157"/>
      <c r="ABN3116" s="165"/>
      <c r="ABO3116" s="165"/>
      <c r="ABP3116" s="158"/>
      <c r="ABQ3116" s="199"/>
      <c r="ABR3116" s="200"/>
      <c r="ABS3116" s="167"/>
      <c r="ABT3116" s="168"/>
      <c r="ABU3116" s="168"/>
      <c r="ABV3116" s="168"/>
      <c r="ABW3116" s="158"/>
      <c r="ABY3116" s="169"/>
      <c r="ABZ3116" s="158"/>
      <c r="ACA3116" s="35"/>
      <c r="ACB3116" s="164"/>
      <c r="ACC3116" s="2"/>
      <c r="ACD3116" s="171"/>
      <c r="ACG3116" s="157"/>
      <c r="ACI3116" s="165"/>
      <c r="ACJ3116" s="165"/>
      <c r="ACK3116" s="158"/>
      <c r="ACL3116" s="199"/>
      <c r="ACM3116" s="200"/>
      <c r="ACN3116" s="167"/>
      <c r="ACO3116" s="168"/>
      <c r="ACP3116" s="168"/>
      <c r="ACQ3116" s="168"/>
      <c r="ACR3116" s="158"/>
      <c r="ACT3116" s="169"/>
      <c r="ACU3116" s="158"/>
      <c r="ACV3116" s="35"/>
      <c r="ACW3116" s="164"/>
      <c r="ACX3116" s="2"/>
      <c r="ACY3116" s="171"/>
      <c r="ADB3116" s="157"/>
      <c r="ADD3116" s="165"/>
      <c r="ADE3116" s="165"/>
      <c r="ADF3116" s="158"/>
      <c r="ADG3116" s="199"/>
      <c r="ADH3116" s="200"/>
      <c r="ADI3116" s="167"/>
      <c r="ADJ3116" s="168"/>
      <c r="ADK3116" s="168"/>
      <c r="ADL3116" s="168"/>
      <c r="ADM3116" s="158"/>
      <c r="ADO3116" s="169"/>
      <c r="ADP3116" s="158"/>
      <c r="ADQ3116" s="35"/>
      <c r="ADR3116" s="164"/>
      <c r="ADS3116" s="2"/>
      <c r="ADT3116" s="171"/>
      <c r="ADW3116" s="157"/>
      <c r="ADY3116" s="165"/>
      <c r="ADZ3116" s="165"/>
      <c r="AEA3116" s="158"/>
      <c r="AEB3116" s="199"/>
      <c r="AEC3116" s="200"/>
      <c r="AED3116" s="167"/>
      <c r="AEE3116" s="168"/>
      <c r="AEF3116" s="168"/>
      <c r="AEG3116" s="168"/>
      <c r="AEH3116" s="158"/>
      <c r="AEJ3116" s="169"/>
      <c r="AEK3116" s="158"/>
      <c r="AEL3116" s="35"/>
      <c r="AEM3116" s="164"/>
      <c r="AEN3116" s="2"/>
      <c r="AEO3116" s="171"/>
      <c r="AER3116" s="157"/>
      <c r="AET3116" s="165"/>
      <c r="AEU3116" s="165"/>
      <c r="AEV3116" s="158"/>
      <c r="AEW3116" s="199"/>
      <c r="AEX3116" s="200"/>
      <c r="AEY3116" s="167"/>
      <c r="AEZ3116" s="168"/>
      <c r="AFA3116" s="168"/>
      <c r="AFB3116" s="168"/>
      <c r="AFC3116" s="158"/>
      <c r="AFE3116" s="169"/>
      <c r="AFF3116" s="158"/>
      <c r="AFG3116" s="35"/>
      <c r="AFH3116" s="164"/>
      <c r="AFI3116" s="2"/>
      <c r="AFJ3116" s="171"/>
      <c r="AFM3116" s="157"/>
      <c r="AFO3116" s="165"/>
      <c r="AFP3116" s="165"/>
      <c r="AFQ3116" s="158"/>
      <c r="AFR3116" s="199"/>
      <c r="AFS3116" s="200"/>
      <c r="AFT3116" s="167"/>
      <c r="AFU3116" s="168"/>
      <c r="AFV3116" s="168"/>
      <c r="AFW3116" s="168"/>
      <c r="AFX3116" s="158"/>
      <c r="AFZ3116" s="169"/>
      <c r="AGA3116" s="158"/>
      <c r="AGB3116" s="35"/>
      <c r="AGC3116" s="164"/>
      <c r="AGD3116" s="2"/>
      <c r="AGE3116" s="171"/>
      <c r="AGH3116" s="157"/>
      <c r="AGJ3116" s="165"/>
      <c r="AGK3116" s="165"/>
      <c r="AGL3116" s="158"/>
      <c r="AGM3116" s="199"/>
      <c r="AGN3116" s="200"/>
      <c r="AGO3116" s="167"/>
      <c r="AGP3116" s="168"/>
      <c r="AGQ3116" s="168"/>
      <c r="AGR3116" s="168"/>
      <c r="AGS3116" s="158"/>
      <c r="AGU3116" s="169"/>
      <c r="AGV3116" s="158"/>
      <c r="AGW3116" s="35"/>
      <c r="AGX3116" s="164"/>
      <c r="AGY3116" s="2"/>
      <c r="AGZ3116" s="171"/>
      <c r="AHC3116" s="157"/>
      <c r="AHE3116" s="165"/>
      <c r="AHF3116" s="165"/>
      <c r="AHG3116" s="158"/>
      <c r="AHH3116" s="199"/>
      <c r="AHI3116" s="200"/>
      <c r="AHJ3116" s="167"/>
      <c r="AHK3116" s="168"/>
      <c r="AHL3116" s="168"/>
      <c r="AHM3116" s="168"/>
      <c r="AHN3116" s="158"/>
      <c r="AHP3116" s="169"/>
      <c r="AHQ3116" s="158"/>
      <c r="AHR3116" s="35"/>
      <c r="AHS3116" s="164"/>
      <c r="AHT3116" s="2"/>
      <c r="AHU3116" s="171"/>
      <c r="AHX3116" s="157"/>
      <c r="AHZ3116" s="165"/>
      <c r="AIA3116" s="165"/>
      <c r="AIB3116" s="158"/>
      <c r="AIC3116" s="199"/>
      <c r="AID3116" s="200"/>
      <c r="AIE3116" s="167"/>
      <c r="AIF3116" s="168"/>
      <c r="AIG3116" s="168"/>
      <c r="AIH3116" s="168"/>
      <c r="AII3116" s="158"/>
      <c r="AIK3116" s="169"/>
      <c r="AIL3116" s="158"/>
      <c r="AIM3116" s="35"/>
      <c r="AIN3116" s="164"/>
      <c r="AIO3116" s="2"/>
      <c r="AIP3116" s="171"/>
      <c r="AIS3116" s="157"/>
      <c r="AIU3116" s="165"/>
      <c r="AIV3116" s="165"/>
      <c r="AIW3116" s="158"/>
      <c r="AIX3116" s="199"/>
      <c r="AIY3116" s="200"/>
      <c r="AIZ3116" s="167"/>
      <c r="AJA3116" s="168"/>
      <c r="AJB3116" s="168"/>
      <c r="AJC3116" s="168"/>
      <c r="AJD3116" s="158"/>
      <c r="AJF3116" s="169"/>
      <c r="AJG3116" s="158"/>
      <c r="AJH3116" s="35"/>
      <c r="AJI3116" s="164"/>
      <c r="AJJ3116" s="2"/>
      <c r="AJK3116" s="171"/>
      <c r="AJN3116" s="157"/>
      <c r="AJP3116" s="165"/>
      <c r="AJQ3116" s="165"/>
      <c r="AJR3116" s="158"/>
      <c r="AJS3116" s="199"/>
      <c r="AJT3116" s="200"/>
      <c r="AJU3116" s="167"/>
      <c r="AJV3116" s="168"/>
      <c r="AJW3116" s="168"/>
      <c r="AJX3116" s="168"/>
      <c r="AJY3116" s="158"/>
      <c r="AKA3116" s="169"/>
      <c r="AKB3116" s="158"/>
      <c r="AKC3116" s="35"/>
      <c r="AKD3116" s="164"/>
      <c r="AKE3116" s="2"/>
      <c r="AKF3116" s="171"/>
      <c r="AKI3116" s="157"/>
      <c r="AKK3116" s="165"/>
      <c r="AKL3116" s="165"/>
      <c r="AKM3116" s="158"/>
      <c r="AKN3116" s="199"/>
      <c r="AKO3116" s="200"/>
      <c r="AKP3116" s="167"/>
      <c r="AKQ3116" s="168"/>
      <c r="AKR3116" s="168"/>
      <c r="AKS3116" s="168"/>
      <c r="AKT3116" s="158"/>
      <c r="AKV3116" s="169"/>
      <c r="AKW3116" s="158"/>
      <c r="AKX3116" s="35"/>
      <c r="AKY3116" s="164"/>
      <c r="AKZ3116" s="2"/>
      <c r="ALA3116" s="171"/>
      <c r="ALD3116" s="157"/>
      <c r="ALF3116" s="165"/>
      <c r="ALG3116" s="165"/>
      <c r="ALH3116" s="158"/>
      <c r="ALI3116" s="199"/>
      <c r="ALJ3116" s="200"/>
      <c r="ALK3116" s="167"/>
      <c r="ALL3116" s="168"/>
      <c r="ALM3116" s="168"/>
      <c r="ALN3116" s="168"/>
      <c r="ALO3116" s="158"/>
      <c r="ALQ3116" s="169"/>
      <c r="ALR3116" s="158"/>
      <c r="ALS3116" s="35"/>
      <c r="ALT3116" s="164"/>
      <c r="ALU3116" s="2"/>
      <c r="ALV3116" s="171"/>
      <c r="ALY3116" s="157"/>
      <c r="AMA3116" s="165"/>
      <c r="AMB3116" s="165"/>
      <c r="AMC3116" s="158"/>
      <c r="AMD3116" s="199"/>
      <c r="AME3116" s="200"/>
      <c r="AMF3116" s="167"/>
      <c r="AMG3116" s="168"/>
      <c r="AMH3116" s="168"/>
      <c r="AMI3116" s="168"/>
      <c r="AMJ3116" s="158"/>
    </row>
    <row r="3117" s="5" customFormat="true" ht="15" hidden="false" customHeight="true" outlineLevel="0" collapsed="false">
      <c r="A3117" s="1"/>
      <c r="C3117" s="155"/>
      <c r="D3117" s="156"/>
      <c r="F3117" s="170"/>
      <c r="J3117" s="158"/>
      <c r="K3117" s="163"/>
      <c r="L3117" s="160"/>
      <c r="M3117" s="174"/>
      <c r="N3117" s="168"/>
      <c r="O3117" s="163"/>
      <c r="P3117" s="160"/>
      <c r="Q3117" s="175"/>
      <c r="U3117" s="165"/>
      <c r="V3117" s="164"/>
      <c r="W3117" s="116"/>
      <c r="X3117" s="116"/>
      <c r="Y3117" s="116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  <c r="BZ3117" s="1"/>
      <c r="CA3117" s="1"/>
      <c r="CB3117" s="1"/>
      <c r="CC3117" s="1"/>
      <c r="CD3117" s="1"/>
      <c r="CE3117" s="1"/>
      <c r="CF3117" s="1"/>
      <c r="CG3117" s="1"/>
      <c r="CH3117" s="1"/>
      <c r="CI3117" s="1"/>
      <c r="CJ3117" s="1"/>
      <c r="CK3117" s="1"/>
      <c r="CL3117" s="1"/>
      <c r="CM3117" s="1"/>
      <c r="CN3117" s="1"/>
      <c r="CO3117" s="1"/>
      <c r="CP3117" s="1"/>
      <c r="CQ3117" s="1"/>
      <c r="CR3117" s="1"/>
      <c r="CS3117" s="1"/>
      <c r="CT3117" s="1"/>
      <c r="CU3117" s="1"/>
      <c r="CV3117" s="1"/>
      <c r="CW3117" s="1"/>
      <c r="CX3117" s="1"/>
      <c r="CY3117" s="1"/>
      <c r="CZ3117" s="1"/>
      <c r="DA3117" s="1"/>
      <c r="DB3117" s="1"/>
      <c r="DC3117" s="1"/>
      <c r="DD3117" s="1"/>
      <c r="DE3117" s="1"/>
      <c r="DF3117" s="1"/>
      <c r="DG3117" s="1"/>
      <c r="DH3117" s="1"/>
      <c r="DI3117" s="1"/>
      <c r="DJ3117" s="1"/>
      <c r="DK3117" s="1"/>
      <c r="DL3117" s="1"/>
      <c r="DM3117" s="1"/>
      <c r="DN3117" s="1"/>
      <c r="DO3117" s="1"/>
      <c r="DP3117" s="1"/>
      <c r="DQ3117" s="1"/>
      <c r="DR3117" s="1"/>
      <c r="DS3117" s="1"/>
      <c r="DT3117" s="1"/>
      <c r="DU3117" s="1"/>
      <c r="DV3117" s="1"/>
      <c r="DW3117" s="1"/>
      <c r="DX3117" s="1"/>
      <c r="DY3117" s="1"/>
      <c r="DZ3117" s="1"/>
      <c r="EA3117" s="157"/>
      <c r="EC3117" s="165"/>
      <c r="ED3117" s="165"/>
      <c r="EE3117" s="158"/>
      <c r="EF3117" s="199"/>
      <c r="EG3117" s="200"/>
      <c r="EH3117" s="167"/>
      <c r="EI3117" s="168"/>
      <c r="EJ3117" s="168"/>
      <c r="EK3117" s="168"/>
      <c r="EL3117" s="158"/>
      <c r="EN3117" s="169"/>
      <c r="EO3117" s="158"/>
      <c r="EP3117" s="35"/>
      <c r="EQ3117" s="164"/>
      <c r="ER3117" s="2"/>
      <c r="ES3117" s="171"/>
      <c r="EV3117" s="157"/>
      <c r="EX3117" s="165"/>
      <c r="EY3117" s="165"/>
      <c r="EZ3117" s="158"/>
      <c r="FA3117" s="199"/>
      <c r="FB3117" s="200"/>
      <c r="FC3117" s="167"/>
      <c r="FD3117" s="168"/>
      <c r="FE3117" s="168"/>
      <c r="FF3117" s="168"/>
      <c r="FG3117" s="158"/>
      <c r="FI3117" s="169"/>
      <c r="FJ3117" s="158"/>
      <c r="FK3117" s="35"/>
      <c r="FL3117" s="164"/>
      <c r="FM3117" s="2"/>
      <c r="FN3117" s="171"/>
      <c r="FQ3117" s="157"/>
      <c r="FS3117" s="165"/>
      <c r="FT3117" s="165"/>
      <c r="FU3117" s="158"/>
      <c r="FV3117" s="199"/>
      <c r="FW3117" s="200"/>
      <c r="FX3117" s="167"/>
      <c r="FY3117" s="168"/>
      <c r="FZ3117" s="168"/>
      <c r="GA3117" s="168"/>
      <c r="GB3117" s="158"/>
      <c r="GD3117" s="169"/>
      <c r="GE3117" s="158"/>
      <c r="GF3117" s="35"/>
      <c r="GG3117" s="164"/>
      <c r="GH3117" s="2"/>
      <c r="GI3117" s="171"/>
      <c r="GL3117" s="157"/>
      <c r="GN3117" s="165"/>
      <c r="GO3117" s="165"/>
      <c r="GP3117" s="158"/>
      <c r="GQ3117" s="199"/>
      <c r="GR3117" s="200"/>
      <c r="GS3117" s="167"/>
      <c r="GT3117" s="168"/>
      <c r="GU3117" s="168"/>
      <c r="GV3117" s="168"/>
      <c r="GW3117" s="158"/>
      <c r="GY3117" s="169"/>
      <c r="GZ3117" s="158"/>
      <c r="HA3117" s="35"/>
      <c r="HB3117" s="164"/>
      <c r="HC3117" s="2"/>
      <c r="HD3117" s="171"/>
      <c r="HG3117" s="157"/>
      <c r="HI3117" s="165"/>
      <c r="HJ3117" s="165"/>
      <c r="HK3117" s="158"/>
      <c r="HL3117" s="199"/>
      <c r="HM3117" s="200"/>
      <c r="HN3117" s="167"/>
      <c r="HO3117" s="168"/>
      <c r="HP3117" s="168"/>
      <c r="HQ3117" s="168"/>
      <c r="HR3117" s="158"/>
      <c r="HT3117" s="169"/>
      <c r="HU3117" s="158"/>
      <c r="HV3117" s="35"/>
      <c r="HW3117" s="164"/>
      <c r="HX3117" s="2"/>
      <c r="HY3117" s="171"/>
      <c r="IB3117" s="157"/>
      <c r="ID3117" s="165"/>
      <c r="IE3117" s="165"/>
      <c r="IF3117" s="158"/>
      <c r="IG3117" s="199"/>
      <c r="IH3117" s="200"/>
      <c r="II3117" s="167"/>
      <c r="IJ3117" s="168"/>
      <c r="IK3117" s="168"/>
      <c r="IL3117" s="168"/>
      <c r="IM3117" s="158"/>
      <c r="IO3117" s="169"/>
      <c r="IP3117" s="158"/>
      <c r="IQ3117" s="35"/>
      <c r="IR3117" s="164"/>
      <c r="IS3117" s="2"/>
      <c r="IT3117" s="171"/>
      <c r="IW3117" s="157"/>
      <c r="IY3117" s="165"/>
      <c r="IZ3117" s="165"/>
      <c r="JA3117" s="158"/>
      <c r="JB3117" s="199"/>
      <c r="JC3117" s="200"/>
      <c r="JD3117" s="167"/>
      <c r="JE3117" s="168"/>
      <c r="JF3117" s="168"/>
      <c r="JG3117" s="168"/>
      <c r="JH3117" s="158"/>
      <c r="JJ3117" s="169"/>
      <c r="JK3117" s="158"/>
      <c r="JL3117" s="35"/>
      <c r="JM3117" s="164"/>
      <c r="JN3117" s="2"/>
      <c r="JO3117" s="171"/>
      <c r="JR3117" s="157"/>
      <c r="JT3117" s="165"/>
      <c r="JU3117" s="165"/>
      <c r="JV3117" s="158"/>
      <c r="JW3117" s="199"/>
      <c r="JX3117" s="200"/>
      <c r="JY3117" s="167"/>
      <c r="JZ3117" s="168"/>
      <c r="KA3117" s="168"/>
      <c r="KB3117" s="168"/>
      <c r="KC3117" s="158"/>
      <c r="KE3117" s="169"/>
      <c r="KF3117" s="158"/>
      <c r="KG3117" s="35"/>
      <c r="KH3117" s="164"/>
      <c r="KI3117" s="2"/>
      <c r="KJ3117" s="171"/>
      <c r="KM3117" s="157"/>
      <c r="KO3117" s="165"/>
      <c r="KP3117" s="165"/>
      <c r="KQ3117" s="158"/>
      <c r="KR3117" s="199"/>
      <c r="KS3117" s="200"/>
      <c r="KT3117" s="167"/>
      <c r="KU3117" s="168"/>
      <c r="KV3117" s="168"/>
      <c r="KW3117" s="168"/>
      <c r="KX3117" s="158"/>
      <c r="KZ3117" s="169"/>
      <c r="LA3117" s="158"/>
      <c r="LB3117" s="35"/>
      <c r="LC3117" s="164"/>
      <c r="LD3117" s="2"/>
      <c r="LE3117" s="171"/>
      <c r="LH3117" s="157"/>
      <c r="LJ3117" s="165"/>
      <c r="LK3117" s="165"/>
      <c r="LL3117" s="158"/>
      <c r="LM3117" s="199"/>
      <c r="LN3117" s="200"/>
      <c r="LO3117" s="167"/>
      <c r="LP3117" s="168"/>
      <c r="LQ3117" s="168"/>
      <c r="LR3117" s="168"/>
      <c r="LS3117" s="158"/>
      <c r="LU3117" s="169"/>
      <c r="LV3117" s="158"/>
      <c r="LW3117" s="35"/>
      <c r="LX3117" s="164"/>
      <c r="LY3117" s="2"/>
      <c r="LZ3117" s="171"/>
      <c r="MC3117" s="157"/>
      <c r="ME3117" s="165"/>
      <c r="MF3117" s="165"/>
      <c r="MG3117" s="158"/>
      <c r="MH3117" s="199"/>
      <c r="MI3117" s="200"/>
      <c r="MJ3117" s="167"/>
      <c r="MK3117" s="168"/>
      <c r="ML3117" s="168"/>
      <c r="MM3117" s="168"/>
      <c r="MN3117" s="158"/>
      <c r="MP3117" s="169"/>
      <c r="MQ3117" s="158"/>
      <c r="MR3117" s="35"/>
      <c r="MS3117" s="164"/>
      <c r="MT3117" s="2"/>
      <c r="MU3117" s="171"/>
      <c r="MX3117" s="157"/>
      <c r="MZ3117" s="165"/>
      <c r="NA3117" s="165"/>
      <c r="NB3117" s="158"/>
      <c r="NC3117" s="199"/>
      <c r="ND3117" s="200"/>
      <c r="NE3117" s="167"/>
      <c r="NF3117" s="168"/>
      <c r="NG3117" s="168"/>
      <c r="NH3117" s="168"/>
      <c r="NI3117" s="158"/>
      <c r="NK3117" s="169"/>
      <c r="NL3117" s="158"/>
      <c r="NM3117" s="35"/>
      <c r="NN3117" s="164"/>
      <c r="NO3117" s="2"/>
      <c r="NP3117" s="171"/>
      <c r="NS3117" s="157"/>
      <c r="NU3117" s="165"/>
      <c r="NV3117" s="165"/>
      <c r="NW3117" s="158"/>
      <c r="NX3117" s="199"/>
      <c r="NY3117" s="200"/>
      <c r="NZ3117" s="167"/>
      <c r="OA3117" s="168"/>
      <c r="OB3117" s="168"/>
      <c r="OC3117" s="168"/>
      <c r="OD3117" s="158"/>
      <c r="OF3117" s="169"/>
      <c r="OG3117" s="158"/>
      <c r="OH3117" s="35"/>
      <c r="OI3117" s="164"/>
      <c r="OJ3117" s="2"/>
      <c r="OK3117" s="171"/>
      <c r="ON3117" s="157"/>
      <c r="OP3117" s="165"/>
      <c r="OQ3117" s="165"/>
      <c r="OR3117" s="158"/>
      <c r="OS3117" s="199"/>
      <c r="OT3117" s="200"/>
      <c r="OU3117" s="167"/>
      <c r="OV3117" s="168"/>
      <c r="OW3117" s="168"/>
      <c r="OX3117" s="168"/>
      <c r="OY3117" s="158"/>
      <c r="PA3117" s="169"/>
      <c r="PB3117" s="158"/>
      <c r="PC3117" s="35"/>
      <c r="PD3117" s="164"/>
      <c r="PE3117" s="2"/>
      <c r="PF3117" s="171"/>
      <c r="PI3117" s="157"/>
      <c r="PK3117" s="165"/>
      <c r="PL3117" s="165"/>
      <c r="PM3117" s="158"/>
      <c r="PN3117" s="199"/>
      <c r="PO3117" s="200"/>
      <c r="PP3117" s="167"/>
      <c r="PQ3117" s="168"/>
      <c r="PR3117" s="168"/>
      <c r="PS3117" s="168"/>
      <c r="PT3117" s="158"/>
      <c r="PV3117" s="169"/>
      <c r="PW3117" s="158"/>
      <c r="PX3117" s="35"/>
      <c r="PY3117" s="164"/>
      <c r="PZ3117" s="2"/>
      <c r="QA3117" s="171"/>
      <c r="QD3117" s="157"/>
      <c r="QF3117" s="165"/>
      <c r="QG3117" s="165"/>
      <c r="QH3117" s="158"/>
      <c r="QI3117" s="199"/>
      <c r="QJ3117" s="200"/>
      <c r="QK3117" s="167"/>
      <c r="QL3117" s="168"/>
      <c r="QM3117" s="168"/>
      <c r="QN3117" s="168"/>
      <c r="QO3117" s="158"/>
      <c r="QQ3117" s="169"/>
      <c r="QR3117" s="158"/>
      <c r="QS3117" s="35"/>
      <c r="QT3117" s="164"/>
      <c r="QU3117" s="2"/>
      <c r="QV3117" s="171"/>
      <c r="QY3117" s="157"/>
      <c r="RA3117" s="165"/>
      <c r="RB3117" s="165"/>
      <c r="RC3117" s="158"/>
      <c r="RD3117" s="199"/>
      <c r="RE3117" s="200"/>
      <c r="RF3117" s="167"/>
      <c r="RG3117" s="168"/>
      <c r="RH3117" s="168"/>
      <c r="RI3117" s="168"/>
      <c r="RJ3117" s="158"/>
      <c r="RL3117" s="169"/>
      <c r="RM3117" s="158"/>
      <c r="RN3117" s="35"/>
      <c r="RO3117" s="164"/>
      <c r="RP3117" s="2"/>
      <c r="RQ3117" s="171"/>
      <c r="RT3117" s="157"/>
      <c r="RV3117" s="165"/>
      <c r="RW3117" s="165"/>
      <c r="RX3117" s="158"/>
      <c r="RY3117" s="199"/>
      <c r="RZ3117" s="200"/>
      <c r="SA3117" s="167"/>
      <c r="SB3117" s="168"/>
      <c r="SC3117" s="168"/>
      <c r="SD3117" s="168"/>
      <c r="SE3117" s="158"/>
      <c r="SG3117" s="169"/>
      <c r="SH3117" s="158"/>
      <c r="SI3117" s="35"/>
      <c r="SJ3117" s="164"/>
      <c r="SK3117" s="2"/>
      <c r="SL3117" s="171"/>
      <c r="SO3117" s="157"/>
      <c r="SQ3117" s="165"/>
      <c r="SR3117" s="165"/>
      <c r="SS3117" s="158"/>
      <c r="ST3117" s="199"/>
      <c r="SU3117" s="200"/>
      <c r="SV3117" s="167"/>
      <c r="SW3117" s="168"/>
      <c r="SX3117" s="168"/>
      <c r="SY3117" s="168"/>
      <c r="SZ3117" s="158"/>
      <c r="TB3117" s="169"/>
      <c r="TC3117" s="158"/>
      <c r="TD3117" s="35"/>
      <c r="TE3117" s="164"/>
      <c r="TF3117" s="2"/>
      <c r="TG3117" s="171"/>
      <c r="TJ3117" s="157"/>
      <c r="TL3117" s="165"/>
      <c r="TM3117" s="165"/>
      <c r="TN3117" s="158"/>
      <c r="TO3117" s="199"/>
      <c r="TP3117" s="200"/>
      <c r="TQ3117" s="167"/>
      <c r="TR3117" s="168"/>
      <c r="TS3117" s="168"/>
      <c r="TT3117" s="168"/>
      <c r="TU3117" s="158"/>
      <c r="TW3117" s="169"/>
      <c r="TX3117" s="158"/>
      <c r="TY3117" s="35"/>
      <c r="TZ3117" s="164"/>
      <c r="UA3117" s="2"/>
      <c r="UB3117" s="171"/>
      <c r="UE3117" s="157"/>
      <c r="UG3117" s="165"/>
      <c r="UH3117" s="165"/>
      <c r="UI3117" s="158"/>
      <c r="UJ3117" s="199"/>
      <c r="UK3117" s="200"/>
      <c r="UL3117" s="167"/>
      <c r="UM3117" s="168"/>
      <c r="UN3117" s="168"/>
      <c r="UO3117" s="168"/>
      <c r="UP3117" s="158"/>
      <c r="UR3117" s="169"/>
      <c r="US3117" s="158"/>
      <c r="UT3117" s="35"/>
      <c r="UU3117" s="164"/>
      <c r="UV3117" s="2"/>
      <c r="UW3117" s="171"/>
      <c r="UZ3117" s="157"/>
      <c r="VB3117" s="165"/>
      <c r="VC3117" s="165"/>
      <c r="VD3117" s="158"/>
      <c r="VE3117" s="199"/>
      <c r="VF3117" s="200"/>
      <c r="VG3117" s="167"/>
      <c r="VH3117" s="168"/>
      <c r="VI3117" s="168"/>
      <c r="VJ3117" s="168"/>
      <c r="VK3117" s="158"/>
      <c r="VM3117" s="169"/>
      <c r="VN3117" s="158"/>
      <c r="VO3117" s="35"/>
      <c r="VP3117" s="164"/>
      <c r="VQ3117" s="2"/>
      <c r="VR3117" s="171"/>
      <c r="VU3117" s="157"/>
      <c r="VW3117" s="165"/>
      <c r="VX3117" s="165"/>
      <c r="VY3117" s="158"/>
      <c r="VZ3117" s="199"/>
      <c r="WA3117" s="200"/>
      <c r="WB3117" s="167"/>
      <c r="WC3117" s="168"/>
      <c r="WD3117" s="168"/>
      <c r="WE3117" s="168"/>
      <c r="WF3117" s="158"/>
      <c r="WH3117" s="169"/>
      <c r="WI3117" s="158"/>
      <c r="WJ3117" s="35"/>
      <c r="WK3117" s="164"/>
      <c r="WL3117" s="2"/>
      <c r="WM3117" s="171"/>
      <c r="WP3117" s="157"/>
      <c r="WR3117" s="165"/>
      <c r="WS3117" s="165"/>
      <c r="WT3117" s="158"/>
      <c r="WU3117" s="199"/>
      <c r="WV3117" s="200"/>
      <c r="WW3117" s="167"/>
      <c r="WX3117" s="168"/>
      <c r="WY3117" s="168"/>
      <c r="WZ3117" s="168"/>
      <c r="XA3117" s="158"/>
      <c r="XC3117" s="169"/>
      <c r="XD3117" s="158"/>
      <c r="XE3117" s="35"/>
      <c r="XF3117" s="164"/>
      <c r="XG3117" s="2"/>
      <c r="XH3117" s="171"/>
      <c r="XK3117" s="157"/>
      <c r="XM3117" s="165"/>
      <c r="XN3117" s="165"/>
      <c r="XO3117" s="158"/>
      <c r="XP3117" s="199"/>
      <c r="XQ3117" s="200"/>
      <c r="XR3117" s="167"/>
      <c r="XS3117" s="168"/>
      <c r="XT3117" s="168"/>
      <c r="XU3117" s="168"/>
      <c r="XV3117" s="158"/>
      <c r="XX3117" s="169"/>
      <c r="XY3117" s="158"/>
      <c r="XZ3117" s="35"/>
      <c r="YA3117" s="164"/>
      <c r="YB3117" s="2"/>
      <c r="YC3117" s="171"/>
      <c r="YF3117" s="157"/>
      <c r="YH3117" s="165"/>
      <c r="YI3117" s="165"/>
      <c r="YJ3117" s="158"/>
      <c r="YK3117" s="199"/>
      <c r="YL3117" s="200"/>
      <c r="YM3117" s="167"/>
      <c r="YN3117" s="168"/>
      <c r="YO3117" s="168"/>
      <c r="YP3117" s="168"/>
      <c r="YQ3117" s="158"/>
      <c r="YS3117" s="169"/>
      <c r="YT3117" s="158"/>
      <c r="YU3117" s="35"/>
      <c r="YV3117" s="164"/>
      <c r="YW3117" s="2"/>
      <c r="YX3117" s="171"/>
      <c r="ZA3117" s="157"/>
      <c r="ZC3117" s="165"/>
      <c r="ZD3117" s="165"/>
      <c r="ZE3117" s="158"/>
      <c r="ZF3117" s="199"/>
      <c r="ZG3117" s="200"/>
      <c r="ZH3117" s="167"/>
      <c r="ZI3117" s="168"/>
      <c r="ZJ3117" s="168"/>
      <c r="ZK3117" s="168"/>
      <c r="ZL3117" s="158"/>
      <c r="ZN3117" s="169"/>
      <c r="ZO3117" s="158"/>
      <c r="ZP3117" s="35"/>
      <c r="ZQ3117" s="164"/>
      <c r="ZR3117" s="2"/>
      <c r="ZS3117" s="171"/>
      <c r="ZV3117" s="157"/>
      <c r="ZX3117" s="165"/>
      <c r="ZY3117" s="165"/>
      <c r="ZZ3117" s="158"/>
      <c r="AAA3117" s="199"/>
      <c r="AAB3117" s="200"/>
      <c r="AAC3117" s="167"/>
      <c r="AAD3117" s="168"/>
      <c r="AAE3117" s="168"/>
      <c r="AAF3117" s="168"/>
      <c r="AAG3117" s="158"/>
      <c r="AAI3117" s="169"/>
      <c r="AAJ3117" s="158"/>
      <c r="AAK3117" s="35"/>
      <c r="AAL3117" s="164"/>
      <c r="AAM3117" s="2"/>
      <c r="AAN3117" s="171"/>
      <c r="AAQ3117" s="157"/>
      <c r="AAS3117" s="165"/>
      <c r="AAT3117" s="165"/>
      <c r="AAU3117" s="158"/>
      <c r="AAV3117" s="199"/>
      <c r="AAW3117" s="200"/>
      <c r="AAX3117" s="167"/>
      <c r="AAY3117" s="168"/>
      <c r="AAZ3117" s="168"/>
      <c r="ABA3117" s="168"/>
      <c r="ABB3117" s="158"/>
      <c r="ABD3117" s="169"/>
      <c r="ABE3117" s="158"/>
      <c r="ABF3117" s="35"/>
      <c r="ABG3117" s="164"/>
      <c r="ABH3117" s="2"/>
      <c r="ABI3117" s="171"/>
      <c r="ABL3117" s="157"/>
      <c r="ABN3117" s="165"/>
      <c r="ABO3117" s="165"/>
      <c r="ABP3117" s="158"/>
      <c r="ABQ3117" s="199"/>
      <c r="ABR3117" s="200"/>
      <c r="ABS3117" s="167"/>
      <c r="ABT3117" s="168"/>
      <c r="ABU3117" s="168"/>
      <c r="ABV3117" s="168"/>
      <c r="ABW3117" s="158"/>
      <c r="ABY3117" s="169"/>
      <c r="ABZ3117" s="158"/>
      <c r="ACA3117" s="35"/>
      <c r="ACB3117" s="164"/>
      <c r="ACC3117" s="2"/>
      <c r="ACD3117" s="171"/>
      <c r="ACG3117" s="157"/>
      <c r="ACI3117" s="165"/>
      <c r="ACJ3117" s="165"/>
      <c r="ACK3117" s="158"/>
      <c r="ACL3117" s="199"/>
      <c r="ACM3117" s="200"/>
      <c r="ACN3117" s="167"/>
      <c r="ACO3117" s="168"/>
      <c r="ACP3117" s="168"/>
      <c r="ACQ3117" s="168"/>
      <c r="ACR3117" s="158"/>
      <c r="ACT3117" s="169"/>
      <c r="ACU3117" s="158"/>
      <c r="ACV3117" s="35"/>
      <c r="ACW3117" s="164"/>
      <c r="ACX3117" s="2"/>
      <c r="ACY3117" s="171"/>
      <c r="ADB3117" s="157"/>
      <c r="ADD3117" s="165"/>
      <c r="ADE3117" s="165"/>
      <c r="ADF3117" s="158"/>
      <c r="ADG3117" s="199"/>
      <c r="ADH3117" s="200"/>
      <c r="ADI3117" s="167"/>
      <c r="ADJ3117" s="168"/>
      <c r="ADK3117" s="168"/>
      <c r="ADL3117" s="168"/>
      <c r="ADM3117" s="158"/>
      <c r="ADO3117" s="169"/>
      <c r="ADP3117" s="158"/>
      <c r="ADQ3117" s="35"/>
      <c r="ADR3117" s="164"/>
      <c r="ADS3117" s="2"/>
      <c r="ADT3117" s="171"/>
      <c r="ADW3117" s="157"/>
      <c r="ADY3117" s="165"/>
      <c r="ADZ3117" s="165"/>
      <c r="AEA3117" s="158"/>
      <c r="AEB3117" s="199"/>
      <c r="AEC3117" s="200"/>
      <c r="AED3117" s="167"/>
      <c r="AEE3117" s="168"/>
      <c r="AEF3117" s="168"/>
      <c r="AEG3117" s="168"/>
      <c r="AEH3117" s="158"/>
      <c r="AEJ3117" s="169"/>
      <c r="AEK3117" s="158"/>
      <c r="AEL3117" s="35"/>
      <c r="AEM3117" s="164"/>
      <c r="AEN3117" s="2"/>
      <c r="AEO3117" s="171"/>
      <c r="AER3117" s="157"/>
      <c r="AET3117" s="165"/>
      <c r="AEU3117" s="165"/>
      <c r="AEV3117" s="158"/>
      <c r="AEW3117" s="199"/>
      <c r="AEX3117" s="200"/>
      <c r="AEY3117" s="167"/>
      <c r="AEZ3117" s="168"/>
      <c r="AFA3117" s="168"/>
      <c r="AFB3117" s="168"/>
      <c r="AFC3117" s="158"/>
      <c r="AFE3117" s="169"/>
      <c r="AFF3117" s="158"/>
      <c r="AFG3117" s="35"/>
      <c r="AFH3117" s="164"/>
      <c r="AFI3117" s="2"/>
      <c r="AFJ3117" s="171"/>
      <c r="AFM3117" s="157"/>
      <c r="AFO3117" s="165"/>
      <c r="AFP3117" s="165"/>
      <c r="AFQ3117" s="158"/>
      <c r="AFR3117" s="199"/>
      <c r="AFS3117" s="200"/>
      <c r="AFT3117" s="167"/>
      <c r="AFU3117" s="168"/>
      <c r="AFV3117" s="168"/>
      <c r="AFW3117" s="168"/>
      <c r="AFX3117" s="158"/>
      <c r="AFZ3117" s="169"/>
      <c r="AGA3117" s="158"/>
      <c r="AGB3117" s="35"/>
      <c r="AGC3117" s="164"/>
      <c r="AGD3117" s="2"/>
      <c r="AGE3117" s="171"/>
      <c r="AGH3117" s="157"/>
      <c r="AGJ3117" s="165"/>
      <c r="AGK3117" s="165"/>
      <c r="AGL3117" s="158"/>
      <c r="AGM3117" s="199"/>
      <c r="AGN3117" s="200"/>
      <c r="AGO3117" s="167"/>
      <c r="AGP3117" s="168"/>
      <c r="AGQ3117" s="168"/>
      <c r="AGR3117" s="168"/>
      <c r="AGS3117" s="158"/>
      <c r="AGU3117" s="169"/>
      <c r="AGV3117" s="158"/>
      <c r="AGW3117" s="35"/>
      <c r="AGX3117" s="164"/>
      <c r="AGY3117" s="2"/>
      <c r="AGZ3117" s="171"/>
      <c r="AHC3117" s="157"/>
      <c r="AHE3117" s="165"/>
      <c r="AHF3117" s="165"/>
      <c r="AHG3117" s="158"/>
      <c r="AHH3117" s="199"/>
      <c r="AHI3117" s="200"/>
      <c r="AHJ3117" s="167"/>
      <c r="AHK3117" s="168"/>
      <c r="AHL3117" s="168"/>
      <c r="AHM3117" s="168"/>
      <c r="AHN3117" s="158"/>
      <c r="AHP3117" s="169"/>
      <c r="AHQ3117" s="158"/>
      <c r="AHR3117" s="35"/>
      <c r="AHS3117" s="164"/>
      <c r="AHT3117" s="2"/>
      <c r="AHU3117" s="171"/>
      <c r="AHX3117" s="157"/>
      <c r="AHZ3117" s="165"/>
      <c r="AIA3117" s="165"/>
      <c r="AIB3117" s="158"/>
      <c r="AIC3117" s="199"/>
      <c r="AID3117" s="200"/>
      <c r="AIE3117" s="167"/>
      <c r="AIF3117" s="168"/>
      <c r="AIG3117" s="168"/>
      <c r="AIH3117" s="168"/>
      <c r="AII3117" s="158"/>
      <c r="AIK3117" s="169"/>
      <c r="AIL3117" s="158"/>
      <c r="AIM3117" s="35"/>
      <c r="AIN3117" s="164"/>
      <c r="AIO3117" s="2"/>
      <c r="AIP3117" s="171"/>
      <c r="AIS3117" s="157"/>
      <c r="AIU3117" s="165"/>
      <c r="AIV3117" s="165"/>
      <c r="AIW3117" s="158"/>
      <c r="AIX3117" s="199"/>
      <c r="AIY3117" s="200"/>
      <c r="AIZ3117" s="167"/>
      <c r="AJA3117" s="168"/>
      <c r="AJB3117" s="168"/>
      <c r="AJC3117" s="168"/>
      <c r="AJD3117" s="158"/>
      <c r="AJF3117" s="169"/>
      <c r="AJG3117" s="158"/>
      <c r="AJH3117" s="35"/>
      <c r="AJI3117" s="164"/>
      <c r="AJJ3117" s="2"/>
      <c r="AJK3117" s="171"/>
      <c r="AJN3117" s="157"/>
      <c r="AJP3117" s="165"/>
      <c r="AJQ3117" s="165"/>
      <c r="AJR3117" s="158"/>
      <c r="AJS3117" s="199"/>
      <c r="AJT3117" s="200"/>
      <c r="AJU3117" s="167"/>
      <c r="AJV3117" s="168"/>
      <c r="AJW3117" s="168"/>
      <c r="AJX3117" s="168"/>
      <c r="AJY3117" s="158"/>
      <c r="AKA3117" s="169"/>
      <c r="AKB3117" s="158"/>
      <c r="AKC3117" s="35"/>
      <c r="AKD3117" s="164"/>
      <c r="AKE3117" s="2"/>
      <c r="AKF3117" s="171"/>
      <c r="AKI3117" s="157"/>
      <c r="AKK3117" s="165"/>
      <c r="AKL3117" s="165"/>
      <c r="AKM3117" s="158"/>
      <c r="AKN3117" s="199"/>
      <c r="AKO3117" s="200"/>
      <c r="AKP3117" s="167"/>
      <c r="AKQ3117" s="168"/>
      <c r="AKR3117" s="168"/>
      <c r="AKS3117" s="168"/>
      <c r="AKT3117" s="158"/>
      <c r="AKV3117" s="169"/>
      <c r="AKW3117" s="158"/>
      <c r="AKX3117" s="35"/>
      <c r="AKY3117" s="164"/>
      <c r="AKZ3117" s="2"/>
      <c r="ALA3117" s="171"/>
      <c r="ALD3117" s="157"/>
      <c r="ALF3117" s="165"/>
      <c r="ALG3117" s="165"/>
      <c r="ALH3117" s="158"/>
      <c r="ALI3117" s="199"/>
      <c r="ALJ3117" s="200"/>
      <c r="ALK3117" s="167"/>
      <c r="ALL3117" s="168"/>
      <c r="ALM3117" s="168"/>
      <c r="ALN3117" s="168"/>
      <c r="ALO3117" s="158"/>
      <c r="ALQ3117" s="169"/>
      <c r="ALR3117" s="158"/>
      <c r="ALS3117" s="35"/>
      <c r="ALT3117" s="164"/>
      <c r="ALU3117" s="2"/>
      <c r="ALV3117" s="171"/>
      <c r="ALY3117" s="157"/>
      <c r="AMA3117" s="165"/>
      <c r="AMB3117" s="165"/>
      <c r="AMC3117" s="158"/>
      <c r="AMD3117" s="199"/>
      <c r="AME3117" s="200"/>
      <c r="AMF3117" s="167"/>
      <c r="AMG3117" s="168"/>
      <c r="AMH3117" s="168"/>
      <c r="AMI3117" s="168"/>
      <c r="AMJ3117" s="158"/>
    </row>
    <row r="3118" customFormat="false" ht="15" hidden="false" customHeight="true" outlineLevel="0" collapsed="false">
      <c r="B3118" s="5"/>
      <c r="C3118" s="155"/>
      <c r="D3118" s="156"/>
      <c r="F3118" s="157"/>
      <c r="G3118" s="5"/>
      <c r="H3118" s="5"/>
      <c r="I3118" s="5"/>
      <c r="J3118" s="158"/>
      <c r="K3118" s="159"/>
      <c r="L3118" s="160"/>
      <c r="M3118" s="161"/>
      <c r="N3118" s="162"/>
      <c r="O3118" s="163"/>
      <c r="P3118" s="163"/>
      <c r="Q3118" s="158"/>
      <c r="R3118" s="5"/>
      <c r="S3118" s="5"/>
      <c r="T3118" s="5"/>
      <c r="U3118" s="35"/>
      <c r="V3118" s="164"/>
    </row>
    <row r="3119" customFormat="false" ht="15" hidden="false" customHeight="true" outlineLevel="0" collapsed="false">
      <c r="B3119" s="5"/>
      <c r="C3119" s="155"/>
      <c r="D3119" s="156"/>
      <c r="F3119" s="170"/>
      <c r="G3119" s="5"/>
      <c r="H3119" s="5"/>
      <c r="I3119" s="5"/>
      <c r="J3119" s="158"/>
      <c r="K3119" s="159"/>
      <c r="L3119" s="160"/>
      <c r="M3119" s="174"/>
      <c r="N3119" s="168"/>
      <c r="O3119" s="163"/>
      <c r="P3119" s="160"/>
      <c r="Q3119" s="5"/>
      <c r="R3119" s="5"/>
      <c r="S3119" s="5"/>
      <c r="T3119" s="5"/>
      <c r="U3119" s="35"/>
      <c r="V3119" s="171"/>
    </row>
    <row r="3120" customFormat="false" ht="15" hidden="false" customHeight="true" outlineLevel="0" collapsed="false">
      <c r="B3120" s="5"/>
      <c r="C3120" s="155"/>
      <c r="D3120" s="156"/>
      <c r="F3120" s="170"/>
      <c r="G3120" s="5"/>
      <c r="H3120" s="5"/>
      <c r="I3120" s="5"/>
      <c r="J3120" s="158"/>
      <c r="K3120" s="163"/>
      <c r="L3120" s="160"/>
      <c r="M3120" s="174"/>
      <c r="N3120" s="168"/>
      <c r="O3120" s="163"/>
      <c r="P3120" s="160"/>
      <c r="Q3120" s="175"/>
      <c r="R3120" s="5"/>
      <c r="S3120" s="5"/>
      <c r="T3120" s="5"/>
      <c r="U3120" s="35"/>
      <c r="V3120" s="171"/>
      <c r="W3120" s="170"/>
      <c r="X3120" s="176"/>
    </row>
    <row r="3121" customFormat="false" ht="15" hidden="false" customHeight="true" outlineLevel="0" collapsed="false">
      <c r="B3121" s="5"/>
      <c r="C3121" s="155"/>
      <c r="D3121" s="156"/>
      <c r="F3121" s="157"/>
      <c r="G3121" s="5"/>
      <c r="H3121" s="5"/>
      <c r="I3121" s="5"/>
      <c r="J3121" s="158"/>
      <c r="K3121" s="159"/>
      <c r="L3121" s="160"/>
      <c r="M3121" s="161"/>
      <c r="N3121" s="162"/>
      <c r="O3121" s="163"/>
      <c r="P3121" s="163"/>
      <c r="Q3121" s="158"/>
      <c r="R3121" s="5"/>
      <c r="S3121" s="5"/>
      <c r="T3121" s="5"/>
      <c r="U3121" s="35"/>
      <c r="V3121" s="164"/>
    </row>
    <row r="3122" customFormat="false" ht="15" hidden="false" customHeight="true" outlineLevel="0" collapsed="false">
      <c r="C3122" s="155"/>
      <c r="D3122" s="156"/>
      <c r="F3122" s="157"/>
      <c r="G3122" s="5"/>
      <c r="H3122" s="165"/>
      <c r="I3122" s="165"/>
      <c r="J3122" s="158"/>
      <c r="K3122" s="159"/>
      <c r="L3122" s="166"/>
      <c r="M3122" s="167"/>
      <c r="N3122" s="168"/>
      <c r="O3122" s="163"/>
      <c r="P3122" s="163"/>
      <c r="Q3122" s="158"/>
      <c r="R3122" s="5"/>
      <c r="S3122" s="169"/>
      <c r="T3122" s="158"/>
      <c r="U3122" s="35"/>
      <c r="V3122" s="164"/>
    </row>
    <row r="3123" customFormat="false" ht="15" hidden="false" customHeight="true" outlineLevel="0" collapsed="false">
      <c r="C3123" s="155"/>
      <c r="D3123" s="156"/>
      <c r="F3123" s="157"/>
      <c r="G3123" s="5"/>
      <c r="H3123" s="165"/>
      <c r="I3123" s="165"/>
      <c r="J3123" s="158"/>
      <c r="K3123" s="159"/>
      <c r="L3123" s="166"/>
      <c r="M3123" s="167"/>
      <c r="N3123" s="168"/>
      <c r="O3123" s="163"/>
      <c r="P3123" s="163"/>
      <c r="Q3123" s="158"/>
      <c r="R3123" s="5"/>
      <c r="S3123" s="169"/>
      <c r="T3123" s="158"/>
      <c r="U3123" s="35"/>
      <c r="V3123" s="164"/>
    </row>
    <row r="3124" customFormat="false" ht="15" hidden="false" customHeight="true" outlineLevel="0" collapsed="false">
      <c r="B3124" s="5"/>
      <c r="C3124" s="155"/>
      <c r="D3124" s="156"/>
      <c r="F3124" s="170"/>
      <c r="G3124" s="5"/>
      <c r="H3124" s="5"/>
      <c r="I3124" s="5"/>
      <c r="J3124" s="158"/>
      <c r="K3124" s="159"/>
      <c r="L3124" s="160"/>
      <c r="M3124" s="174"/>
      <c r="N3124" s="168"/>
      <c r="O3124" s="163"/>
      <c r="P3124" s="160"/>
      <c r="Q3124" s="5"/>
      <c r="R3124" s="5"/>
      <c r="S3124" s="5"/>
      <c r="T3124" s="5"/>
      <c r="U3124" s="35"/>
      <c r="V3124" s="171"/>
    </row>
    <row r="3125" customFormat="false" ht="15" hidden="false" customHeight="true" outlineLevel="0" collapsed="false">
      <c r="B3125" s="5"/>
      <c r="C3125" s="155"/>
      <c r="D3125" s="156"/>
      <c r="F3125" s="170"/>
      <c r="G3125" s="5"/>
      <c r="H3125" s="5"/>
      <c r="I3125" s="5"/>
      <c r="J3125" s="158"/>
      <c r="K3125" s="163"/>
      <c r="L3125" s="160"/>
      <c r="M3125" s="174"/>
      <c r="N3125" s="168"/>
      <c r="O3125" s="160"/>
      <c r="P3125" s="160"/>
      <c r="Q3125" s="175"/>
      <c r="R3125" s="5"/>
      <c r="S3125" s="5"/>
      <c r="T3125" s="5"/>
      <c r="U3125" s="165"/>
      <c r="V3125" s="171"/>
      <c r="W3125" s="116"/>
      <c r="X3125" s="116"/>
      <c r="Y3125" s="116"/>
    </row>
    <row r="3126" customFormat="false" ht="15" hidden="false" customHeight="true" outlineLevel="0" collapsed="false">
      <c r="B3126" s="5"/>
      <c r="C3126" s="155"/>
      <c r="D3126" s="156"/>
      <c r="F3126" s="170"/>
      <c r="G3126" s="5"/>
      <c r="H3126" s="5"/>
      <c r="I3126" s="5"/>
      <c r="J3126" s="158"/>
      <c r="K3126" s="163"/>
      <c r="L3126" s="160"/>
      <c r="M3126" s="174"/>
      <c r="N3126" s="168"/>
      <c r="O3126" s="160"/>
      <c r="P3126" s="160"/>
      <c r="Q3126" s="175"/>
      <c r="R3126" s="5"/>
      <c r="S3126" s="5"/>
      <c r="T3126" s="5"/>
      <c r="U3126" s="165"/>
      <c r="V3126" s="171"/>
      <c r="W3126" s="116"/>
      <c r="X3126" s="116"/>
      <c r="Y3126" s="116"/>
    </row>
    <row r="3127" customFormat="false" ht="15" hidden="false" customHeight="true" outlineLevel="0" collapsed="false">
      <c r="C3127" s="155"/>
      <c r="D3127" s="156"/>
      <c r="F3127" s="157"/>
      <c r="G3127" s="5"/>
      <c r="H3127" s="5"/>
      <c r="I3127" s="5"/>
      <c r="J3127" s="158"/>
      <c r="K3127" s="159"/>
      <c r="L3127" s="160"/>
      <c r="M3127" s="161"/>
      <c r="N3127" s="162"/>
      <c r="O3127" s="163"/>
      <c r="P3127" s="163"/>
      <c r="Q3127" s="158"/>
      <c r="R3127" s="5"/>
      <c r="S3127" s="5"/>
      <c r="T3127" s="5"/>
      <c r="U3127" s="35"/>
      <c r="V3127" s="164"/>
    </row>
    <row r="3128" customFormat="false" ht="15" hidden="false" customHeight="true" outlineLevel="0" collapsed="false">
      <c r="B3128" s="5"/>
      <c r="C3128" s="155"/>
      <c r="D3128" s="156"/>
      <c r="F3128" s="157"/>
      <c r="G3128" s="5"/>
      <c r="H3128" s="5"/>
      <c r="I3128" s="5"/>
      <c r="J3128" s="158"/>
      <c r="K3128" s="159"/>
      <c r="L3128" s="160"/>
      <c r="M3128" s="161"/>
      <c r="N3128" s="162"/>
      <c r="O3128" s="163"/>
      <c r="P3128" s="163"/>
      <c r="Q3128" s="158"/>
      <c r="R3128" s="5"/>
      <c r="S3128" s="5"/>
      <c r="T3128" s="5"/>
      <c r="U3128" s="35"/>
      <c r="V3128" s="164"/>
      <c r="Z3128" s="157"/>
      <c r="AA3128" s="5"/>
      <c r="AB3128" s="165"/>
      <c r="AC3128" s="165"/>
      <c r="AD3128" s="158"/>
      <c r="AE3128" s="199"/>
      <c r="AF3128" s="200"/>
      <c r="AG3128" s="167"/>
      <c r="AH3128" s="168"/>
      <c r="AI3128" s="168"/>
      <c r="AJ3128" s="168"/>
      <c r="AK3128" s="158"/>
      <c r="AL3128" s="5"/>
      <c r="AM3128" s="169"/>
      <c r="AN3128" s="158"/>
      <c r="AO3128" s="35"/>
      <c r="AP3128" s="164"/>
      <c r="AQ3128" s="2"/>
      <c r="AR3128" s="171"/>
      <c r="AS3128" s="5"/>
      <c r="AT3128" s="5"/>
      <c r="AU3128" s="157"/>
      <c r="AV3128" s="5"/>
      <c r="AW3128" s="165"/>
      <c r="AX3128" s="165"/>
      <c r="AY3128" s="158"/>
      <c r="AZ3128" s="199"/>
      <c r="BA3128" s="200"/>
      <c r="BB3128" s="167"/>
      <c r="BC3128" s="168"/>
      <c r="BD3128" s="168"/>
      <c r="BE3128" s="168"/>
      <c r="BF3128" s="158"/>
      <c r="BG3128" s="5"/>
      <c r="BH3128" s="169"/>
      <c r="BI3128" s="158"/>
      <c r="BJ3128" s="35"/>
      <c r="BK3128" s="164"/>
      <c r="BL3128" s="2"/>
      <c r="BM3128" s="171"/>
      <c r="BN3128" s="5"/>
      <c r="BO3128" s="5"/>
      <c r="BP3128" s="157"/>
      <c r="BQ3128" s="5"/>
      <c r="BR3128" s="165"/>
      <c r="BS3128" s="165"/>
      <c r="BT3128" s="158"/>
      <c r="BU3128" s="199"/>
      <c r="BV3128" s="200"/>
      <c r="BW3128" s="167"/>
      <c r="BX3128" s="168"/>
      <c r="BY3128" s="168"/>
      <c r="BZ3128" s="168"/>
      <c r="CA3128" s="158"/>
      <c r="CB3128" s="5"/>
      <c r="CC3128" s="169"/>
      <c r="CD3128" s="158"/>
      <c r="CE3128" s="35"/>
      <c r="CF3128" s="164"/>
      <c r="CG3128" s="2"/>
      <c r="CH3128" s="171"/>
      <c r="CI3128" s="5"/>
      <c r="CJ3128" s="5"/>
      <c r="CK3128" s="157"/>
      <c r="CL3128" s="5"/>
      <c r="CM3128" s="165"/>
      <c r="CN3128" s="165"/>
      <c r="CO3128" s="158"/>
      <c r="CP3128" s="199"/>
      <c r="CQ3128" s="200"/>
      <c r="CR3128" s="167"/>
      <c r="CS3128" s="168"/>
      <c r="CT3128" s="168"/>
      <c r="CU3128" s="168"/>
      <c r="CV3128" s="158"/>
      <c r="CW3128" s="5"/>
      <c r="CX3128" s="169"/>
      <c r="CY3128" s="158"/>
      <c r="CZ3128" s="35"/>
      <c r="DA3128" s="164"/>
      <c r="DB3128" s="2"/>
      <c r="DC3128" s="171"/>
      <c r="DD3128" s="5"/>
      <c r="DE3128" s="5"/>
      <c r="DF3128" s="157"/>
      <c r="DG3128" s="5"/>
      <c r="DH3128" s="165"/>
      <c r="DI3128" s="165"/>
      <c r="DJ3128" s="158"/>
      <c r="DK3128" s="199"/>
      <c r="DL3128" s="200"/>
      <c r="DM3128" s="167"/>
      <c r="DN3128" s="168"/>
      <c r="DO3128" s="168"/>
      <c r="DP3128" s="168"/>
      <c r="DQ3128" s="158"/>
      <c r="DR3128" s="5"/>
      <c r="DS3128" s="169"/>
      <c r="DT3128" s="158"/>
      <c r="DU3128" s="35"/>
      <c r="DV3128" s="164"/>
      <c r="DW3128" s="2"/>
      <c r="DX3128" s="171"/>
      <c r="DY3128" s="5"/>
      <c r="DZ3128" s="5"/>
    </row>
    <row r="3129" customFormat="false" ht="15" hidden="false" customHeight="true" outlineLevel="0" collapsed="false">
      <c r="B3129" s="5"/>
      <c r="C3129" s="155"/>
      <c r="D3129" s="156"/>
      <c r="F3129" s="157"/>
      <c r="G3129" s="5"/>
      <c r="H3129" s="5"/>
      <c r="I3129" s="5"/>
      <c r="J3129" s="158"/>
      <c r="K3129" s="159"/>
      <c r="L3129" s="160"/>
      <c r="M3129" s="161"/>
      <c r="N3129" s="162"/>
      <c r="O3129" s="163"/>
      <c r="P3129" s="163"/>
      <c r="Q3129" s="158"/>
      <c r="R3129" s="5"/>
      <c r="S3129" s="5"/>
      <c r="T3129" s="5"/>
      <c r="U3129" s="35"/>
      <c r="V3129" s="164"/>
    </row>
    <row r="3130" customFormat="false" ht="15" hidden="false" customHeight="true" outlineLevel="0" collapsed="false">
      <c r="B3130" s="5"/>
      <c r="C3130" s="155"/>
      <c r="D3130" s="156"/>
      <c r="F3130" s="157"/>
      <c r="G3130" s="5"/>
      <c r="H3130" s="5"/>
      <c r="I3130" s="5"/>
      <c r="J3130" s="158"/>
      <c r="K3130" s="159"/>
      <c r="L3130" s="160"/>
      <c r="M3130" s="161"/>
      <c r="N3130" s="162"/>
      <c r="O3130" s="163"/>
      <c r="P3130" s="163"/>
      <c r="Q3130" s="158"/>
      <c r="R3130" s="5"/>
      <c r="S3130" s="5"/>
      <c r="T3130" s="5"/>
      <c r="U3130" s="35"/>
      <c r="V3130" s="164"/>
    </row>
    <row r="3131" customFormat="false" ht="15" hidden="false" customHeight="true" outlineLevel="0" collapsed="false">
      <c r="B3131" s="5"/>
      <c r="C3131" s="155"/>
      <c r="D3131" s="156"/>
      <c r="F3131" s="157"/>
      <c r="G3131" s="5"/>
      <c r="H3131" s="5"/>
      <c r="I3131" s="5"/>
      <c r="J3131" s="158"/>
      <c r="K3131" s="159"/>
      <c r="L3131" s="160"/>
      <c r="M3131" s="161"/>
      <c r="N3131" s="162"/>
      <c r="O3131" s="163"/>
      <c r="P3131" s="163"/>
      <c r="Q3131" s="158"/>
      <c r="R3131" s="5"/>
      <c r="S3131" s="5"/>
      <c r="T3131" s="5"/>
      <c r="U3131" s="35"/>
      <c r="V3131" s="164"/>
    </row>
    <row r="3132" customFormat="false" ht="15" hidden="false" customHeight="true" outlineLevel="0" collapsed="false">
      <c r="C3132" s="155"/>
      <c r="D3132" s="156"/>
      <c r="F3132" s="157"/>
      <c r="G3132" s="5"/>
      <c r="H3132" s="165"/>
      <c r="I3132" s="165"/>
      <c r="J3132" s="158"/>
      <c r="K3132" s="159"/>
      <c r="L3132" s="166"/>
      <c r="M3132" s="167"/>
      <c r="N3132" s="168"/>
      <c r="O3132" s="163"/>
      <c r="P3132" s="163"/>
      <c r="Q3132" s="158"/>
      <c r="R3132" s="5"/>
      <c r="S3132" s="169"/>
      <c r="T3132" s="158"/>
      <c r="U3132" s="35"/>
      <c r="V3132" s="164"/>
    </row>
    <row r="3133" customFormat="false" ht="15" hidden="false" customHeight="true" outlineLevel="0" collapsed="false">
      <c r="C3133" s="155"/>
      <c r="D3133" s="156"/>
      <c r="F3133" s="157"/>
      <c r="G3133" s="5"/>
      <c r="H3133" s="165"/>
      <c r="I3133" s="165"/>
      <c r="J3133" s="158"/>
      <c r="K3133" s="159"/>
      <c r="L3133" s="166"/>
      <c r="M3133" s="167"/>
      <c r="N3133" s="168"/>
      <c r="O3133" s="163"/>
      <c r="P3133" s="163"/>
      <c r="Q3133" s="158"/>
      <c r="R3133" s="5"/>
      <c r="S3133" s="169"/>
      <c r="T3133" s="158"/>
      <c r="U3133" s="35"/>
      <c r="V3133" s="164"/>
    </row>
    <row r="3134" customFormat="false" ht="15" hidden="false" customHeight="true" outlineLevel="0" collapsed="false">
      <c r="C3134" s="155"/>
      <c r="D3134" s="156"/>
      <c r="F3134" s="157"/>
      <c r="G3134" s="5"/>
      <c r="H3134" s="165"/>
      <c r="I3134" s="165"/>
      <c r="J3134" s="158"/>
      <c r="K3134" s="159"/>
      <c r="L3134" s="166"/>
      <c r="M3134" s="167"/>
      <c r="N3134" s="168"/>
      <c r="O3134" s="163"/>
      <c r="P3134" s="163"/>
      <c r="Q3134" s="158"/>
      <c r="R3134" s="5"/>
      <c r="S3134" s="169"/>
      <c r="T3134" s="158"/>
      <c r="U3134" s="35"/>
      <c r="V3134" s="164"/>
    </row>
    <row r="3135" customFormat="false" ht="15" hidden="false" customHeight="true" outlineLevel="0" collapsed="false">
      <c r="C3135" s="155"/>
      <c r="D3135" s="156"/>
      <c r="F3135" s="157"/>
      <c r="G3135" s="5"/>
      <c r="H3135" s="165"/>
      <c r="I3135" s="165"/>
      <c r="J3135" s="158"/>
      <c r="K3135" s="159"/>
      <c r="L3135" s="166"/>
      <c r="M3135" s="167"/>
      <c r="N3135" s="168"/>
      <c r="O3135" s="163"/>
      <c r="P3135" s="163"/>
      <c r="Q3135" s="158"/>
      <c r="R3135" s="5"/>
      <c r="S3135" s="169"/>
      <c r="T3135" s="158"/>
      <c r="U3135" s="35"/>
      <c r="V3135" s="164"/>
    </row>
    <row r="3136" customFormat="false" ht="15" hidden="false" customHeight="true" outlineLevel="0" collapsed="false">
      <c r="B3136" s="5"/>
      <c r="C3136" s="155"/>
      <c r="D3136" s="156"/>
      <c r="F3136" s="170"/>
      <c r="G3136" s="5"/>
      <c r="H3136" s="5"/>
      <c r="I3136" s="5"/>
      <c r="J3136" s="158"/>
      <c r="K3136" s="163"/>
      <c r="L3136" s="160"/>
      <c r="M3136" s="174"/>
      <c r="N3136" s="168"/>
      <c r="O3136" s="163"/>
      <c r="P3136" s="160"/>
      <c r="Q3136" s="175"/>
      <c r="R3136" s="5"/>
      <c r="S3136" s="5"/>
      <c r="T3136" s="5"/>
      <c r="U3136" s="165"/>
      <c r="V3136" s="171"/>
      <c r="W3136" s="116"/>
      <c r="X3136" s="116"/>
      <c r="Y3136" s="116"/>
    </row>
    <row r="3137" customFormat="false" ht="15" hidden="false" customHeight="true" outlineLevel="0" collapsed="false">
      <c r="B3137" s="5"/>
      <c r="C3137" s="155"/>
      <c r="D3137" s="156"/>
      <c r="F3137" s="157"/>
      <c r="G3137" s="5"/>
      <c r="H3137" s="5"/>
      <c r="I3137" s="5"/>
      <c r="J3137" s="158"/>
      <c r="K3137" s="159"/>
      <c r="L3137" s="160"/>
      <c r="M3137" s="161"/>
      <c r="N3137" s="162"/>
      <c r="O3137" s="163"/>
      <c r="P3137" s="163"/>
      <c r="Q3137" s="158"/>
      <c r="R3137" s="5"/>
      <c r="S3137" s="5"/>
      <c r="T3137" s="5"/>
      <c r="U3137" s="35"/>
      <c r="V3137" s="171"/>
    </row>
    <row r="3138" customFormat="false" ht="15" hidden="false" customHeight="true" outlineLevel="0" collapsed="false">
      <c r="B3138" s="5"/>
      <c r="C3138" s="155"/>
      <c r="D3138" s="156"/>
      <c r="F3138" s="157"/>
      <c r="G3138" s="5"/>
      <c r="H3138" s="5"/>
      <c r="I3138" s="5"/>
      <c r="J3138" s="158"/>
      <c r="K3138" s="159"/>
      <c r="L3138" s="160"/>
      <c r="M3138" s="177"/>
      <c r="N3138" s="162"/>
      <c r="O3138" s="163"/>
      <c r="P3138" s="163"/>
      <c r="Q3138" s="158"/>
      <c r="R3138" s="5"/>
      <c r="S3138" s="5"/>
      <c r="T3138" s="5"/>
      <c r="U3138" s="35"/>
      <c r="V3138" s="171"/>
    </row>
    <row r="3139" customFormat="false" ht="15" hidden="false" customHeight="true" outlineLevel="0" collapsed="false">
      <c r="B3139" s="5"/>
      <c r="C3139" s="155"/>
      <c r="D3139" s="156"/>
      <c r="F3139" s="157"/>
      <c r="G3139" s="5"/>
      <c r="H3139" s="5"/>
      <c r="I3139" s="5"/>
      <c r="J3139" s="158"/>
      <c r="K3139" s="159"/>
      <c r="L3139" s="160"/>
      <c r="M3139" s="161"/>
      <c r="N3139" s="162"/>
      <c r="O3139" s="163"/>
      <c r="P3139" s="163"/>
      <c r="Q3139" s="179"/>
      <c r="R3139" s="5"/>
      <c r="S3139" s="5"/>
      <c r="T3139" s="5"/>
      <c r="U3139" s="35"/>
      <c r="V3139" s="164"/>
    </row>
    <row r="3140" customFormat="false" ht="15" hidden="false" customHeight="true" outlineLevel="0" collapsed="false">
      <c r="B3140" s="5"/>
      <c r="C3140" s="155"/>
      <c r="D3140" s="156"/>
      <c r="F3140" s="157"/>
      <c r="G3140" s="5"/>
      <c r="H3140" s="5"/>
      <c r="I3140" s="5"/>
      <c r="J3140" s="158"/>
      <c r="K3140" s="159"/>
      <c r="L3140" s="160"/>
      <c r="M3140" s="161"/>
      <c r="N3140" s="162"/>
      <c r="O3140" s="163"/>
      <c r="P3140" s="163"/>
      <c r="Q3140" s="179"/>
      <c r="R3140" s="5"/>
      <c r="S3140" s="5"/>
      <c r="T3140" s="5"/>
      <c r="U3140" s="35"/>
      <c r="V3140" s="164"/>
    </row>
    <row r="3141" customFormat="false" ht="15" hidden="false" customHeight="true" outlineLevel="0" collapsed="false">
      <c r="B3141" s="5"/>
      <c r="C3141" s="155"/>
      <c r="D3141" s="156"/>
      <c r="F3141" s="157"/>
      <c r="G3141" s="5"/>
      <c r="H3141" s="5"/>
      <c r="I3141" s="5"/>
      <c r="J3141" s="158"/>
      <c r="K3141" s="159"/>
      <c r="L3141" s="160"/>
      <c r="M3141" s="161"/>
      <c r="N3141" s="162"/>
      <c r="O3141" s="163"/>
      <c r="P3141" s="163"/>
      <c r="Q3141" s="179"/>
      <c r="R3141" s="5"/>
      <c r="S3141" s="5"/>
      <c r="T3141" s="5"/>
      <c r="U3141" s="35"/>
      <c r="V3141" s="164"/>
    </row>
    <row r="3142" customFormat="false" ht="15" hidden="false" customHeight="true" outlineLevel="0" collapsed="false">
      <c r="B3142" s="5"/>
      <c r="C3142" s="155"/>
      <c r="D3142" s="156"/>
      <c r="F3142" s="157"/>
      <c r="G3142" s="5"/>
      <c r="H3142" s="5"/>
      <c r="I3142" s="5"/>
      <c r="J3142" s="158"/>
      <c r="K3142" s="159"/>
      <c r="L3142" s="160"/>
      <c r="M3142" s="161"/>
      <c r="N3142" s="162"/>
      <c r="O3142" s="163"/>
      <c r="P3142" s="163"/>
      <c r="Q3142" s="158"/>
      <c r="R3142" s="5"/>
      <c r="S3142" s="5"/>
      <c r="T3142" s="5"/>
      <c r="U3142" s="35"/>
      <c r="V3142" s="164"/>
    </row>
    <row r="3143" customFormat="false" ht="15" hidden="false" customHeight="true" outlineLevel="0" collapsed="false">
      <c r="B3143" s="5"/>
      <c r="C3143" s="155"/>
      <c r="D3143" s="156"/>
      <c r="F3143" s="157"/>
      <c r="G3143" s="5"/>
      <c r="H3143" s="5"/>
      <c r="I3143" s="5"/>
      <c r="J3143" s="158"/>
      <c r="K3143" s="159"/>
      <c r="L3143" s="160"/>
      <c r="M3143" s="161"/>
      <c r="N3143" s="162"/>
      <c r="O3143" s="163"/>
      <c r="P3143" s="163"/>
      <c r="Q3143" s="158"/>
      <c r="R3143" s="5"/>
      <c r="S3143" s="5"/>
      <c r="T3143" s="5"/>
      <c r="U3143" s="35"/>
      <c r="V3143" s="164"/>
    </row>
    <row r="3144" customFormat="false" ht="15" hidden="false" customHeight="true" outlineLevel="0" collapsed="false">
      <c r="B3144" s="5"/>
      <c r="C3144" s="155"/>
      <c r="D3144" s="156"/>
      <c r="F3144" s="157"/>
      <c r="G3144" s="5"/>
      <c r="H3144" s="5"/>
      <c r="I3144" s="5"/>
      <c r="J3144" s="158"/>
      <c r="K3144" s="159"/>
      <c r="L3144" s="160"/>
      <c r="M3144" s="161"/>
      <c r="N3144" s="162"/>
      <c r="O3144" s="163"/>
      <c r="P3144" s="163"/>
      <c r="Q3144" s="158"/>
      <c r="R3144" s="5"/>
      <c r="S3144" s="5"/>
      <c r="T3144" s="5"/>
      <c r="U3144" s="35"/>
      <c r="V3144" s="164"/>
    </row>
    <row r="3145" customFormat="false" ht="15" hidden="false" customHeight="true" outlineLevel="0" collapsed="false">
      <c r="C3145" s="155"/>
      <c r="D3145" s="156"/>
      <c r="F3145" s="157"/>
      <c r="G3145" s="5"/>
      <c r="H3145" s="165"/>
      <c r="I3145" s="165"/>
      <c r="J3145" s="158"/>
      <c r="K3145" s="159"/>
      <c r="L3145" s="166"/>
      <c r="M3145" s="167"/>
      <c r="N3145" s="168"/>
      <c r="O3145" s="163"/>
      <c r="P3145" s="163"/>
      <c r="Q3145" s="158"/>
      <c r="R3145" s="5"/>
      <c r="S3145" s="169"/>
      <c r="T3145" s="158"/>
      <c r="U3145" s="35"/>
      <c r="V3145" s="164"/>
    </row>
    <row r="3146" customFormat="false" ht="15" hidden="false" customHeight="true" outlineLevel="0" collapsed="false">
      <c r="C3146" s="155"/>
      <c r="D3146" s="156"/>
      <c r="F3146" s="157"/>
      <c r="G3146" s="5"/>
      <c r="H3146" s="165"/>
      <c r="I3146" s="165"/>
      <c r="J3146" s="158"/>
      <c r="K3146" s="159"/>
      <c r="L3146" s="166"/>
      <c r="M3146" s="167"/>
      <c r="N3146" s="168"/>
      <c r="O3146" s="163"/>
      <c r="P3146" s="163"/>
      <c r="Q3146" s="158"/>
      <c r="R3146" s="5"/>
      <c r="S3146" s="169"/>
      <c r="T3146" s="158"/>
      <c r="U3146" s="35"/>
      <c r="V3146" s="164"/>
      <c r="Z3146" s="157"/>
      <c r="AA3146" s="5"/>
      <c r="AB3146" s="165"/>
      <c r="AC3146" s="165"/>
      <c r="AD3146" s="158"/>
      <c r="AE3146" s="199"/>
      <c r="AF3146" s="200"/>
      <c r="AG3146" s="167"/>
      <c r="AH3146" s="168"/>
      <c r="AI3146" s="168"/>
      <c r="AJ3146" s="168"/>
      <c r="AK3146" s="158"/>
      <c r="AL3146" s="5"/>
      <c r="AM3146" s="169"/>
      <c r="AN3146" s="158"/>
      <c r="AO3146" s="35"/>
      <c r="AP3146" s="164"/>
      <c r="AQ3146" s="2"/>
      <c r="AR3146" s="171"/>
      <c r="AS3146" s="5"/>
      <c r="AT3146" s="5"/>
      <c r="AU3146" s="157"/>
      <c r="AV3146" s="5"/>
      <c r="AW3146" s="165"/>
      <c r="AX3146" s="165"/>
      <c r="AY3146" s="158"/>
      <c r="AZ3146" s="199"/>
      <c r="BA3146" s="200"/>
      <c r="BB3146" s="167"/>
      <c r="BC3146" s="168"/>
      <c r="BD3146" s="168"/>
      <c r="BE3146" s="168"/>
      <c r="BF3146" s="158"/>
      <c r="BG3146" s="5"/>
      <c r="BH3146" s="169"/>
      <c r="BI3146" s="158"/>
      <c r="BJ3146" s="35"/>
      <c r="BK3146" s="164"/>
      <c r="BL3146" s="2"/>
      <c r="BM3146" s="171"/>
      <c r="BN3146" s="5"/>
      <c r="BO3146" s="5"/>
      <c r="BP3146" s="157"/>
      <c r="BQ3146" s="5"/>
      <c r="BR3146" s="165"/>
      <c r="BS3146" s="165"/>
      <c r="BT3146" s="158"/>
      <c r="BU3146" s="199"/>
      <c r="BV3146" s="200"/>
      <c r="BW3146" s="167"/>
      <c r="BX3146" s="168"/>
      <c r="BY3146" s="168"/>
      <c r="BZ3146" s="168"/>
      <c r="CA3146" s="158"/>
      <c r="CB3146" s="5"/>
      <c r="CC3146" s="169"/>
      <c r="CD3146" s="158"/>
      <c r="CE3146" s="35"/>
      <c r="CF3146" s="164"/>
      <c r="CG3146" s="2"/>
      <c r="CH3146" s="171"/>
      <c r="CI3146" s="5"/>
      <c r="CJ3146" s="5"/>
      <c r="CK3146" s="157"/>
      <c r="CL3146" s="5"/>
      <c r="CM3146" s="165"/>
      <c r="CN3146" s="165"/>
      <c r="CO3146" s="158"/>
      <c r="CP3146" s="199"/>
      <c r="CQ3146" s="200"/>
      <c r="CR3146" s="167"/>
      <c r="CS3146" s="168"/>
      <c r="CT3146" s="168"/>
      <c r="CU3146" s="168"/>
      <c r="CV3146" s="158"/>
      <c r="CW3146" s="5"/>
      <c r="CX3146" s="169"/>
      <c r="CY3146" s="158"/>
      <c r="CZ3146" s="35"/>
      <c r="DA3146" s="164"/>
      <c r="DB3146" s="2"/>
      <c r="DC3146" s="171"/>
      <c r="DD3146" s="5"/>
      <c r="DE3146" s="5"/>
      <c r="DF3146" s="157"/>
      <c r="DG3146" s="5"/>
      <c r="DH3146" s="165"/>
      <c r="DI3146" s="165"/>
      <c r="DJ3146" s="158"/>
      <c r="DK3146" s="199"/>
      <c r="DL3146" s="200"/>
      <c r="DM3146" s="167"/>
      <c r="DN3146" s="168"/>
      <c r="DO3146" s="168"/>
      <c r="DP3146" s="168"/>
      <c r="DQ3146" s="158"/>
      <c r="DR3146" s="5"/>
      <c r="DS3146" s="169"/>
      <c r="DT3146" s="158"/>
      <c r="DU3146" s="35"/>
      <c r="DV3146" s="164"/>
      <c r="DW3146" s="2"/>
      <c r="DX3146" s="171"/>
      <c r="DY3146" s="5"/>
      <c r="DZ3146" s="5"/>
    </row>
    <row r="3147" customFormat="false" ht="15" hidden="false" customHeight="true" outlineLevel="0" collapsed="false">
      <c r="B3147" s="5"/>
      <c r="C3147" s="155"/>
      <c r="D3147" s="156"/>
      <c r="F3147" s="170"/>
      <c r="G3147" s="5"/>
      <c r="H3147" s="5"/>
      <c r="I3147" s="5"/>
      <c r="J3147" s="158"/>
      <c r="K3147" s="159"/>
      <c r="L3147" s="160"/>
      <c r="M3147" s="174"/>
      <c r="N3147" s="168"/>
      <c r="O3147" s="163"/>
      <c r="P3147" s="160"/>
      <c r="Q3147" s="5"/>
      <c r="R3147" s="5"/>
      <c r="S3147" s="5"/>
      <c r="T3147" s="5"/>
      <c r="U3147" s="35"/>
      <c r="V3147" s="171"/>
    </row>
    <row r="3148" customFormat="false" ht="15" hidden="false" customHeight="true" outlineLevel="0" collapsed="false">
      <c r="C3148" s="155"/>
      <c r="D3148" s="156"/>
      <c r="F3148" s="157"/>
      <c r="G3148" s="5"/>
      <c r="H3148" s="165"/>
      <c r="I3148" s="165"/>
      <c r="J3148" s="158"/>
      <c r="K3148" s="159"/>
      <c r="L3148" s="166"/>
      <c r="M3148" s="167"/>
      <c r="N3148" s="168"/>
      <c r="O3148" s="163"/>
      <c r="P3148" s="163"/>
      <c r="Q3148" s="158"/>
      <c r="R3148" s="5"/>
      <c r="S3148" s="169"/>
      <c r="T3148" s="158"/>
      <c r="U3148" s="35"/>
      <c r="V3148" s="164"/>
    </row>
    <row r="3149" customFormat="false" ht="15" hidden="false" customHeight="true" outlineLevel="0" collapsed="false">
      <c r="C3149" s="155"/>
      <c r="D3149" s="156"/>
      <c r="F3149" s="157"/>
      <c r="G3149" s="5"/>
      <c r="H3149" s="165"/>
      <c r="I3149" s="165"/>
      <c r="J3149" s="158"/>
      <c r="K3149" s="159"/>
      <c r="L3149" s="166"/>
      <c r="M3149" s="167"/>
      <c r="N3149" s="168"/>
      <c r="O3149" s="163"/>
      <c r="P3149" s="163"/>
      <c r="Q3149" s="158"/>
      <c r="R3149" s="5"/>
      <c r="S3149" s="169"/>
      <c r="T3149" s="158"/>
      <c r="U3149" s="35"/>
      <c r="V3149" s="164"/>
    </row>
    <row r="3150" customFormat="false" ht="15" hidden="false" customHeight="true" outlineLevel="0" collapsed="false">
      <c r="B3150" s="73"/>
      <c r="C3150" s="185"/>
      <c r="D3150" s="189"/>
      <c r="F3150" s="190"/>
      <c r="G3150" s="73"/>
      <c r="H3150" s="73"/>
      <c r="I3150" s="73"/>
      <c r="J3150" s="74"/>
      <c r="K3150" s="191"/>
      <c r="L3150" s="192"/>
      <c r="M3150" s="193"/>
      <c r="N3150" s="78"/>
      <c r="O3150" s="191"/>
      <c r="P3150" s="192"/>
      <c r="Q3150" s="194"/>
      <c r="R3150" s="73"/>
      <c r="S3150" s="73"/>
      <c r="T3150" s="73"/>
      <c r="U3150" s="35"/>
      <c r="V3150" s="43"/>
      <c r="W3150" s="170"/>
      <c r="X3150" s="176"/>
    </row>
    <row r="3151" customFormat="false" ht="15" hidden="false" customHeight="true" outlineLevel="0" collapsed="false">
      <c r="B3151" s="5"/>
      <c r="C3151" s="155"/>
      <c r="D3151" s="156"/>
      <c r="F3151" s="157"/>
      <c r="G3151" s="5"/>
      <c r="H3151" s="5"/>
      <c r="I3151" s="5"/>
      <c r="J3151" s="158"/>
      <c r="K3151" s="159"/>
      <c r="L3151" s="160"/>
      <c r="M3151" s="161"/>
      <c r="N3151" s="162"/>
      <c r="O3151" s="163"/>
      <c r="P3151" s="163"/>
      <c r="Q3151" s="158"/>
      <c r="R3151" s="5"/>
      <c r="S3151" s="5"/>
      <c r="T3151" s="5"/>
      <c r="U3151" s="35"/>
      <c r="V3151" s="171"/>
    </row>
    <row r="3152" customFormat="false" ht="15" hidden="false" customHeight="true" outlineLevel="0" collapsed="false">
      <c r="B3152" s="5"/>
      <c r="C3152" s="155"/>
      <c r="D3152" s="156"/>
      <c r="F3152" s="157"/>
      <c r="G3152" s="5"/>
      <c r="H3152" s="5"/>
      <c r="I3152" s="5"/>
      <c r="J3152" s="158"/>
      <c r="K3152" s="159"/>
      <c r="L3152" s="160"/>
      <c r="M3152" s="161"/>
      <c r="N3152" s="162"/>
      <c r="O3152" s="163"/>
      <c r="P3152" s="163"/>
      <c r="Q3152" s="158"/>
      <c r="R3152" s="5"/>
      <c r="S3152" s="5"/>
      <c r="T3152" s="5"/>
      <c r="U3152" s="35"/>
      <c r="V3152" s="171"/>
    </row>
    <row r="3153" customFormat="false" ht="15" hidden="false" customHeight="true" outlineLevel="0" collapsed="false">
      <c r="B3153" s="5"/>
      <c r="C3153" s="155"/>
      <c r="D3153" s="156"/>
      <c r="F3153" s="157"/>
      <c r="G3153" s="5"/>
      <c r="H3153" s="5"/>
      <c r="I3153" s="5"/>
      <c r="J3153" s="158"/>
      <c r="K3153" s="159"/>
      <c r="L3153" s="160"/>
      <c r="M3153" s="161"/>
      <c r="N3153" s="162"/>
      <c r="O3153" s="163"/>
      <c r="P3153" s="163"/>
      <c r="Q3153" s="158"/>
      <c r="R3153" s="5"/>
      <c r="S3153" s="5"/>
      <c r="T3153" s="5"/>
      <c r="U3153" s="35"/>
      <c r="V3153" s="164"/>
    </row>
    <row r="3154" customFormat="false" ht="15" hidden="false" customHeight="true" outlineLevel="0" collapsed="false">
      <c r="B3154" s="5"/>
      <c r="C3154" s="155"/>
      <c r="D3154" s="156"/>
      <c r="F3154" s="157"/>
      <c r="G3154" s="5"/>
      <c r="H3154" s="5"/>
      <c r="I3154" s="5"/>
      <c r="J3154" s="158"/>
      <c r="K3154" s="159"/>
      <c r="L3154" s="160"/>
      <c r="M3154" s="161"/>
      <c r="N3154" s="162"/>
      <c r="O3154" s="163"/>
      <c r="P3154" s="163"/>
      <c r="Q3154" s="158"/>
      <c r="R3154" s="5"/>
      <c r="S3154" s="5"/>
      <c r="T3154" s="5"/>
      <c r="U3154" s="35"/>
      <c r="V3154" s="164"/>
    </row>
    <row r="3155" customFormat="false" ht="15" hidden="false" customHeight="true" outlineLevel="0" collapsed="false">
      <c r="C3155" s="155"/>
      <c r="D3155" s="156"/>
      <c r="F3155" s="157"/>
      <c r="G3155" s="5"/>
      <c r="H3155" s="165"/>
      <c r="I3155" s="165"/>
      <c r="J3155" s="158"/>
      <c r="K3155" s="159"/>
      <c r="L3155" s="166"/>
      <c r="M3155" s="167"/>
      <c r="N3155" s="168"/>
      <c r="O3155" s="163"/>
      <c r="P3155" s="163"/>
      <c r="Q3155" s="158"/>
      <c r="R3155" s="5"/>
      <c r="S3155" s="169"/>
      <c r="T3155" s="158"/>
      <c r="U3155" s="35"/>
      <c r="V3155" s="164"/>
    </row>
    <row r="3156" customFormat="false" ht="15" hidden="false" customHeight="true" outlineLevel="0" collapsed="false">
      <c r="B3156" s="5"/>
      <c r="C3156" s="155"/>
      <c r="D3156" s="156"/>
      <c r="F3156" s="170"/>
      <c r="G3156" s="5"/>
      <c r="H3156" s="5"/>
      <c r="I3156" s="5"/>
      <c r="J3156" s="158"/>
      <c r="K3156" s="163"/>
      <c r="L3156" s="160"/>
      <c r="M3156" s="174"/>
      <c r="N3156" s="168"/>
      <c r="O3156" s="163"/>
      <c r="P3156" s="160"/>
      <c r="Q3156" s="175"/>
      <c r="R3156" s="5"/>
      <c r="S3156" s="5"/>
      <c r="T3156" s="5"/>
      <c r="U3156" s="165"/>
      <c r="V3156" s="164"/>
      <c r="W3156" s="116"/>
      <c r="X3156" s="116"/>
      <c r="Y3156" s="116"/>
    </row>
    <row r="3157" customFormat="false" ht="15" hidden="false" customHeight="true" outlineLevel="0" collapsed="false">
      <c r="B3157" s="5"/>
      <c r="C3157" s="155"/>
      <c r="D3157" s="156"/>
      <c r="F3157" s="170"/>
      <c r="G3157" s="5"/>
      <c r="H3157" s="5"/>
      <c r="I3157" s="5"/>
      <c r="J3157" s="158"/>
      <c r="K3157" s="163"/>
      <c r="L3157" s="160"/>
      <c r="M3157" s="174"/>
      <c r="N3157" s="168"/>
      <c r="O3157" s="163"/>
      <c r="P3157" s="160"/>
      <c r="Q3157" s="175"/>
      <c r="R3157" s="5"/>
      <c r="S3157" s="5"/>
      <c r="T3157" s="5"/>
      <c r="U3157" s="35"/>
      <c r="V3157" s="171"/>
      <c r="W3157" s="170"/>
      <c r="X3157" s="176"/>
    </row>
    <row r="3158" customFormat="false" ht="15" hidden="false" customHeight="true" outlineLevel="0" collapsed="false">
      <c r="B3158" s="5"/>
      <c r="C3158" s="155"/>
      <c r="D3158" s="156"/>
      <c r="F3158" s="170"/>
      <c r="G3158" s="5"/>
      <c r="H3158" s="5"/>
      <c r="I3158" s="5"/>
      <c r="J3158" s="158"/>
      <c r="K3158" s="163"/>
      <c r="L3158" s="160"/>
      <c r="M3158" s="174"/>
      <c r="N3158" s="168"/>
      <c r="O3158" s="163"/>
      <c r="P3158" s="160"/>
      <c r="Q3158" s="175"/>
      <c r="R3158" s="5"/>
      <c r="S3158" s="5"/>
      <c r="T3158" s="5"/>
      <c r="U3158" s="35"/>
      <c r="V3158" s="171"/>
      <c r="W3158" s="116"/>
    </row>
    <row r="3159" customFormat="false" ht="15" hidden="false" customHeight="true" outlineLevel="0" collapsed="false">
      <c r="B3159" s="5"/>
      <c r="C3159" s="155"/>
      <c r="D3159" s="156"/>
      <c r="F3159" s="157"/>
      <c r="G3159" s="5"/>
      <c r="H3159" s="5"/>
      <c r="I3159" s="5"/>
      <c r="J3159" s="158"/>
      <c r="K3159" s="159"/>
      <c r="L3159" s="160"/>
      <c r="M3159" s="161"/>
      <c r="N3159" s="162"/>
      <c r="O3159" s="163"/>
      <c r="P3159" s="163"/>
      <c r="Q3159" s="158"/>
      <c r="R3159" s="5"/>
      <c r="S3159" s="5"/>
      <c r="T3159" s="5"/>
      <c r="U3159" s="35"/>
      <c r="V3159" s="164"/>
    </row>
    <row r="3160" customFormat="false" ht="15" hidden="false" customHeight="true" outlineLevel="0" collapsed="false">
      <c r="C3160" s="155"/>
      <c r="D3160" s="156"/>
      <c r="F3160" s="157"/>
      <c r="G3160" s="5"/>
      <c r="H3160" s="165"/>
      <c r="I3160" s="165"/>
      <c r="J3160" s="158"/>
      <c r="K3160" s="159"/>
      <c r="L3160" s="166"/>
      <c r="M3160" s="167"/>
      <c r="N3160" s="168"/>
      <c r="O3160" s="163"/>
      <c r="P3160" s="163"/>
      <c r="Q3160" s="158"/>
      <c r="R3160" s="5"/>
      <c r="S3160" s="169"/>
      <c r="T3160" s="158"/>
      <c r="U3160" s="35"/>
      <c r="V3160" s="164"/>
    </row>
    <row r="3161" customFormat="false" ht="15" hidden="false" customHeight="true" outlineLevel="0" collapsed="false">
      <c r="C3161" s="155"/>
      <c r="D3161" s="156"/>
      <c r="F3161" s="157"/>
      <c r="G3161" s="5"/>
      <c r="H3161" s="165"/>
      <c r="I3161" s="165"/>
      <c r="J3161" s="158"/>
      <c r="K3161" s="159"/>
      <c r="L3161" s="166"/>
      <c r="M3161" s="167"/>
      <c r="N3161" s="168"/>
      <c r="O3161" s="163"/>
      <c r="P3161" s="163"/>
      <c r="Q3161" s="158"/>
      <c r="R3161" s="5"/>
      <c r="S3161" s="169"/>
      <c r="T3161" s="158"/>
      <c r="U3161" s="35"/>
      <c r="V3161" s="164"/>
    </row>
    <row r="3162" customFormat="false" ht="15" hidden="false" customHeight="true" outlineLevel="0" collapsed="false">
      <c r="C3162" s="155"/>
      <c r="D3162" s="156"/>
      <c r="F3162" s="157"/>
      <c r="G3162" s="5"/>
      <c r="H3162" s="165"/>
      <c r="I3162" s="165"/>
      <c r="J3162" s="158"/>
      <c r="K3162" s="159"/>
      <c r="L3162" s="166"/>
      <c r="M3162" s="167"/>
      <c r="N3162" s="168"/>
      <c r="O3162" s="163"/>
      <c r="P3162" s="163"/>
      <c r="Q3162" s="158"/>
      <c r="R3162" s="5"/>
      <c r="S3162" s="169"/>
      <c r="T3162" s="158"/>
      <c r="U3162" s="35"/>
      <c r="V3162" s="164"/>
    </row>
    <row r="3163" customFormat="false" ht="15" hidden="false" customHeight="true" outlineLevel="0" collapsed="false">
      <c r="C3163" s="155"/>
      <c r="D3163" s="156"/>
      <c r="F3163" s="157"/>
      <c r="G3163" s="5"/>
      <c r="H3163" s="165"/>
      <c r="I3163" s="165"/>
      <c r="J3163" s="158"/>
      <c r="K3163" s="159"/>
      <c r="L3163" s="166"/>
      <c r="M3163" s="167"/>
      <c r="N3163" s="168"/>
      <c r="O3163" s="163"/>
      <c r="P3163" s="163"/>
      <c r="Q3163" s="158"/>
      <c r="R3163" s="5"/>
      <c r="S3163" s="169"/>
      <c r="T3163" s="158"/>
      <c r="U3163" s="35"/>
      <c r="V3163" s="164"/>
    </row>
    <row r="3164" customFormat="false" ht="15" hidden="false" customHeight="true" outlineLevel="0" collapsed="false">
      <c r="C3164" s="155"/>
      <c r="D3164" s="156"/>
      <c r="F3164" s="157"/>
      <c r="G3164" s="5"/>
      <c r="H3164" s="165"/>
      <c r="I3164" s="165"/>
      <c r="J3164" s="158"/>
      <c r="K3164" s="159"/>
      <c r="L3164" s="166"/>
      <c r="M3164" s="167"/>
      <c r="N3164" s="168"/>
      <c r="O3164" s="163"/>
      <c r="P3164" s="163"/>
      <c r="Q3164" s="158"/>
      <c r="R3164" s="5"/>
      <c r="S3164" s="169"/>
      <c r="T3164" s="158"/>
      <c r="U3164" s="35"/>
      <c r="V3164" s="164"/>
    </row>
    <row r="3165" customFormat="false" ht="15" hidden="false" customHeight="true" outlineLevel="0" collapsed="false">
      <c r="B3165" s="5"/>
      <c r="C3165" s="155"/>
      <c r="D3165" s="156"/>
      <c r="F3165" s="170"/>
      <c r="G3165" s="5"/>
      <c r="H3165" s="5"/>
      <c r="I3165" s="5"/>
      <c r="J3165" s="158"/>
      <c r="K3165" s="163"/>
      <c r="L3165" s="160"/>
      <c r="M3165" s="174"/>
      <c r="N3165" s="168"/>
      <c r="O3165" s="163"/>
      <c r="P3165" s="160"/>
      <c r="Q3165" s="175"/>
      <c r="R3165" s="5"/>
      <c r="S3165" s="5"/>
      <c r="T3165" s="5"/>
      <c r="U3165" s="35"/>
      <c r="V3165" s="171"/>
      <c r="W3165" s="170"/>
      <c r="X3165" s="176"/>
    </row>
    <row r="3166" customFormat="false" ht="15" hidden="false" customHeight="true" outlineLevel="0" collapsed="false">
      <c r="B3166" s="5"/>
      <c r="C3166" s="155"/>
      <c r="D3166" s="156"/>
      <c r="F3166" s="170"/>
      <c r="G3166" s="5"/>
      <c r="H3166" s="5"/>
      <c r="I3166" s="5"/>
      <c r="J3166" s="158"/>
      <c r="K3166" s="163"/>
      <c r="L3166" s="160"/>
      <c r="M3166" s="174"/>
      <c r="N3166" s="168"/>
      <c r="O3166" s="163"/>
      <c r="P3166" s="160"/>
      <c r="Q3166" s="175"/>
      <c r="R3166" s="5"/>
      <c r="S3166" s="5"/>
      <c r="T3166" s="5"/>
      <c r="U3166" s="35"/>
      <c r="V3166" s="171"/>
      <c r="W3166" s="170"/>
      <c r="X3166" s="176"/>
    </row>
    <row r="3167" customFormat="false" ht="15" hidden="false" customHeight="true" outlineLevel="0" collapsed="false">
      <c r="B3167" s="5"/>
      <c r="C3167" s="155"/>
      <c r="D3167" s="156"/>
      <c r="F3167" s="170"/>
      <c r="G3167" s="5"/>
      <c r="H3167" s="5"/>
      <c r="I3167" s="5"/>
      <c r="J3167" s="158"/>
      <c r="K3167" s="159"/>
      <c r="L3167" s="160"/>
      <c r="M3167" s="174"/>
      <c r="N3167" s="168"/>
      <c r="O3167" s="163"/>
      <c r="P3167" s="160"/>
      <c r="Q3167" s="175"/>
      <c r="R3167" s="5"/>
      <c r="S3167" s="5"/>
      <c r="T3167" s="5"/>
      <c r="U3167" s="35"/>
      <c r="V3167" s="171"/>
      <c r="Z3167" s="157"/>
      <c r="AA3167" s="5"/>
      <c r="AB3167" s="165"/>
      <c r="AC3167" s="165"/>
      <c r="AD3167" s="158"/>
      <c r="AE3167" s="199"/>
      <c r="AF3167" s="200"/>
      <c r="AG3167" s="167"/>
      <c r="AH3167" s="168"/>
      <c r="AI3167" s="168"/>
      <c r="AJ3167" s="168"/>
      <c r="AK3167" s="158"/>
      <c r="AL3167" s="5"/>
      <c r="AM3167" s="169"/>
      <c r="AN3167" s="158"/>
      <c r="AO3167" s="35"/>
      <c r="AP3167" s="164"/>
      <c r="AQ3167" s="2"/>
      <c r="AR3167" s="171"/>
      <c r="AS3167" s="5"/>
      <c r="AT3167" s="5"/>
      <c r="AU3167" s="157"/>
      <c r="AV3167" s="5"/>
      <c r="AW3167" s="165"/>
      <c r="AX3167" s="165"/>
      <c r="AY3167" s="158"/>
      <c r="AZ3167" s="199"/>
      <c r="BA3167" s="200"/>
      <c r="BB3167" s="167"/>
      <c r="BC3167" s="168"/>
      <c r="BD3167" s="168"/>
      <c r="BE3167" s="168"/>
      <c r="BF3167" s="158"/>
      <c r="BG3167" s="5"/>
      <c r="BH3167" s="169"/>
      <c r="BI3167" s="158"/>
      <c r="BJ3167" s="35"/>
      <c r="BK3167" s="164"/>
      <c r="BL3167" s="2"/>
      <c r="BM3167" s="171"/>
      <c r="BN3167" s="5"/>
      <c r="BO3167" s="5"/>
      <c r="BP3167" s="157"/>
      <c r="BQ3167" s="5"/>
      <c r="BR3167" s="165"/>
      <c r="BS3167" s="165"/>
      <c r="BT3167" s="158"/>
      <c r="BU3167" s="199"/>
      <c r="BV3167" s="200"/>
      <c r="BW3167" s="167"/>
      <c r="BX3167" s="168"/>
      <c r="BY3167" s="168"/>
      <c r="BZ3167" s="168"/>
      <c r="CA3167" s="158"/>
      <c r="CB3167" s="5"/>
      <c r="CC3167" s="169"/>
      <c r="CD3167" s="158"/>
      <c r="CE3167" s="35"/>
      <c r="CF3167" s="164"/>
      <c r="CG3167" s="2"/>
      <c r="CH3167" s="171"/>
      <c r="CI3167" s="5"/>
      <c r="CJ3167" s="5"/>
      <c r="CK3167" s="157"/>
      <c r="CL3167" s="5"/>
      <c r="CM3167" s="165"/>
      <c r="CN3167" s="165"/>
      <c r="CO3167" s="158"/>
      <c r="CP3167" s="199"/>
      <c r="CQ3167" s="200"/>
      <c r="CR3167" s="167"/>
      <c r="CS3167" s="168"/>
      <c r="CT3167" s="168"/>
      <c r="CU3167" s="168"/>
      <c r="CV3167" s="158"/>
      <c r="CW3167" s="5"/>
      <c r="CX3167" s="169"/>
      <c r="CY3167" s="158"/>
      <c r="CZ3167" s="35"/>
      <c r="DA3167" s="164"/>
      <c r="DB3167" s="2"/>
      <c r="DC3167" s="171"/>
      <c r="DD3167" s="5"/>
      <c r="DE3167" s="5"/>
      <c r="DF3167" s="157"/>
      <c r="DG3167" s="5"/>
      <c r="DH3167" s="165"/>
      <c r="DI3167" s="165"/>
      <c r="DJ3167" s="158"/>
      <c r="DK3167" s="199"/>
      <c r="DL3167" s="200"/>
      <c r="DM3167" s="167"/>
      <c r="DN3167" s="168"/>
      <c r="DO3167" s="168"/>
      <c r="DP3167" s="168"/>
      <c r="DQ3167" s="158"/>
      <c r="DR3167" s="5"/>
      <c r="DS3167" s="169"/>
      <c r="DT3167" s="158"/>
      <c r="DU3167" s="35"/>
      <c r="DV3167" s="164"/>
      <c r="DW3167" s="2"/>
      <c r="DX3167" s="171"/>
      <c r="DY3167" s="5"/>
      <c r="DZ3167" s="5"/>
    </row>
    <row r="3168" customFormat="false" ht="15" hidden="false" customHeight="true" outlineLevel="0" collapsed="false">
      <c r="B3168" s="5"/>
      <c r="C3168" s="155"/>
      <c r="D3168" s="156"/>
      <c r="F3168" s="170"/>
      <c r="G3168" s="5"/>
      <c r="H3168" s="5"/>
      <c r="I3168" s="5"/>
      <c r="J3168" s="158"/>
      <c r="K3168" s="159"/>
      <c r="L3168" s="160"/>
      <c r="M3168" s="174"/>
      <c r="N3168" s="168"/>
      <c r="O3168" s="163"/>
      <c r="P3168" s="160"/>
      <c r="Q3168" s="5"/>
      <c r="R3168" s="5"/>
      <c r="S3168" s="5"/>
      <c r="T3168" s="5"/>
      <c r="U3168" s="35"/>
      <c r="V3168" s="171"/>
    </row>
    <row r="3169" customFormat="false" ht="15" hidden="false" customHeight="true" outlineLevel="0" collapsed="false">
      <c r="B3169" s="5"/>
      <c r="C3169" s="155"/>
      <c r="D3169" s="156"/>
      <c r="F3169" s="170"/>
      <c r="G3169" s="5"/>
      <c r="H3169" s="5"/>
      <c r="I3169" s="5"/>
      <c r="J3169" s="158"/>
      <c r="K3169" s="159"/>
      <c r="L3169" s="160"/>
      <c r="M3169" s="161"/>
      <c r="N3169" s="162"/>
      <c r="O3169" s="163"/>
      <c r="P3169" s="163"/>
      <c r="Q3169" s="5"/>
      <c r="R3169" s="5"/>
      <c r="S3169" s="5"/>
      <c r="T3169" s="5"/>
      <c r="U3169" s="35"/>
      <c r="V3169" s="171"/>
      <c r="W3169" s="172"/>
      <c r="X3169" s="173"/>
    </row>
    <row r="3170" customFormat="false" ht="15" hidden="false" customHeight="true" outlineLevel="0" collapsed="false">
      <c r="B3170" s="5"/>
      <c r="C3170" s="155"/>
      <c r="D3170" s="156"/>
      <c r="F3170" s="157"/>
      <c r="G3170" s="5"/>
      <c r="H3170" s="5"/>
      <c r="I3170" s="5"/>
      <c r="J3170" s="158"/>
      <c r="K3170" s="159"/>
      <c r="L3170" s="160"/>
      <c r="M3170" s="177"/>
      <c r="N3170" s="162"/>
      <c r="O3170" s="163"/>
      <c r="P3170" s="163"/>
      <c r="Q3170" s="158"/>
      <c r="R3170" s="5"/>
      <c r="S3170" s="5"/>
      <c r="T3170" s="5"/>
      <c r="U3170" s="35"/>
      <c r="V3170" s="171"/>
    </row>
    <row r="3171" customFormat="false" ht="15" hidden="false" customHeight="true" outlineLevel="0" collapsed="false">
      <c r="B3171" s="5"/>
      <c r="C3171" s="155"/>
      <c r="D3171" s="156"/>
      <c r="F3171" s="157"/>
      <c r="G3171" s="5"/>
      <c r="H3171" s="5"/>
      <c r="I3171" s="5"/>
      <c r="J3171" s="158"/>
      <c r="K3171" s="159"/>
      <c r="L3171" s="160"/>
      <c r="M3171" s="177"/>
      <c r="N3171" s="162"/>
      <c r="O3171" s="163"/>
      <c r="P3171" s="163"/>
      <c r="Q3171" s="158"/>
      <c r="R3171" s="5"/>
      <c r="S3171" s="5"/>
      <c r="T3171" s="5"/>
      <c r="U3171" s="35"/>
      <c r="V3171" s="171"/>
    </row>
    <row r="3172" customFormat="false" ht="15" hidden="false" customHeight="true" outlineLevel="0" collapsed="false">
      <c r="B3172" s="5"/>
      <c r="C3172" s="155"/>
      <c r="D3172" s="156"/>
      <c r="F3172" s="157"/>
      <c r="G3172" s="5"/>
      <c r="H3172" s="5"/>
      <c r="I3172" s="5"/>
      <c r="J3172" s="158"/>
      <c r="K3172" s="159"/>
      <c r="L3172" s="160"/>
      <c r="M3172" s="161"/>
      <c r="N3172" s="162"/>
      <c r="O3172" s="163"/>
      <c r="P3172" s="163"/>
      <c r="Q3172" s="158"/>
      <c r="R3172" s="5"/>
      <c r="S3172" s="5"/>
      <c r="T3172" s="5"/>
      <c r="U3172" s="35"/>
      <c r="V3172" s="164"/>
    </row>
    <row r="3173" customFormat="false" ht="15" hidden="false" customHeight="true" outlineLevel="0" collapsed="false">
      <c r="B3173" s="5"/>
      <c r="C3173" s="155"/>
      <c r="D3173" s="156"/>
      <c r="F3173" s="157"/>
      <c r="G3173" s="5"/>
      <c r="H3173" s="5"/>
      <c r="I3173" s="5"/>
      <c r="J3173" s="158"/>
      <c r="K3173" s="159"/>
      <c r="L3173" s="160"/>
      <c r="M3173" s="161"/>
      <c r="N3173" s="162"/>
      <c r="O3173" s="163"/>
      <c r="P3173" s="163"/>
      <c r="Q3173" s="158"/>
      <c r="R3173" s="5"/>
      <c r="S3173" s="5"/>
      <c r="T3173" s="5"/>
      <c r="U3173" s="35"/>
      <c r="V3173" s="164"/>
    </row>
    <row r="3174" customFormat="false" ht="15" hidden="false" customHeight="true" outlineLevel="0" collapsed="false">
      <c r="B3174" s="5"/>
      <c r="C3174" s="155"/>
      <c r="D3174" s="156"/>
      <c r="F3174" s="157"/>
      <c r="G3174" s="5"/>
      <c r="H3174" s="5"/>
      <c r="I3174" s="5"/>
      <c r="J3174" s="158"/>
      <c r="K3174" s="159"/>
      <c r="L3174" s="160"/>
      <c r="M3174" s="161"/>
      <c r="N3174" s="162"/>
      <c r="O3174" s="163"/>
      <c r="P3174" s="163"/>
      <c r="Q3174" s="158"/>
      <c r="R3174" s="5"/>
      <c r="S3174" s="5"/>
      <c r="T3174" s="5"/>
      <c r="U3174" s="35"/>
      <c r="V3174" s="164"/>
    </row>
    <row r="3175" customFormat="false" ht="15" hidden="false" customHeight="true" outlineLevel="0" collapsed="false">
      <c r="B3175" s="5"/>
      <c r="C3175" s="155"/>
      <c r="D3175" s="156"/>
      <c r="F3175" s="157"/>
      <c r="G3175" s="5"/>
      <c r="H3175" s="5"/>
      <c r="I3175" s="5"/>
      <c r="J3175" s="158"/>
      <c r="K3175" s="159"/>
      <c r="L3175" s="160"/>
      <c r="M3175" s="161"/>
      <c r="N3175" s="162"/>
      <c r="O3175" s="163"/>
      <c r="P3175" s="163"/>
      <c r="Q3175" s="158"/>
      <c r="R3175" s="5"/>
      <c r="S3175" s="5"/>
      <c r="T3175" s="5"/>
      <c r="U3175" s="35"/>
      <c r="V3175" s="164"/>
    </row>
    <row r="3176" customFormat="false" ht="15" hidden="false" customHeight="true" outlineLevel="0" collapsed="false">
      <c r="C3176" s="155"/>
      <c r="D3176" s="156"/>
      <c r="F3176" s="157"/>
      <c r="G3176" s="5"/>
      <c r="H3176" s="165"/>
      <c r="I3176" s="165"/>
      <c r="J3176" s="158"/>
      <c r="K3176" s="159"/>
      <c r="L3176" s="166"/>
      <c r="M3176" s="167"/>
      <c r="N3176" s="168"/>
      <c r="O3176" s="163"/>
      <c r="P3176" s="163"/>
      <c r="Q3176" s="158"/>
      <c r="R3176" s="5"/>
      <c r="S3176" s="169"/>
      <c r="T3176" s="158"/>
      <c r="U3176" s="35"/>
      <c r="V3176" s="164"/>
    </row>
    <row r="3177" customFormat="false" ht="15" hidden="false" customHeight="true" outlineLevel="0" collapsed="false">
      <c r="B3177" s="5"/>
      <c r="C3177" s="155"/>
      <c r="D3177" s="156"/>
      <c r="F3177" s="170"/>
      <c r="G3177" s="5"/>
      <c r="H3177" s="5"/>
      <c r="I3177" s="5"/>
      <c r="J3177" s="158"/>
      <c r="K3177" s="163"/>
      <c r="L3177" s="160"/>
      <c r="M3177" s="174"/>
      <c r="N3177" s="168"/>
      <c r="O3177" s="163"/>
      <c r="P3177" s="160"/>
      <c r="Q3177" s="175"/>
      <c r="R3177" s="5"/>
      <c r="S3177" s="5"/>
      <c r="T3177" s="5"/>
      <c r="U3177" s="35"/>
      <c r="V3177" s="171"/>
      <c r="W3177" s="170"/>
      <c r="X3177" s="176"/>
    </row>
    <row r="3178" customFormat="false" ht="15" hidden="false" customHeight="true" outlineLevel="0" collapsed="false">
      <c r="B3178" s="5"/>
      <c r="C3178" s="155"/>
      <c r="D3178" s="156"/>
      <c r="F3178" s="170"/>
      <c r="G3178" s="5"/>
      <c r="H3178" s="5"/>
      <c r="I3178" s="5"/>
      <c r="J3178" s="158"/>
      <c r="K3178" s="163"/>
      <c r="L3178" s="160"/>
      <c r="M3178" s="174"/>
      <c r="N3178" s="168"/>
      <c r="O3178" s="163"/>
      <c r="P3178" s="160"/>
      <c r="Q3178" s="175"/>
      <c r="R3178" s="5"/>
      <c r="S3178" s="5"/>
      <c r="T3178" s="5"/>
      <c r="U3178" s="35"/>
      <c r="V3178" s="171"/>
      <c r="W3178" s="170"/>
      <c r="X3178" s="176"/>
    </row>
    <row r="3179" customFormat="false" ht="15" hidden="false" customHeight="true" outlineLevel="0" collapsed="false">
      <c r="B3179" s="5"/>
      <c r="C3179" s="155"/>
      <c r="D3179" s="156"/>
      <c r="F3179" s="170"/>
      <c r="G3179" s="5"/>
      <c r="H3179" s="5"/>
      <c r="I3179" s="5"/>
      <c r="J3179" s="158"/>
      <c r="K3179" s="163"/>
      <c r="L3179" s="160"/>
      <c r="M3179" s="174"/>
      <c r="N3179" s="168"/>
      <c r="O3179" s="163"/>
      <c r="P3179" s="160"/>
      <c r="Q3179" s="175"/>
      <c r="R3179" s="5"/>
      <c r="S3179" s="5"/>
      <c r="T3179" s="5"/>
      <c r="U3179" s="35"/>
      <c r="V3179" s="171"/>
      <c r="W3179" s="170"/>
      <c r="X3179" s="176"/>
    </row>
    <row r="3180" customFormat="false" ht="15" hidden="false" customHeight="true" outlineLevel="0" collapsed="false">
      <c r="B3180" s="5"/>
      <c r="C3180" s="155"/>
      <c r="D3180" s="156"/>
      <c r="F3180" s="170"/>
      <c r="G3180" s="5"/>
      <c r="H3180" s="5"/>
      <c r="I3180" s="5"/>
      <c r="J3180" s="158"/>
      <c r="K3180" s="163"/>
      <c r="L3180" s="160"/>
      <c r="M3180" s="174"/>
      <c r="N3180" s="168"/>
      <c r="O3180" s="163"/>
      <c r="P3180" s="160"/>
      <c r="Q3180" s="175"/>
      <c r="R3180" s="5"/>
      <c r="S3180" s="5"/>
      <c r="T3180" s="5"/>
      <c r="U3180" s="35"/>
      <c r="V3180" s="171"/>
      <c r="W3180" s="116"/>
      <c r="X3180" s="176"/>
    </row>
    <row r="3181" customFormat="false" ht="15" hidden="false" customHeight="true" outlineLevel="0" collapsed="false">
      <c r="B3181" s="5"/>
      <c r="C3181" s="155"/>
      <c r="D3181" s="156"/>
      <c r="F3181" s="170"/>
      <c r="G3181" s="5"/>
      <c r="H3181" s="5"/>
      <c r="I3181" s="5"/>
      <c r="J3181" s="158"/>
      <c r="K3181" s="159"/>
      <c r="L3181" s="160"/>
      <c r="M3181" s="174"/>
      <c r="N3181" s="168"/>
      <c r="O3181" s="163"/>
      <c r="P3181" s="160"/>
      <c r="Q3181" s="175"/>
      <c r="R3181" s="5"/>
      <c r="S3181" s="5"/>
      <c r="T3181" s="5"/>
      <c r="U3181" s="35"/>
      <c r="V3181" s="171"/>
    </row>
    <row r="3182" customFormat="false" ht="15" hidden="false" customHeight="true" outlineLevel="0" collapsed="false">
      <c r="B3182" s="5"/>
      <c r="C3182" s="155"/>
      <c r="D3182" s="156"/>
      <c r="F3182" s="157"/>
      <c r="G3182" s="5"/>
      <c r="H3182" s="5"/>
      <c r="I3182" s="5"/>
      <c r="J3182" s="158"/>
      <c r="K3182" s="159"/>
      <c r="L3182" s="160"/>
      <c r="M3182" s="161"/>
      <c r="N3182" s="162"/>
      <c r="O3182" s="163"/>
      <c r="P3182" s="163"/>
      <c r="Q3182" s="158"/>
      <c r="R3182" s="5"/>
      <c r="S3182" s="5"/>
      <c r="T3182" s="5"/>
      <c r="U3182" s="35"/>
      <c r="V3182" s="164"/>
    </row>
    <row r="3183" customFormat="false" ht="15" hidden="false" customHeight="true" outlineLevel="0" collapsed="false">
      <c r="B3183" s="5"/>
      <c r="C3183" s="155"/>
      <c r="D3183" s="156"/>
      <c r="F3183" s="157"/>
      <c r="G3183" s="5"/>
      <c r="H3183" s="5"/>
      <c r="I3183" s="5"/>
      <c r="J3183" s="158"/>
      <c r="K3183" s="159"/>
      <c r="L3183" s="160"/>
      <c r="M3183" s="161"/>
      <c r="N3183" s="162"/>
      <c r="O3183" s="163"/>
      <c r="P3183" s="163"/>
      <c r="Q3183" s="158"/>
      <c r="R3183" s="5"/>
      <c r="S3183" s="5"/>
      <c r="T3183" s="5"/>
      <c r="U3183" s="35"/>
      <c r="V3183" s="164"/>
    </row>
    <row r="3184" customFormat="false" ht="15" hidden="false" customHeight="true" outlineLevel="0" collapsed="false">
      <c r="B3184" s="5"/>
      <c r="C3184" s="155"/>
      <c r="D3184" s="156"/>
      <c r="F3184" s="157"/>
      <c r="G3184" s="5"/>
      <c r="H3184" s="5"/>
      <c r="I3184" s="5"/>
      <c r="J3184" s="158"/>
      <c r="K3184" s="159"/>
      <c r="L3184" s="160"/>
      <c r="M3184" s="161"/>
      <c r="N3184" s="162"/>
      <c r="O3184" s="163"/>
      <c r="P3184" s="163"/>
      <c r="Q3184" s="158"/>
      <c r="R3184" s="5"/>
      <c r="S3184" s="5"/>
      <c r="T3184" s="5"/>
      <c r="U3184" s="35"/>
      <c r="V3184" s="164"/>
    </row>
    <row r="3185" customFormat="false" ht="15" hidden="false" customHeight="true" outlineLevel="0" collapsed="false">
      <c r="B3185" s="5"/>
      <c r="C3185" s="155"/>
      <c r="D3185" s="156"/>
      <c r="F3185" s="157"/>
      <c r="G3185" s="5"/>
      <c r="H3185" s="5"/>
      <c r="I3185" s="5"/>
      <c r="J3185" s="158"/>
      <c r="K3185" s="159"/>
      <c r="L3185" s="160"/>
      <c r="M3185" s="161"/>
      <c r="N3185" s="162"/>
      <c r="O3185" s="163"/>
      <c r="P3185" s="163"/>
      <c r="Q3185" s="158"/>
      <c r="R3185" s="5"/>
      <c r="S3185" s="5"/>
      <c r="T3185" s="5"/>
      <c r="U3185" s="35"/>
      <c r="V3185" s="164"/>
    </row>
    <row r="3186" customFormat="false" ht="15" hidden="false" customHeight="true" outlineLevel="0" collapsed="false">
      <c r="C3186" s="155"/>
      <c r="D3186" s="156"/>
      <c r="F3186" s="157"/>
      <c r="G3186" s="5"/>
      <c r="H3186" s="165"/>
      <c r="I3186" s="165"/>
      <c r="J3186" s="158"/>
      <c r="K3186" s="159"/>
      <c r="L3186" s="166"/>
      <c r="M3186" s="167"/>
      <c r="N3186" s="168"/>
      <c r="O3186" s="163"/>
      <c r="P3186" s="163"/>
      <c r="Q3186" s="158"/>
      <c r="R3186" s="5"/>
      <c r="S3186" s="169"/>
      <c r="T3186" s="158"/>
      <c r="U3186" s="35"/>
      <c r="V3186" s="164"/>
    </row>
    <row r="3187" customFormat="false" ht="15" hidden="false" customHeight="true" outlineLevel="0" collapsed="false">
      <c r="C3187" s="155"/>
      <c r="D3187" s="156"/>
      <c r="F3187" s="157"/>
      <c r="G3187" s="5"/>
      <c r="H3187" s="165"/>
      <c r="I3187" s="165"/>
      <c r="J3187" s="158"/>
      <c r="K3187" s="159"/>
      <c r="L3187" s="166"/>
      <c r="M3187" s="167"/>
      <c r="N3187" s="168"/>
      <c r="O3187" s="163"/>
      <c r="P3187" s="163"/>
      <c r="Q3187" s="158"/>
      <c r="R3187" s="5"/>
      <c r="S3187" s="169"/>
      <c r="T3187" s="158"/>
      <c r="U3187" s="35"/>
      <c r="V3187" s="164"/>
    </row>
    <row r="3188" customFormat="false" ht="15" hidden="false" customHeight="true" outlineLevel="0" collapsed="false">
      <c r="B3188" s="5"/>
      <c r="C3188" s="155"/>
      <c r="D3188" s="156"/>
      <c r="F3188" s="170"/>
      <c r="G3188" s="5"/>
      <c r="H3188" s="5"/>
      <c r="I3188" s="5"/>
      <c r="J3188" s="158"/>
      <c r="K3188" s="163"/>
      <c r="L3188" s="160"/>
      <c r="M3188" s="174"/>
      <c r="N3188" s="168"/>
      <c r="O3188" s="160"/>
      <c r="P3188" s="160"/>
      <c r="Q3188" s="175"/>
      <c r="R3188" s="5"/>
      <c r="S3188" s="5"/>
      <c r="T3188" s="5"/>
      <c r="U3188" s="165"/>
      <c r="V3188" s="171"/>
      <c r="W3188" s="116"/>
      <c r="X3188" s="116"/>
      <c r="Y3188" s="116"/>
    </row>
    <row r="3189" customFormat="false" ht="15" hidden="false" customHeight="true" outlineLevel="0" collapsed="false">
      <c r="B3189" s="5"/>
      <c r="C3189" s="155"/>
      <c r="D3189" s="156"/>
      <c r="F3189" s="170"/>
      <c r="G3189" s="5"/>
      <c r="H3189" s="5"/>
      <c r="I3189" s="5"/>
      <c r="J3189" s="158"/>
      <c r="K3189" s="163"/>
      <c r="L3189" s="160"/>
      <c r="M3189" s="174"/>
      <c r="N3189" s="168"/>
      <c r="O3189" s="163"/>
      <c r="P3189" s="160"/>
      <c r="Q3189" s="175"/>
      <c r="R3189" s="5"/>
      <c r="S3189" s="5"/>
      <c r="T3189" s="5"/>
      <c r="U3189" s="165"/>
      <c r="V3189" s="164"/>
      <c r="W3189" s="116"/>
      <c r="X3189" s="116"/>
      <c r="Y3189" s="116"/>
    </row>
    <row r="3190" customFormat="false" ht="15" hidden="false" customHeight="true" outlineLevel="0" collapsed="false">
      <c r="B3190" s="5"/>
      <c r="C3190" s="155"/>
      <c r="D3190" s="156"/>
      <c r="F3190" s="170"/>
      <c r="G3190" s="5"/>
      <c r="H3190" s="5"/>
      <c r="I3190" s="5"/>
      <c r="J3190" s="158"/>
      <c r="K3190" s="163"/>
      <c r="L3190" s="160"/>
      <c r="M3190" s="174"/>
      <c r="N3190" s="168"/>
      <c r="O3190" s="163"/>
      <c r="P3190" s="160"/>
      <c r="Q3190" s="175"/>
      <c r="R3190" s="5"/>
      <c r="S3190" s="5"/>
      <c r="T3190" s="5"/>
      <c r="U3190" s="35"/>
      <c r="V3190" s="171"/>
      <c r="W3190" s="170"/>
      <c r="X3190" s="176"/>
    </row>
    <row r="3191" customFormat="false" ht="15" hidden="false" customHeight="true" outlineLevel="0" collapsed="false">
      <c r="B3191" s="5"/>
      <c r="C3191" s="155"/>
      <c r="D3191" s="156"/>
      <c r="F3191" s="170"/>
      <c r="G3191" s="5"/>
      <c r="H3191" s="5"/>
      <c r="I3191" s="5"/>
      <c r="J3191" s="158"/>
      <c r="K3191" s="159"/>
      <c r="L3191" s="160"/>
      <c r="M3191" s="161"/>
      <c r="N3191" s="162"/>
      <c r="O3191" s="163"/>
      <c r="P3191" s="163"/>
      <c r="Q3191" s="5"/>
      <c r="R3191" s="5"/>
      <c r="S3191" s="5"/>
      <c r="T3191" s="5"/>
      <c r="U3191" s="35"/>
      <c r="V3191" s="171"/>
      <c r="W3191" s="172"/>
      <c r="X3191" s="173"/>
    </row>
    <row r="3192" customFormat="false" ht="15" hidden="false" customHeight="true" outlineLevel="0" collapsed="false">
      <c r="B3192" s="5"/>
      <c r="C3192" s="155"/>
      <c r="D3192" s="156"/>
      <c r="F3192" s="157"/>
      <c r="G3192" s="5"/>
      <c r="H3192" s="5"/>
      <c r="I3192" s="5"/>
      <c r="J3192" s="158"/>
      <c r="K3192" s="159"/>
      <c r="L3192" s="160"/>
      <c r="M3192" s="161"/>
      <c r="N3192" s="162"/>
      <c r="O3192" s="163"/>
      <c r="P3192" s="163"/>
      <c r="Q3192" s="158"/>
      <c r="R3192" s="5"/>
      <c r="S3192" s="5"/>
      <c r="T3192" s="5"/>
      <c r="U3192" s="35"/>
      <c r="V3192" s="171"/>
    </row>
    <row r="3193" customFormat="false" ht="15" hidden="false" customHeight="true" outlineLevel="0" collapsed="false">
      <c r="B3193" s="5"/>
      <c r="C3193" s="155"/>
      <c r="D3193" s="156"/>
      <c r="F3193" s="157"/>
      <c r="G3193" s="5"/>
      <c r="H3193" s="5"/>
      <c r="I3193" s="5"/>
      <c r="J3193" s="158"/>
      <c r="K3193" s="159"/>
      <c r="L3193" s="160"/>
      <c r="M3193" s="161"/>
      <c r="N3193" s="162"/>
      <c r="O3193" s="163"/>
      <c r="P3193" s="163"/>
      <c r="Q3193" s="158"/>
      <c r="R3193" s="5"/>
      <c r="S3193" s="5"/>
      <c r="T3193" s="5"/>
      <c r="U3193" s="35"/>
      <c r="V3193" s="171"/>
    </row>
    <row r="3194" customFormat="false" ht="15" hidden="false" customHeight="true" outlineLevel="0" collapsed="false">
      <c r="B3194" s="5"/>
      <c r="C3194" s="155"/>
      <c r="D3194" s="156"/>
      <c r="F3194" s="157"/>
      <c r="G3194" s="5"/>
      <c r="H3194" s="5"/>
      <c r="I3194" s="5"/>
      <c r="J3194" s="158"/>
      <c r="K3194" s="159"/>
      <c r="L3194" s="160"/>
      <c r="M3194" s="177"/>
      <c r="N3194" s="162"/>
      <c r="O3194" s="163"/>
      <c r="P3194" s="163"/>
      <c r="Q3194" s="158"/>
      <c r="R3194" s="5"/>
      <c r="S3194" s="5"/>
      <c r="T3194" s="5"/>
      <c r="U3194" s="35"/>
      <c r="V3194" s="171"/>
    </row>
    <row r="3195" customFormat="false" ht="15" hidden="false" customHeight="true" outlineLevel="0" collapsed="false">
      <c r="B3195" s="5"/>
      <c r="C3195" s="155"/>
      <c r="D3195" s="156"/>
      <c r="F3195" s="157"/>
      <c r="G3195" s="5"/>
      <c r="H3195" s="5"/>
      <c r="I3195" s="5"/>
      <c r="J3195" s="158"/>
      <c r="K3195" s="159"/>
      <c r="L3195" s="160"/>
      <c r="M3195" s="161"/>
      <c r="N3195" s="162"/>
      <c r="O3195" s="163"/>
      <c r="P3195" s="163"/>
      <c r="Q3195" s="158"/>
      <c r="R3195" s="5"/>
      <c r="S3195" s="5"/>
      <c r="T3195" s="5"/>
      <c r="U3195" s="35"/>
      <c r="V3195" s="171"/>
    </row>
    <row r="3196" customFormat="false" ht="15" hidden="false" customHeight="true" outlineLevel="0" collapsed="false">
      <c r="B3196" s="5"/>
      <c r="C3196" s="155"/>
      <c r="D3196" s="156"/>
      <c r="F3196" s="157"/>
      <c r="G3196" s="5"/>
      <c r="H3196" s="5"/>
      <c r="I3196" s="5"/>
      <c r="J3196" s="158"/>
      <c r="K3196" s="159"/>
      <c r="L3196" s="160"/>
      <c r="M3196" s="161"/>
      <c r="N3196" s="162"/>
      <c r="O3196" s="163"/>
      <c r="P3196" s="163"/>
      <c r="Q3196" s="158"/>
      <c r="R3196" s="5"/>
      <c r="S3196" s="5"/>
      <c r="T3196" s="5"/>
      <c r="U3196" s="35"/>
      <c r="V3196" s="171"/>
    </row>
    <row r="3197" customFormat="false" ht="15" hidden="false" customHeight="true" outlineLevel="0" collapsed="false">
      <c r="C3197" s="155"/>
      <c r="D3197" s="156"/>
      <c r="F3197" s="157"/>
      <c r="G3197" s="5"/>
      <c r="H3197" s="5"/>
      <c r="I3197" s="5"/>
      <c r="J3197" s="158"/>
      <c r="K3197" s="159"/>
      <c r="L3197" s="160"/>
      <c r="M3197" s="161"/>
      <c r="N3197" s="162"/>
      <c r="O3197" s="163"/>
      <c r="P3197" s="163"/>
      <c r="Q3197" s="158"/>
      <c r="R3197" s="5"/>
      <c r="S3197" s="5"/>
      <c r="T3197" s="5"/>
      <c r="U3197" s="35"/>
      <c r="V3197" s="164"/>
    </row>
    <row r="3198" customFormat="false" ht="15" hidden="false" customHeight="true" outlineLevel="0" collapsed="false">
      <c r="B3198" s="5"/>
      <c r="C3198" s="155"/>
      <c r="D3198" s="156"/>
      <c r="F3198" s="157"/>
      <c r="G3198" s="5"/>
      <c r="H3198" s="5"/>
      <c r="I3198" s="5"/>
      <c r="J3198" s="158"/>
      <c r="K3198" s="159"/>
      <c r="L3198" s="160"/>
      <c r="M3198" s="161"/>
      <c r="N3198" s="162"/>
      <c r="O3198" s="163"/>
      <c r="P3198" s="163"/>
      <c r="Q3198" s="158"/>
      <c r="R3198" s="5"/>
      <c r="S3198" s="5"/>
      <c r="T3198" s="5"/>
      <c r="U3198" s="35"/>
      <c r="V3198" s="164"/>
    </row>
    <row r="3199" customFormat="false" ht="15" hidden="false" customHeight="true" outlineLevel="0" collapsed="false">
      <c r="B3199" s="5"/>
      <c r="C3199" s="155"/>
      <c r="D3199" s="156"/>
      <c r="F3199" s="157"/>
      <c r="G3199" s="5"/>
      <c r="H3199" s="5"/>
      <c r="I3199" s="5"/>
      <c r="J3199" s="158"/>
      <c r="K3199" s="159"/>
      <c r="L3199" s="160"/>
      <c r="M3199" s="161"/>
      <c r="N3199" s="162"/>
      <c r="O3199" s="163"/>
      <c r="P3199" s="163"/>
      <c r="Q3199" s="158"/>
      <c r="R3199" s="5"/>
      <c r="S3199" s="5"/>
      <c r="T3199" s="5"/>
      <c r="U3199" s="35"/>
      <c r="V3199" s="164"/>
    </row>
    <row r="3200" customFormat="false" ht="15" hidden="false" customHeight="true" outlineLevel="0" collapsed="false">
      <c r="B3200" s="5"/>
      <c r="C3200" s="155"/>
      <c r="D3200" s="156"/>
      <c r="F3200" s="157"/>
      <c r="G3200" s="5"/>
      <c r="H3200" s="5"/>
      <c r="I3200" s="5"/>
      <c r="J3200" s="158"/>
      <c r="K3200" s="159"/>
      <c r="L3200" s="160"/>
      <c r="M3200" s="161"/>
      <c r="N3200" s="162"/>
      <c r="O3200" s="163"/>
      <c r="P3200" s="163"/>
      <c r="Q3200" s="158"/>
      <c r="R3200" s="5"/>
      <c r="S3200" s="5"/>
      <c r="T3200" s="5"/>
      <c r="U3200" s="35"/>
      <c r="V3200" s="164"/>
    </row>
    <row r="3201" customFormat="false" ht="15" hidden="false" customHeight="true" outlineLevel="0" collapsed="false">
      <c r="B3201" s="5"/>
      <c r="C3201" s="155"/>
      <c r="D3201" s="156"/>
      <c r="F3201" s="157"/>
      <c r="G3201" s="5"/>
      <c r="H3201" s="5"/>
      <c r="I3201" s="5"/>
      <c r="J3201" s="158"/>
      <c r="K3201" s="159"/>
      <c r="L3201" s="160"/>
      <c r="M3201" s="161"/>
      <c r="N3201" s="162"/>
      <c r="O3201" s="163"/>
      <c r="P3201" s="163"/>
      <c r="Q3201" s="158"/>
      <c r="R3201" s="5"/>
      <c r="S3201" s="5"/>
      <c r="T3201" s="5"/>
      <c r="U3201" s="35"/>
      <c r="V3201" s="164"/>
    </row>
    <row r="3202" customFormat="false" ht="15" hidden="false" customHeight="true" outlineLevel="0" collapsed="false">
      <c r="B3202" s="5"/>
      <c r="C3202" s="155"/>
      <c r="D3202" s="156"/>
      <c r="F3202" s="157"/>
      <c r="G3202" s="5"/>
      <c r="H3202" s="5"/>
      <c r="I3202" s="5"/>
      <c r="J3202" s="158"/>
      <c r="K3202" s="159"/>
      <c r="L3202" s="160"/>
      <c r="M3202" s="161"/>
      <c r="N3202" s="162"/>
      <c r="O3202" s="163"/>
      <c r="P3202" s="163"/>
      <c r="Q3202" s="158"/>
      <c r="R3202" s="5"/>
      <c r="S3202" s="5"/>
      <c r="T3202" s="5"/>
      <c r="U3202" s="35"/>
      <c r="V3202" s="164"/>
    </row>
    <row r="3203" customFormat="false" ht="15" hidden="false" customHeight="true" outlineLevel="0" collapsed="false">
      <c r="B3203" s="5"/>
      <c r="C3203" s="155"/>
      <c r="D3203" s="156"/>
      <c r="F3203" s="157"/>
      <c r="G3203" s="5"/>
      <c r="H3203" s="5"/>
      <c r="I3203" s="5"/>
      <c r="J3203" s="158"/>
      <c r="K3203" s="159"/>
      <c r="L3203" s="160"/>
      <c r="M3203" s="161"/>
      <c r="N3203" s="162"/>
      <c r="O3203" s="163"/>
      <c r="P3203" s="163"/>
      <c r="Q3203" s="158"/>
      <c r="R3203" s="5"/>
      <c r="S3203" s="5"/>
      <c r="T3203" s="5"/>
      <c r="U3203" s="35"/>
      <c r="V3203" s="164"/>
      <c r="Z3203" s="157"/>
      <c r="AA3203" s="5"/>
      <c r="AB3203" s="165"/>
      <c r="AC3203" s="165"/>
      <c r="AD3203" s="158"/>
      <c r="AE3203" s="199"/>
      <c r="AF3203" s="200"/>
      <c r="AG3203" s="167"/>
      <c r="AH3203" s="168"/>
      <c r="AI3203" s="168"/>
      <c r="AJ3203" s="168"/>
      <c r="AK3203" s="158"/>
      <c r="AL3203" s="5"/>
      <c r="AM3203" s="169"/>
      <c r="AN3203" s="158"/>
      <c r="AO3203" s="35"/>
      <c r="AP3203" s="164"/>
      <c r="AQ3203" s="2"/>
      <c r="AR3203" s="171"/>
      <c r="AS3203" s="5"/>
      <c r="AT3203" s="5"/>
      <c r="AU3203" s="157"/>
      <c r="AV3203" s="5"/>
      <c r="AW3203" s="165"/>
      <c r="AX3203" s="165"/>
      <c r="AY3203" s="158"/>
      <c r="AZ3203" s="199"/>
      <c r="BA3203" s="200"/>
      <c r="BB3203" s="167"/>
      <c r="BC3203" s="168"/>
      <c r="BD3203" s="168"/>
      <c r="BE3203" s="168"/>
      <c r="BF3203" s="158"/>
      <c r="BG3203" s="5"/>
      <c r="BH3203" s="169"/>
      <c r="BI3203" s="158"/>
      <c r="BJ3203" s="35"/>
      <c r="BK3203" s="164"/>
      <c r="BL3203" s="2"/>
      <c r="BM3203" s="171"/>
      <c r="BN3203" s="5"/>
      <c r="BO3203" s="5"/>
      <c r="BP3203" s="157"/>
      <c r="BQ3203" s="5"/>
      <c r="BR3203" s="165"/>
      <c r="BS3203" s="165"/>
      <c r="BT3203" s="158"/>
      <c r="BU3203" s="199"/>
      <c r="BV3203" s="200"/>
      <c r="BW3203" s="167"/>
      <c r="BX3203" s="168"/>
      <c r="BY3203" s="168"/>
      <c r="BZ3203" s="168"/>
      <c r="CA3203" s="158"/>
      <c r="CB3203" s="5"/>
      <c r="CC3203" s="169"/>
      <c r="CD3203" s="158"/>
      <c r="CE3203" s="35"/>
      <c r="CF3203" s="164"/>
      <c r="CG3203" s="2"/>
      <c r="CH3203" s="171"/>
      <c r="CI3203" s="5"/>
      <c r="CJ3203" s="5"/>
      <c r="CK3203" s="157"/>
      <c r="CL3203" s="5"/>
      <c r="CM3203" s="165"/>
      <c r="CN3203" s="165"/>
      <c r="CO3203" s="158"/>
      <c r="CP3203" s="199"/>
      <c r="CQ3203" s="200"/>
      <c r="CR3203" s="167"/>
      <c r="CS3203" s="168"/>
      <c r="CT3203" s="168"/>
      <c r="CU3203" s="168"/>
      <c r="CV3203" s="158"/>
      <c r="CW3203" s="5"/>
      <c r="CX3203" s="169"/>
      <c r="CY3203" s="158"/>
      <c r="CZ3203" s="35"/>
      <c r="DA3203" s="164"/>
      <c r="DB3203" s="2"/>
      <c r="DC3203" s="171"/>
      <c r="DD3203" s="5"/>
      <c r="DE3203" s="5"/>
      <c r="DF3203" s="157"/>
      <c r="DG3203" s="5"/>
      <c r="DH3203" s="165"/>
      <c r="DI3203" s="165"/>
      <c r="DJ3203" s="158"/>
      <c r="DK3203" s="199"/>
      <c r="DL3203" s="200"/>
      <c r="DM3203" s="167"/>
      <c r="DN3203" s="168"/>
      <c r="DO3203" s="168"/>
      <c r="DP3203" s="168"/>
      <c r="DQ3203" s="158"/>
      <c r="DR3203" s="5"/>
      <c r="DS3203" s="169"/>
      <c r="DT3203" s="158"/>
      <c r="DU3203" s="35"/>
      <c r="DV3203" s="164"/>
      <c r="DW3203" s="2"/>
      <c r="DX3203" s="171"/>
      <c r="DY3203" s="5"/>
      <c r="DZ3203" s="5"/>
    </row>
    <row r="3204" customFormat="false" ht="15" hidden="false" customHeight="true" outlineLevel="0" collapsed="false">
      <c r="B3204" s="5"/>
      <c r="C3204" s="155"/>
      <c r="D3204" s="156"/>
      <c r="F3204" s="157"/>
      <c r="G3204" s="5"/>
      <c r="H3204" s="5"/>
      <c r="I3204" s="5"/>
      <c r="J3204" s="158"/>
      <c r="K3204" s="159"/>
      <c r="L3204" s="160"/>
      <c r="M3204" s="161"/>
      <c r="N3204" s="162"/>
      <c r="O3204" s="163"/>
      <c r="P3204" s="163"/>
      <c r="Q3204" s="158"/>
      <c r="R3204" s="5"/>
      <c r="S3204" s="5"/>
      <c r="T3204" s="5"/>
      <c r="U3204" s="35"/>
      <c r="V3204" s="164"/>
    </row>
    <row r="3205" customFormat="false" ht="15" hidden="false" customHeight="true" outlineLevel="0" collapsed="false">
      <c r="B3205" s="5"/>
      <c r="C3205" s="155"/>
      <c r="D3205" s="156"/>
      <c r="F3205" s="157"/>
      <c r="G3205" s="5"/>
      <c r="H3205" s="5"/>
      <c r="I3205" s="5"/>
      <c r="J3205" s="158"/>
      <c r="K3205" s="159"/>
      <c r="L3205" s="160"/>
      <c r="M3205" s="161"/>
      <c r="N3205" s="162"/>
      <c r="O3205" s="163"/>
      <c r="P3205" s="163"/>
      <c r="Q3205" s="158"/>
      <c r="R3205" s="5"/>
      <c r="S3205" s="5"/>
      <c r="T3205" s="5"/>
      <c r="U3205" s="35"/>
      <c r="V3205" s="164"/>
    </row>
    <row r="3206" customFormat="false" ht="15" hidden="false" customHeight="true" outlineLevel="0" collapsed="false">
      <c r="B3206" s="5"/>
      <c r="C3206" s="155"/>
      <c r="D3206" s="156"/>
      <c r="F3206" s="157"/>
      <c r="G3206" s="5"/>
      <c r="H3206" s="5"/>
      <c r="I3206" s="5"/>
      <c r="J3206" s="158"/>
      <c r="K3206" s="159"/>
      <c r="L3206" s="160"/>
      <c r="M3206" s="161"/>
      <c r="N3206" s="162"/>
      <c r="O3206" s="163"/>
      <c r="P3206" s="163"/>
      <c r="Q3206" s="158"/>
      <c r="R3206" s="5"/>
      <c r="S3206" s="5"/>
      <c r="T3206" s="5"/>
      <c r="U3206" s="35"/>
      <c r="V3206" s="164"/>
    </row>
    <row r="3207" customFormat="false" ht="15" hidden="false" customHeight="true" outlineLevel="0" collapsed="false">
      <c r="B3207" s="5"/>
      <c r="C3207" s="155"/>
      <c r="D3207" s="156"/>
      <c r="F3207" s="157"/>
      <c r="G3207" s="5"/>
      <c r="H3207" s="5"/>
      <c r="I3207" s="5"/>
      <c r="J3207" s="158"/>
      <c r="K3207" s="159"/>
      <c r="L3207" s="160"/>
      <c r="M3207" s="161"/>
      <c r="N3207" s="162"/>
      <c r="O3207" s="163"/>
      <c r="P3207" s="163"/>
      <c r="Q3207" s="158"/>
      <c r="R3207" s="5"/>
      <c r="S3207" s="5"/>
      <c r="T3207" s="5"/>
      <c r="U3207" s="35"/>
      <c r="V3207" s="164"/>
    </row>
    <row r="3208" customFormat="false" ht="15" hidden="false" customHeight="true" outlineLevel="0" collapsed="false">
      <c r="B3208" s="5"/>
      <c r="C3208" s="155"/>
      <c r="D3208" s="156"/>
      <c r="F3208" s="157"/>
      <c r="G3208" s="5"/>
      <c r="H3208" s="5"/>
      <c r="I3208" s="5"/>
      <c r="J3208" s="158"/>
      <c r="K3208" s="159"/>
      <c r="L3208" s="160"/>
      <c r="M3208" s="161"/>
      <c r="N3208" s="162"/>
      <c r="O3208" s="163"/>
      <c r="P3208" s="163"/>
      <c r="Q3208" s="158"/>
      <c r="R3208" s="5"/>
      <c r="S3208" s="5"/>
      <c r="T3208" s="5"/>
      <c r="U3208" s="35"/>
      <c r="V3208" s="164"/>
    </row>
    <row r="3209" customFormat="false" ht="15" hidden="false" customHeight="true" outlineLevel="0" collapsed="false">
      <c r="B3209" s="5"/>
      <c r="C3209" s="155"/>
      <c r="D3209" s="156"/>
      <c r="F3209" s="157"/>
      <c r="G3209" s="5"/>
      <c r="H3209" s="5"/>
      <c r="I3209" s="5"/>
      <c r="J3209" s="158"/>
      <c r="K3209" s="159"/>
      <c r="L3209" s="160"/>
      <c r="M3209" s="161"/>
      <c r="N3209" s="162"/>
      <c r="O3209" s="163"/>
      <c r="P3209" s="163"/>
      <c r="Q3209" s="158"/>
      <c r="R3209" s="5"/>
      <c r="S3209" s="5"/>
      <c r="T3209" s="5"/>
      <c r="U3209" s="35"/>
      <c r="V3209" s="164"/>
    </row>
    <row r="3210" customFormat="false" ht="15" hidden="false" customHeight="true" outlineLevel="0" collapsed="false">
      <c r="B3210" s="5"/>
      <c r="C3210" s="155"/>
      <c r="D3210" s="156"/>
      <c r="F3210" s="157"/>
      <c r="G3210" s="5"/>
      <c r="H3210" s="5"/>
      <c r="I3210" s="5"/>
      <c r="J3210" s="158"/>
      <c r="K3210" s="159"/>
      <c r="L3210" s="160"/>
      <c r="M3210" s="161"/>
      <c r="N3210" s="162"/>
      <c r="O3210" s="163"/>
      <c r="P3210" s="163"/>
      <c r="Q3210" s="158"/>
      <c r="R3210" s="5"/>
      <c r="S3210" s="5"/>
      <c r="T3210" s="5"/>
      <c r="U3210" s="35"/>
      <c r="V3210" s="164"/>
    </row>
    <row r="3211" customFormat="false" ht="15" hidden="false" customHeight="true" outlineLevel="0" collapsed="false">
      <c r="B3211" s="5"/>
      <c r="C3211" s="155"/>
      <c r="D3211" s="156"/>
      <c r="F3211" s="157"/>
      <c r="G3211" s="5"/>
      <c r="H3211" s="5"/>
      <c r="I3211" s="5"/>
      <c r="J3211" s="158"/>
      <c r="K3211" s="159"/>
      <c r="L3211" s="160"/>
      <c r="M3211" s="161"/>
      <c r="N3211" s="162"/>
      <c r="O3211" s="163"/>
      <c r="P3211" s="163"/>
      <c r="Q3211" s="158"/>
      <c r="R3211" s="5"/>
      <c r="S3211" s="5"/>
      <c r="T3211" s="5"/>
      <c r="U3211" s="35"/>
      <c r="V3211" s="164"/>
    </row>
    <row r="3212" customFormat="false" ht="15" hidden="false" customHeight="true" outlineLevel="0" collapsed="false">
      <c r="C3212" s="155"/>
      <c r="D3212" s="156"/>
      <c r="F3212" s="157"/>
      <c r="G3212" s="5"/>
      <c r="H3212" s="165"/>
      <c r="I3212" s="165"/>
      <c r="J3212" s="158"/>
      <c r="K3212" s="159"/>
      <c r="L3212" s="166"/>
      <c r="M3212" s="167"/>
      <c r="N3212" s="168"/>
      <c r="O3212" s="163"/>
      <c r="P3212" s="163"/>
      <c r="Q3212" s="158"/>
      <c r="R3212" s="5"/>
      <c r="S3212" s="169"/>
      <c r="T3212" s="158"/>
      <c r="U3212" s="35"/>
      <c r="V3212" s="164"/>
    </row>
    <row r="3213" customFormat="false" ht="15" hidden="false" customHeight="true" outlineLevel="0" collapsed="false">
      <c r="C3213" s="155"/>
      <c r="D3213" s="156"/>
      <c r="F3213" s="157"/>
      <c r="G3213" s="5"/>
      <c r="H3213" s="165"/>
      <c r="I3213" s="165"/>
      <c r="J3213" s="158"/>
      <c r="K3213" s="159"/>
      <c r="L3213" s="166"/>
      <c r="M3213" s="167"/>
      <c r="N3213" s="168"/>
      <c r="O3213" s="163"/>
      <c r="P3213" s="163"/>
      <c r="Q3213" s="158"/>
      <c r="R3213" s="5"/>
      <c r="S3213" s="169"/>
      <c r="T3213" s="158"/>
      <c r="U3213" s="35"/>
      <c r="V3213" s="164"/>
    </row>
    <row r="3214" customFormat="false" ht="15" hidden="false" customHeight="true" outlineLevel="0" collapsed="false">
      <c r="C3214" s="155"/>
      <c r="D3214" s="156"/>
      <c r="F3214" s="157"/>
      <c r="G3214" s="5"/>
      <c r="H3214" s="165"/>
      <c r="I3214" s="165"/>
      <c r="J3214" s="158"/>
      <c r="K3214" s="159"/>
      <c r="L3214" s="166"/>
      <c r="M3214" s="167"/>
      <c r="N3214" s="168"/>
      <c r="O3214" s="163"/>
      <c r="P3214" s="163"/>
      <c r="Q3214" s="158"/>
      <c r="R3214" s="5"/>
      <c r="S3214" s="169"/>
      <c r="T3214" s="158"/>
      <c r="U3214" s="35"/>
      <c r="V3214" s="164"/>
    </row>
    <row r="3215" customFormat="false" ht="15" hidden="false" customHeight="true" outlineLevel="0" collapsed="false">
      <c r="C3215" s="155"/>
      <c r="D3215" s="156"/>
      <c r="F3215" s="157"/>
      <c r="G3215" s="5"/>
      <c r="H3215" s="165"/>
      <c r="I3215" s="165"/>
      <c r="J3215" s="158"/>
      <c r="K3215" s="159"/>
      <c r="L3215" s="166"/>
      <c r="M3215" s="167"/>
      <c r="N3215" s="168"/>
      <c r="O3215" s="163"/>
      <c r="P3215" s="163"/>
      <c r="Q3215" s="158"/>
      <c r="R3215" s="5"/>
      <c r="S3215" s="169"/>
      <c r="T3215" s="158"/>
      <c r="U3215" s="35"/>
      <c r="V3215" s="164"/>
    </row>
    <row r="3216" customFormat="false" ht="15" hidden="false" customHeight="true" outlineLevel="0" collapsed="false">
      <c r="B3216" s="5"/>
      <c r="C3216" s="155"/>
      <c r="D3216" s="156"/>
      <c r="F3216" s="157"/>
      <c r="G3216" s="5"/>
      <c r="H3216" s="5"/>
      <c r="I3216" s="5"/>
      <c r="J3216" s="158"/>
      <c r="K3216" s="159"/>
      <c r="L3216" s="160"/>
      <c r="M3216" s="161"/>
      <c r="N3216" s="162"/>
      <c r="O3216" s="163"/>
      <c r="P3216" s="163"/>
      <c r="Q3216" s="158"/>
      <c r="R3216" s="5"/>
      <c r="S3216" s="5"/>
      <c r="T3216" s="5"/>
      <c r="U3216" s="35"/>
      <c r="V3216" s="164"/>
    </row>
    <row r="3217" customFormat="false" ht="15" hidden="false" customHeight="true" outlineLevel="0" collapsed="false">
      <c r="B3217" s="5"/>
      <c r="C3217" s="155"/>
      <c r="D3217" s="156"/>
      <c r="F3217" s="157"/>
      <c r="G3217" s="5"/>
      <c r="H3217" s="5"/>
      <c r="I3217" s="5"/>
      <c r="J3217" s="158"/>
      <c r="K3217" s="159"/>
      <c r="L3217" s="160"/>
      <c r="M3217" s="161"/>
      <c r="N3217" s="162"/>
      <c r="O3217" s="163"/>
      <c r="P3217" s="163"/>
      <c r="Q3217" s="158"/>
      <c r="R3217" s="5"/>
      <c r="S3217" s="5"/>
      <c r="T3217" s="5"/>
      <c r="U3217" s="35"/>
      <c r="V3217" s="164"/>
    </row>
    <row r="3218" customFormat="false" ht="15" hidden="false" customHeight="true" outlineLevel="0" collapsed="false">
      <c r="B3218" s="5"/>
      <c r="C3218" s="155"/>
      <c r="D3218" s="156"/>
      <c r="F3218" s="72"/>
      <c r="G3218" s="5"/>
      <c r="H3218" s="5"/>
      <c r="I3218" s="5"/>
      <c r="J3218" s="158"/>
      <c r="K3218" s="159"/>
      <c r="L3218" s="160"/>
      <c r="M3218" s="161"/>
      <c r="N3218" s="162"/>
      <c r="O3218" s="163"/>
      <c r="P3218" s="163"/>
      <c r="Q3218" s="158"/>
      <c r="R3218" s="5"/>
      <c r="S3218" s="5"/>
      <c r="T3218" s="5"/>
      <c r="U3218" s="35"/>
      <c r="V3218" s="164"/>
    </row>
    <row r="3219" customFormat="false" ht="15" hidden="false" customHeight="true" outlineLevel="0" collapsed="false">
      <c r="B3219" s="5"/>
      <c r="C3219" s="155"/>
      <c r="D3219" s="156"/>
      <c r="F3219" s="170"/>
      <c r="G3219" s="5"/>
      <c r="H3219" s="5"/>
      <c r="I3219" s="5"/>
      <c r="J3219" s="158"/>
      <c r="K3219" s="159"/>
      <c r="L3219" s="160"/>
      <c r="M3219" s="178"/>
      <c r="N3219" s="162"/>
      <c r="O3219" s="163"/>
      <c r="P3219" s="163"/>
      <c r="Q3219" s="5"/>
      <c r="R3219" s="5"/>
      <c r="S3219" s="5"/>
      <c r="T3219" s="5"/>
      <c r="U3219" s="35"/>
      <c r="V3219" s="171"/>
      <c r="W3219" s="172"/>
      <c r="X3219" s="173"/>
    </row>
    <row r="3220" customFormat="false" ht="15" hidden="false" customHeight="true" outlineLevel="0" collapsed="false">
      <c r="B3220" s="5"/>
      <c r="C3220" s="155"/>
      <c r="D3220" s="156"/>
      <c r="F3220" s="157"/>
      <c r="G3220" s="5"/>
      <c r="H3220" s="5"/>
      <c r="I3220" s="5"/>
      <c r="J3220" s="158"/>
      <c r="K3220" s="159"/>
      <c r="L3220" s="160"/>
      <c r="M3220" s="177"/>
      <c r="N3220" s="162"/>
      <c r="O3220" s="163"/>
      <c r="P3220" s="163"/>
      <c r="Q3220" s="158"/>
      <c r="R3220" s="5"/>
      <c r="S3220" s="5"/>
      <c r="T3220" s="5"/>
      <c r="U3220" s="35"/>
      <c r="V3220" s="171"/>
    </row>
    <row r="3221" customFormat="false" ht="15" hidden="false" customHeight="true" outlineLevel="0" collapsed="false">
      <c r="B3221" s="5"/>
      <c r="C3221" s="155"/>
      <c r="D3221" s="156"/>
      <c r="F3221" s="157"/>
      <c r="G3221" s="5"/>
      <c r="H3221" s="5"/>
      <c r="I3221" s="5"/>
      <c r="J3221" s="158"/>
      <c r="K3221" s="159"/>
      <c r="L3221" s="160"/>
      <c r="M3221" s="161"/>
      <c r="N3221" s="162"/>
      <c r="O3221" s="163"/>
      <c r="P3221" s="163"/>
      <c r="Q3221" s="158"/>
      <c r="R3221" s="5"/>
      <c r="S3221" s="5"/>
      <c r="T3221" s="5"/>
      <c r="U3221" s="35"/>
      <c r="V3221" s="164"/>
    </row>
    <row r="3222" customFormat="false" ht="15" hidden="false" customHeight="true" outlineLevel="0" collapsed="false">
      <c r="B3222" s="5"/>
      <c r="C3222" s="155"/>
      <c r="D3222" s="156"/>
      <c r="F3222" s="170"/>
      <c r="G3222" s="5"/>
      <c r="H3222" s="5"/>
      <c r="I3222" s="5"/>
      <c r="J3222" s="158"/>
      <c r="K3222" s="163"/>
      <c r="L3222" s="160"/>
      <c r="M3222" s="174"/>
      <c r="N3222" s="168"/>
      <c r="O3222" s="163"/>
      <c r="P3222" s="160"/>
      <c r="Q3222" s="175"/>
      <c r="R3222" s="5"/>
      <c r="S3222" s="5"/>
      <c r="T3222" s="5"/>
      <c r="U3222" s="165"/>
      <c r="V3222" s="164"/>
      <c r="W3222" s="116"/>
      <c r="X3222" s="116"/>
      <c r="Y3222" s="116"/>
    </row>
    <row r="3223" customFormat="false" ht="15" hidden="false" customHeight="true" outlineLevel="0" collapsed="false">
      <c r="B3223" s="5"/>
      <c r="C3223" s="155"/>
      <c r="D3223" s="156"/>
      <c r="F3223" s="170"/>
      <c r="G3223" s="5"/>
      <c r="H3223" s="5"/>
      <c r="I3223" s="5"/>
      <c r="J3223" s="158"/>
      <c r="K3223" s="163"/>
      <c r="L3223" s="160"/>
      <c r="M3223" s="174"/>
      <c r="N3223" s="168"/>
      <c r="O3223" s="163"/>
      <c r="P3223" s="160"/>
      <c r="Q3223" s="175"/>
      <c r="R3223" s="5"/>
      <c r="S3223" s="5"/>
      <c r="T3223" s="5"/>
      <c r="U3223" s="165"/>
      <c r="V3223" s="171"/>
      <c r="W3223" s="116"/>
      <c r="X3223" s="116"/>
      <c r="Y3223" s="116"/>
    </row>
    <row r="3224" customFormat="false" ht="15" hidden="false" customHeight="true" outlineLevel="0" collapsed="false">
      <c r="B3224" s="5"/>
      <c r="C3224" s="155"/>
      <c r="D3224" s="156"/>
      <c r="F3224" s="170"/>
      <c r="G3224" s="5"/>
      <c r="H3224" s="5"/>
      <c r="I3224" s="5"/>
      <c r="J3224" s="158"/>
      <c r="K3224" s="163"/>
      <c r="L3224" s="160"/>
      <c r="M3224" s="174"/>
      <c r="N3224" s="168"/>
      <c r="O3224" s="163"/>
      <c r="P3224" s="160"/>
      <c r="Q3224" s="175"/>
      <c r="R3224" s="5"/>
      <c r="S3224" s="5"/>
      <c r="T3224" s="5"/>
      <c r="U3224" s="35"/>
      <c r="V3224" s="171"/>
      <c r="W3224" s="116"/>
    </row>
    <row r="3225" customFormat="false" ht="15" hidden="false" customHeight="true" outlineLevel="0" collapsed="false">
      <c r="B3225" s="5"/>
      <c r="C3225" s="155"/>
      <c r="D3225" s="156"/>
      <c r="F3225" s="170"/>
      <c r="G3225" s="5"/>
      <c r="H3225" s="5"/>
      <c r="I3225" s="5"/>
      <c r="J3225" s="158"/>
      <c r="K3225" s="163"/>
      <c r="L3225" s="160"/>
      <c r="M3225" s="174"/>
      <c r="N3225" s="168"/>
      <c r="O3225" s="160"/>
      <c r="P3225" s="160"/>
      <c r="Q3225" s="175"/>
      <c r="R3225" s="5"/>
      <c r="S3225" s="5"/>
      <c r="T3225" s="5"/>
      <c r="U3225" s="165"/>
      <c r="V3225" s="171"/>
      <c r="W3225" s="116"/>
      <c r="X3225" s="116"/>
      <c r="Y3225" s="116"/>
    </row>
    <row r="3226" customFormat="false" ht="15" hidden="false" customHeight="true" outlineLevel="0" collapsed="false">
      <c r="A3226" s="174"/>
      <c r="B3226" s="5"/>
      <c r="C3226" s="155"/>
      <c r="D3226" s="156"/>
      <c r="F3226" s="157"/>
      <c r="G3226" s="5"/>
      <c r="H3226" s="5"/>
      <c r="I3226" s="5"/>
      <c r="J3226" s="158"/>
      <c r="K3226" s="159"/>
      <c r="L3226" s="160"/>
      <c r="M3226" s="161"/>
      <c r="N3226" s="162"/>
      <c r="O3226" s="163"/>
      <c r="P3226" s="163"/>
      <c r="Q3226" s="158"/>
      <c r="R3226" s="5"/>
      <c r="S3226" s="5"/>
      <c r="T3226" s="5"/>
      <c r="U3226" s="35"/>
      <c r="V3226" s="171"/>
    </row>
    <row r="3227" customFormat="false" ht="15" hidden="false" customHeight="true" outlineLevel="0" collapsed="false">
      <c r="B3227" s="5"/>
      <c r="C3227" s="155"/>
      <c r="D3227" s="156"/>
      <c r="F3227" s="157"/>
      <c r="G3227" s="5"/>
      <c r="H3227" s="5"/>
      <c r="I3227" s="5"/>
      <c r="J3227" s="158"/>
      <c r="K3227" s="159"/>
      <c r="L3227" s="160"/>
      <c r="M3227" s="161"/>
      <c r="N3227" s="162"/>
      <c r="O3227" s="163"/>
      <c r="P3227" s="163"/>
      <c r="Q3227" s="158"/>
      <c r="R3227" s="5"/>
      <c r="S3227" s="5"/>
      <c r="T3227" s="5"/>
      <c r="U3227" s="35"/>
      <c r="V3227" s="164"/>
      <c r="Z3227" s="157"/>
      <c r="AA3227" s="5"/>
      <c r="AB3227" s="165"/>
      <c r="AC3227" s="165"/>
      <c r="AD3227" s="158"/>
      <c r="AE3227" s="199"/>
      <c r="AF3227" s="200"/>
      <c r="AG3227" s="167"/>
      <c r="AH3227" s="168"/>
      <c r="AI3227" s="168"/>
      <c r="AJ3227" s="168"/>
      <c r="AK3227" s="158"/>
      <c r="AL3227" s="5"/>
      <c r="AM3227" s="169"/>
      <c r="AN3227" s="158"/>
      <c r="AO3227" s="35"/>
      <c r="AP3227" s="164"/>
      <c r="AQ3227" s="2"/>
      <c r="AR3227" s="171"/>
      <c r="AS3227" s="5"/>
      <c r="AT3227" s="5"/>
      <c r="AU3227" s="157"/>
      <c r="AV3227" s="5"/>
      <c r="AW3227" s="165"/>
      <c r="AX3227" s="165"/>
      <c r="AY3227" s="158"/>
      <c r="AZ3227" s="199"/>
      <c r="BA3227" s="200"/>
      <c r="BB3227" s="167"/>
      <c r="BC3227" s="168"/>
      <c r="BD3227" s="168"/>
      <c r="BE3227" s="168"/>
      <c r="BF3227" s="158"/>
      <c r="BG3227" s="5"/>
      <c r="BH3227" s="169"/>
      <c r="BI3227" s="158"/>
      <c r="BJ3227" s="35"/>
      <c r="BK3227" s="164"/>
      <c r="BL3227" s="2"/>
      <c r="BM3227" s="171"/>
      <c r="BN3227" s="5"/>
      <c r="BO3227" s="5"/>
      <c r="BP3227" s="157"/>
      <c r="BQ3227" s="5"/>
      <c r="BR3227" s="165"/>
      <c r="BS3227" s="165"/>
      <c r="BT3227" s="158"/>
      <c r="BU3227" s="199"/>
      <c r="BV3227" s="200"/>
      <c r="BW3227" s="167"/>
      <c r="BX3227" s="168"/>
      <c r="BY3227" s="168"/>
      <c r="BZ3227" s="168"/>
      <c r="CA3227" s="158"/>
      <c r="CB3227" s="5"/>
      <c r="CC3227" s="169"/>
      <c r="CD3227" s="158"/>
      <c r="CE3227" s="35"/>
      <c r="CF3227" s="164"/>
      <c r="CG3227" s="2"/>
      <c r="CH3227" s="171"/>
      <c r="CI3227" s="5"/>
      <c r="CJ3227" s="5"/>
      <c r="CK3227" s="157"/>
      <c r="CL3227" s="5"/>
      <c r="CM3227" s="165"/>
      <c r="CN3227" s="165"/>
      <c r="CO3227" s="158"/>
      <c r="CP3227" s="199"/>
      <c r="CQ3227" s="200"/>
      <c r="CR3227" s="167"/>
      <c r="CS3227" s="168"/>
      <c r="CT3227" s="168"/>
      <c r="CU3227" s="168"/>
      <c r="CV3227" s="158"/>
      <c r="CW3227" s="5"/>
      <c r="CX3227" s="169"/>
      <c r="CY3227" s="158"/>
      <c r="CZ3227" s="35"/>
      <c r="DA3227" s="164"/>
      <c r="DB3227" s="2"/>
      <c r="DC3227" s="171"/>
      <c r="DD3227" s="5"/>
      <c r="DE3227" s="5"/>
      <c r="DF3227" s="157"/>
      <c r="DG3227" s="5"/>
      <c r="DH3227" s="165"/>
      <c r="DI3227" s="165"/>
      <c r="DJ3227" s="158"/>
      <c r="DK3227" s="199"/>
      <c r="DL3227" s="200"/>
      <c r="DM3227" s="167"/>
      <c r="DN3227" s="168"/>
      <c r="DO3227" s="168"/>
      <c r="DP3227" s="168"/>
      <c r="DQ3227" s="158"/>
      <c r="DR3227" s="5"/>
      <c r="DS3227" s="169"/>
      <c r="DT3227" s="158"/>
      <c r="DU3227" s="35"/>
      <c r="DV3227" s="164"/>
      <c r="DW3227" s="2"/>
      <c r="DX3227" s="171"/>
      <c r="DY3227" s="5"/>
      <c r="DZ3227" s="5"/>
    </row>
    <row r="3228" customFormat="false" ht="15" hidden="false" customHeight="true" outlineLevel="0" collapsed="false">
      <c r="B3228" s="5"/>
      <c r="C3228" s="155"/>
      <c r="D3228" s="156"/>
      <c r="F3228" s="157"/>
      <c r="G3228" s="5"/>
      <c r="H3228" s="5"/>
      <c r="I3228" s="5"/>
      <c r="J3228" s="158"/>
      <c r="K3228" s="159"/>
      <c r="L3228" s="160"/>
      <c r="M3228" s="161"/>
      <c r="N3228" s="162"/>
      <c r="O3228" s="163"/>
      <c r="P3228" s="163"/>
      <c r="Q3228" s="158"/>
      <c r="R3228" s="5"/>
      <c r="S3228" s="5"/>
      <c r="T3228" s="5"/>
      <c r="U3228" s="35"/>
      <c r="V3228" s="164"/>
    </row>
    <row r="3229" customFormat="false" ht="15" hidden="false" customHeight="true" outlineLevel="0" collapsed="false">
      <c r="B3229" s="5"/>
      <c r="C3229" s="155"/>
      <c r="D3229" s="156"/>
      <c r="F3229" s="170"/>
      <c r="G3229" s="5"/>
      <c r="H3229" s="5"/>
      <c r="I3229" s="5"/>
      <c r="J3229" s="158"/>
      <c r="K3229" s="163"/>
      <c r="L3229" s="160"/>
      <c r="M3229" s="174"/>
      <c r="N3229" s="168"/>
      <c r="O3229" s="163"/>
      <c r="P3229" s="160"/>
      <c r="Q3229" s="175"/>
      <c r="R3229" s="5"/>
      <c r="S3229" s="5"/>
      <c r="T3229" s="5"/>
      <c r="U3229" s="165"/>
      <c r="V3229" s="164"/>
      <c r="W3229" s="116"/>
      <c r="X3229" s="116"/>
      <c r="Y3229" s="116"/>
    </row>
    <row r="3230" customFormat="false" ht="15" hidden="false" customHeight="true" outlineLevel="0" collapsed="false">
      <c r="B3230" s="5"/>
      <c r="C3230" s="155"/>
      <c r="D3230" s="156"/>
      <c r="F3230" s="170"/>
      <c r="G3230" s="5"/>
      <c r="H3230" s="5"/>
      <c r="I3230" s="5"/>
      <c r="J3230" s="158"/>
      <c r="K3230" s="163"/>
      <c r="L3230" s="160"/>
      <c r="M3230" s="174"/>
      <c r="N3230" s="168"/>
      <c r="O3230" s="160"/>
      <c r="P3230" s="160"/>
      <c r="Q3230" s="175"/>
      <c r="R3230" s="5"/>
      <c r="S3230" s="5"/>
      <c r="T3230" s="5"/>
      <c r="U3230" s="165"/>
      <c r="V3230" s="171"/>
      <c r="W3230" s="116"/>
      <c r="X3230" s="116"/>
      <c r="Y3230" s="116"/>
    </row>
    <row r="3231" customFormat="false" ht="15" hidden="false" customHeight="true" outlineLevel="0" collapsed="false">
      <c r="B3231" s="5"/>
      <c r="C3231" s="155"/>
      <c r="D3231" s="156"/>
      <c r="F3231" s="170"/>
      <c r="G3231" s="5"/>
      <c r="H3231" s="5"/>
      <c r="I3231" s="5"/>
      <c r="J3231" s="158"/>
      <c r="K3231" s="163"/>
      <c r="L3231" s="160"/>
      <c r="M3231" s="174"/>
      <c r="N3231" s="168"/>
      <c r="O3231" s="163"/>
      <c r="P3231" s="160"/>
      <c r="Q3231" s="175"/>
      <c r="R3231" s="5"/>
      <c r="S3231" s="5"/>
      <c r="T3231" s="5"/>
      <c r="U3231" s="35"/>
      <c r="V3231" s="171"/>
      <c r="W3231" s="170"/>
      <c r="X3231" s="176"/>
    </row>
    <row r="3232" customFormat="false" ht="15" hidden="false" customHeight="true" outlineLevel="0" collapsed="false">
      <c r="B3232" s="5"/>
      <c r="C3232" s="155"/>
      <c r="D3232" s="156"/>
      <c r="F3232" s="170"/>
      <c r="G3232" s="5"/>
      <c r="H3232" s="5"/>
      <c r="I3232" s="5"/>
      <c r="J3232" s="158"/>
      <c r="K3232" s="163"/>
      <c r="L3232" s="160"/>
      <c r="M3232" s="174"/>
      <c r="N3232" s="168"/>
      <c r="O3232" s="163"/>
      <c r="P3232" s="160"/>
      <c r="Q3232" s="175"/>
      <c r="R3232" s="5"/>
      <c r="S3232" s="5"/>
      <c r="T3232" s="5"/>
      <c r="U3232" s="35"/>
      <c r="V3232" s="171"/>
      <c r="W3232" s="116"/>
      <c r="X3232" s="116"/>
      <c r="Y3232" s="116"/>
    </row>
    <row r="3233" customFormat="false" ht="15" hidden="false" customHeight="true" outlineLevel="0" collapsed="false">
      <c r="B3233" s="5"/>
      <c r="C3233" s="155"/>
      <c r="D3233" s="156"/>
      <c r="F3233" s="170"/>
      <c r="G3233" s="5"/>
      <c r="H3233" s="5"/>
      <c r="I3233" s="5"/>
      <c r="J3233" s="158"/>
      <c r="K3233" s="163"/>
      <c r="L3233" s="160"/>
      <c r="M3233" s="174"/>
      <c r="N3233" s="168"/>
      <c r="O3233" s="163"/>
      <c r="P3233" s="160"/>
      <c r="Q3233" s="175"/>
      <c r="R3233" s="5"/>
      <c r="S3233" s="5"/>
      <c r="T3233" s="5"/>
      <c r="U3233" s="35"/>
      <c r="V3233" s="171"/>
      <c r="W3233" s="170"/>
      <c r="X3233" s="176"/>
    </row>
    <row r="3234" customFormat="false" ht="15" hidden="false" customHeight="true" outlineLevel="0" collapsed="false">
      <c r="B3234" s="5"/>
      <c r="C3234" s="155"/>
      <c r="D3234" s="156"/>
      <c r="F3234" s="170"/>
      <c r="G3234" s="5"/>
      <c r="H3234" s="5"/>
      <c r="I3234" s="5"/>
      <c r="J3234" s="158"/>
      <c r="K3234" s="159"/>
      <c r="L3234" s="160"/>
      <c r="M3234" s="174"/>
      <c r="N3234" s="168"/>
      <c r="O3234" s="163"/>
      <c r="P3234" s="160"/>
      <c r="Q3234" s="5"/>
      <c r="R3234" s="5"/>
      <c r="S3234" s="5"/>
      <c r="T3234" s="5"/>
      <c r="U3234" s="35"/>
      <c r="V3234" s="171"/>
    </row>
    <row r="3235" customFormat="false" ht="15" hidden="false" customHeight="true" outlineLevel="0" collapsed="false">
      <c r="A3235" s="170"/>
      <c r="B3235" s="5"/>
      <c r="C3235" s="155"/>
      <c r="D3235" s="156"/>
      <c r="F3235" s="170"/>
      <c r="G3235" s="5"/>
      <c r="H3235" s="5"/>
      <c r="I3235" s="5"/>
      <c r="J3235" s="158"/>
      <c r="K3235" s="159"/>
      <c r="L3235" s="160"/>
      <c r="M3235" s="174"/>
      <c r="N3235" s="168"/>
      <c r="O3235" s="163"/>
      <c r="P3235" s="160"/>
      <c r="Q3235" s="5"/>
      <c r="R3235" s="5"/>
      <c r="S3235" s="5"/>
      <c r="T3235" s="5"/>
      <c r="U3235" s="35"/>
      <c r="V3235" s="171"/>
    </row>
    <row r="3236" customFormat="false" ht="15" hidden="false" customHeight="true" outlineLevel="0" collapsed="false">
      <c r="B3236" s="5"/>
      <c r="C3236" s="155"/>
      <c r="D3236" s="156"/>
      <c r="F3236" s="157"/>
      <c r="G3236" s="5"/>
      <c r="H3236" s="5"/>
      <c r="I3236" s="5"/>
      <c r="J3236" s="158"/>
      <c r="K3236" s="159"/>
      <c r="L3236" s="160"/>
      <c r="M3236" s="161"/>
      <c r="N3236" s="162"/>
      <c r="O3236" s="163"/>
      <c r="P3236" s="163"/>
      <c r="Q3236" s="158"/>
      <c r="R3236" s="5"/>
      <c r="S3236" s="5"/>
      <c r="T3236" s="5"/>
      <c r="U3236" s="35"/>
      <c r="V3236" s="171"/>
    </row>
    <row r="3237" customFormat="false" ht="15" hidden="false" customHeight="true" outlineLevel="0" collapsed="false">
      <c r="B3237" s="5"/>
      <c r="C3237" s="155"/>
      <c r="D3237" s="156"/>
      <c r="F3237" s="157"/>
      <c r="G3237" s="5"/>
      <c r="H3237" s="5"/>
      <c r="I3237" s="5"/>
      <c r="J3237" s="158"/>
      <c r="K3237" s="159"/>
      <c r="L3237" s="160"/>
      <c r="M3237" s="161"/>
      <c r="N3237" s="162"/>
      <c r="O3237" s="163"/>
      <c r="P3237" s="163"/>
      <c r="Q3237" s="158"/>
      <c r="R3237" s="5"/>
      <c r="S3237" s="5"/>
      <c r="T3237" s="5"/>
      <c r="U3237" s="35"/>
      <c r="V3237" s="171"/>
    </row>
    <row r="3238" customFormat="false" ht="15" hidden="false" customHeight="true" outlineLevel="0" collapsed="false">
      <c r="B3238" s="5"/>
      <c r="C3238" s="155"/>
      <c r="D3238" s="156"/>
      <c r="F3238" s="157"/>
      <c r="G3238" s="5"/>
      <c r="H3238" s="5"/>
      <c r="I3238" s="5"/>
      <c r="J3238" s="158"/>
      <c r="K3238" s="159"/>
      <c r="L3238" s="160"/>
      <c r="M3238" s="161"/>
      <c r="N3238" s="162"/>
      <c r="O3238" s="163"/>
      <c r="P3238" s="163"/>
      <c r="Q3238" s="158"/>
      <c r="R3238" s="5"/>
      <c r="S3238" s="5"/>
      <c r="T3238" s="5"/>
      <c r="U3238" s="35"/>
      <c r="V3238" s="164"/>
    </row>
    <row r="3239" customFormat="false" ht="15" hidden="false" customHeight="true" outlineLevel="0" collapsed="false">
      <c r="B3239" s="5"/>
      <c r="C3239" s="155"/>
      <c r="D3239" s="156"/>
      <c r="F3239" s="157"/>
      <c r="G3239" s="5"/>
      <c r="H3239" s="5"/>
      <c r="I3239" s="5"/>
      <c r="J3239" s="158"/>
      <c r="K3239" s="159"/>
      <c r="L3239" s="160"/>
      <c r="M3239" s="161"/>
      <c r="N3239" s="162"/>
      <c r="O3239" s="163"/>
      <c r="P3239" s="163"/>
      <c r="Q3239" s="158"/>
      <c r="R3239" s="5"/>
      <c r="S3239" s="5"/>
      <c r="T3239" s="5"/>
      <c r="U3239" s="35"/>
      <c r="V3239" s="164"/>
    </row>
    <row r="3240" customFormat="false" ht="15" hidden="false" customHeight="true" outlineLevel="0" collapsed="false">
      <c r="B3240" s="5"/>
      <c r="C3240" s="155"/>
      <c r="D3240" s="156"/>
      <c r="F3240" s="157"/>
      <c r="G3240" s="5"/>
      <c r="H3240" s="5"/>
      <c r="I3240" s="5"/>
      <c r="J3240" s="158"/>
      <c r="K3240" s="159"/>
      <c r="L3240" s="160"/>
      <c r="M3240" s="161"/>
      <c r="N3240" s="162"/>
      <c r="O3240" s="163"/>
      <c r="P3240" s="163"/>
      <c r="Q3240" s="158"/>
      <c r="R3240" s="5"/>
      <c r="S3240" s="5"/>
      <c r="T3240" s="5"/>
      <c r="U3240" s="35"/>
      <c r="V3240" s="164"/>
    </row>
    <row r="3241" customFormat="false" ht="15" hidden="false" customHeight="true" outlineLevel="0" collapsed="false">
      <c r="C3241" s="155"/>
      <c r="D3241" s="156"/>
      <c r="F3241" s="157"/>
      <c r="G3241" s="5"/>
      <c r="H3241" s="165"/>
      <c r="I3241" s="165"/>
      <c r="J3241" s="158"/>
      <c r="K3241" s="159"/>
      <c r="L3241" s="166"/>
      <c r="M3241" s="167"/>
      <c r="N3241" s="168"/>
      <c r="O3241" s="163"/>
      <c r="P3241" s="163"/>
      <c r="Q3241" s="158"/>
      <c r="R3241" s="5"/>
      <c r="S3241" s="169"/>
      <c r="T3241" s="158"/>
      <c r="U3241" s="35"/>
      <c r="V3241" s="164"/>
    </row>
    <row r="3242" customFormat="false" ht="15" hidden="false" customHeight="true" outlineLevel="0" collapsed="false">
      <c r="C3242" s="155"/>
      <c r="D3242" s="156"/>
      <c r="F3242" s="157"/>
      <c r="G3242" s="5"/>
      <c r="H3242" s="165"/>
      <c r="I3242" s="165"/>
      <c r="J3242" s="158"/>
      <c r="K3242" s="159"/>
      <c r="L3242" s="166"/>
      <c r="M3242" s="167"/>
      <c r="N3242" s="168"/>
      <c r="O3242" s="163"/>
      <c r="P3242" s="163"/>
      <c r="Q3242" s="158"/>
      <c r="R3242" s="5"/>
      <c r="S3242" s="169"/>
      <c r="T3242" s="158"/>
      <c r="U3242" s="35"/>
      <c r="V3242" s="164"/>
    </row>
    <row r="3243" customFormat="false" ht="15" hidden="false" customHeight="true" outlineLevel="0" collapsed="false">
      <c r="C3243" s="155"/>
      <c r="D3243" s="156"/>
      <c r="F3243" s="157"/>
      <c r="G3243" s="5"/>
      <c r="H3243" s="165"/>
      <c r="I3243" s="165"/>
      <c r="J3243" s="158"/>
      <c r="K3243" s="159"/>
      <c r="L3243" s="166"/>
      <c r="M3243" s="167"/>
      <c r="N3243" s="168"/>
      <c r="O3243" s="163"/>
      <c r="P3243" s="163"/>
      <c r="Q3243" s="158"/>
      <c r="R3243" s="5"/>
      <c r="S3243" s="169"/>
      <c r="T3243" s="158"/>
      <c r="U3243" s="35"/>
      <c r="V3243" s="164"/>
    </row>
    <row r="3244" customFormat="false" ht="15" hidden="false" customHeight="true" outlineLevel="0" collapsed="false">
      <c r="C3244" s="155"/>
      <c r="D3244" s="156"/>
      <c r="F3244" s="157"/>
      <c r="G3244" s="5"/>
      <c r="H3244" s="165"/>
      <c r="I3244" s="165"/>
      <c r="J3244" s="158"/>
      <c r="K3244" s="159"/>
      <c r="L3244" s="166"/>
      <c r="M3244" s="167"/>
      <c r="N3244" s="168"/>
      <c r="O3244" s="163"/>
      <c r="P3244" s="163"/>
      <c r="Q3244" s="158"/>
      <c r="R3244" s="5"/>
      <c r="S3244" s="169"/>
      <c r="T3244" s="158"/>
      <c r="U3244" s="35"/>
      <c r="V3244" s="164"/>
    </row>
    <row r="3245" customFormat="false" ht="15" hidden="false" customHeight="true" outlineLevel="0" collapsed="false">
      <c r="C3245" s="155"/>
      <c r="D3245" s="156"/>
      <c r="F3245" s="157"/>
      <c r="G3245" s="5"/>
      <c r="H3245" s="165"/>
      <c r="I3245" s="165"/>
      <c r="J3245" s="158"/>
      <c r="K3245" s="159"/>
      <c r="L3245" s="166"/>
      <c r="M3245" s="167"/>
      <c r="N3245" s="168"/>
      <c r="O3245" s="163"/>
      <c r="P3245" s="163"/>
      <c r="Q3245" s="158"/>
      <c r="R3245" s="5"/>
      <c r="S3245" s="169"/>
      <c r="T3245" s="158"/>
      <c r="U3245" s="35"/>
      <c r="V3245" s="164"/>
    </row>
    <row r="3246" customFormat="false" ht="15" hidden="false" customHeight="true" outlineLevel="0" collapsed="false">
      <c r="C3246" s="155"/>
      <c r="D3246" s="156"/>
      <c r="F3246" s="157"/>
      <c r="G3246" s="5"/>
      <c r="H3246" s="165"/>
      <c r="I3246" s="165"/>
      <c r="J3246" s="158"/>
      <c r="K3246" s="159"/>
      <c r="L3246" s="166"/>
      <c r="M3246" s="167"/>
      <c r="N3246" s="168"/>
      <c r="O3246" s="163"/>
      <c r="P3246" s="163"/>
      <c r="Q3246" s="158"/>
      <c r="R3246" s="5"/>
      <c r="S3246" s="169"/>
      <c r="T3246" s="158"/>
      <c r="U3246" s="35"/>
      <c r="V3246" s="164"/>
    </row>
    <row r="3247" customFormat="false" ht="15" hidden="false" customHeight="true" outlineLevel="0" collapsed="false">
      <c r="B3247" s="5"/>
      <c r="C3247" s="155"/>
      <c r="D3247" s="156"/>
      <c r="F3247" s="170"/>
      <c r="G3247" s="5"/>
      <c r="H3247" s="5"/>
      <c r="I3247" s="5"/>
      <c r="J3247" s="158"/>
      <c r="K3247" s="163"/>
      <c r="L3247" s="160"/>
      <c r="M3247" s="174"/>
      <c r="N3247" s="168"/>
      <c r="O3247" s="163"/>
      <c r="P3247" s="160"/>
      <c r="Q3247" s="175"/>
      <c r="R3247" s="5"/>
      <c r="S3247" s="5"/>
      <c r="T3247" s="5"/>
      <c r="U3247" s="35"/>
      <c r="V3247" s="171"/>
      <c r="W3247" s="170"/>
      <c r="X3247" s="176"/>
    </row>
    <row r="3248" customFormat="false" ht="15" hidden="false" customHeight="true" outlineLevel="0" collapsed="false">
      <c r="B3248" s="5"/>
      <c r="C3248" s="155"/>
      <c r="D3248" s="156"/>
      <c r="F3248" s="157"/>
      <c r="G3248" s="5"/>
      <c r="H3248" s="5"/>
      <c r="I3248" s="5"/>
      <c r="J3248" s="158"/>
      <c r="K3248" s="159"/>
      <c r="L3248" s="160"/>
      <c r="M3248" s="161"/>
      <c r="N3248" s="162"/>
      <c r="O3248" s="163"/>
      <c r="P3248" s="163"/>
      <c r="Q3248" s="158"/>
      <c r="R3248" s="5"/>
      <c r="S3248" s="5"/>
      <c r="T3248" s="5"/>
      <c r="U3248" s="35"/>
      <c r="V3248" s="171"/>
    </row>
    <row r="3249" customFormat="false" ht="15" hidden="false" customHeight="true" outlineLevel="0" collapsed="false">
      <c r="B3249" s="5"/>
      <c r="C3249" s="155"/>
      <c r="D3249" s="156"/>
      <c r="F3249" s="157"/>
      <c r="G3249" s="5"/>
      <c r="H3249" s="5"/>
      <c r="I3249" s="5"/>
      <c r="J3249" s="158"/>
      <c r="K3249" s="159"/>
      <c r="L3249" s="160"/>
      <c r="M3249" s="161"/>
      <c r="N3249" s="162"/>
      <c r="O3249" s="163"/>
      <c r="P3249" s="163"/>
      <c r="Q3249" s="158"/>
      <c r="R3249" s="5"/>
      <c r="S3249" s="5"/>
      <c r="T3249" s="5"/>
      <c r="U3249" s="35"/>
      <c r="V3249" s="164"/>
    </row>
    <row r="3250" customFormat="false" ht="15" hidden="false" customHeight="true" outlineLevel="0" collapsed="false">
      <c r="C3250" s="155"/>
      <c r="D3250" s="156"/>
      <c r="F3250" s="157"/>
      <c r="G3250" s="5"/>
      <c r="H3250" s="165"/>
      <c r="I3250" s="165"/>
      <c r="J3250" s="158"/>
      <c r="K3250" s="159"/>
      <c r="L3250" s="166"/>
      <c r="M3250" s="167"/>
      <c r="N3250" s="168"/>
      <c r="O3250" s="163"/>
      <c r="P3250" s="163"/>
      <c r="Q3250" s="158"/>
      <c r="R3250" s="5"/>
      <c r="S3250" s="169"/>
      <c r="T3250" s="158"/>
      <c r="U3250" s="35"/>
      <c r="V3250" s="164"/>
    </row>
    <row r="3251" customFormat="false" ht="15" hidden="false" customHeight="true" outlineLevel="0" collapsed="false">
      <c r="C3251" s="155"/>
      <c r="D3251" s="156"/>
      <c r="F3251" s="157"/>
      <c r="G3251" s="5"/>
      <c r="H3251" s="165"/>
      <c r="I3251" s="165"/>
      <c r="J3251" s="158"/>
      <c r="K3251" s="159"/>
      <c r="L3251" s="166"/>
      <c r="M3251" s="167"/>
      <c r="N3251" s="168"/>
      <c r="O3251" s="163"/>
      <c r="P3251" s="163"/>
      <c r="Q3251" s="158"/>
      <c r="R3251" s="5"/>
      <c r="S3251" s="169"/>
      <c r="T3251" s="158"/>
      <c r="U3251" s="35"/>
      <c r="V3251" s="164"/>
    </row>
    <row r="3252" customFormat="false" ht="15" hidden="false" customHeight="true" outlineLevel="0" collapsed="false">
      <c r="C3252" s="155"/>
      <c r="D3252" s="156"/>
      <c r="F3252" s="157"/>
      <c r="G3252" s="5"/>
      <c r="H3252" s="165"/>
      <c r="I3252" s="165"/>
      <c r="J3252" s="158"/>
      <c r="K3252" s="159"/>
      <c r="L3252" s="166"/>
      <c r="M3252" s="167"/>
      <c r="N3252" s="168"/>
      <c r="O3252" s="163"/>
      <c r="P3252" s="163"/>
      <c r="Q3252" s="158"/>
      <c r="R3252" s="5"/>
      <c r="S3252" s="169"/>
      <c r="T3252" s="158"/>
      <c r="U3252" s="35"/>
      <c r="V3252" s="164"/>
    </row>
    <row r="3253" customFormat="false" ht="15" hidden="false" customHeight="true" outlineLevel="0" collapsed="false">
      <c r="C3253" s="155"/>
      <c r="D3253" s="156"/>
      <c r="F3253" s="157"/>
      <c r="G3253" s="5"/>
      <c r="H3253" s="165"/>
      <c r="I3253" s="165"/>
      <c r="J3253" s="158"/>
      <c r="K3253" s="159"/>
      <c r="L3253" s="166"/>
      <c r="M3253" s="167"/>
      <c r="N3253" s="168"/>
      <c r="O3253" s="163"/>
      <c r="P3253" s="163"/>
      <c r="Q3253" s="158"/>
      <c r="R3253" s="5"/>
      <c r="S3253" s="169"/>
      <c r="T3253" s="158"/>
      <c r="U3253" s="35"/>
      <c r="V3253" s="164"/>
    </row>
    <row r="3254" customFormat="false" ht="15" hidden="false" customHeight="true" outlineLevel="0" collapsed="false">
      <c r="C3254" s="155"/>
      <c r="D3254" s="156"/>
      <c r="F3254" s="157"/>
      <c r="G3254" s="5"/>
      <c r="H3254" s="165"/>
      <c r="I3254" s="165"/>
      <c r="J3254" s="158"/>
      <c r="K3254" s="159"/>
      <c r="L3254" s="166"/>
      <c r="M3254" s="167"/>
      <c r="N3254" s="168"/>
      <c r="O3254" s="163"/>
      <c r="P3254" s="163"/>
      <c r="Q3254" s="158"/>
      <c r="R3254" s="5"/>
      <c r="S3254" s="169"/>
      <c r="T3254" s="158"/>
      <c r="U3254" s="35"/>
      <c r="V3254" s="164"/>
    </row>
    <row r="3255" customFormat="false" ht="15" hidden="false" customHeight="true" outlineLevel="0" collapsed="false">
      <c r="B3255" s="5"/>
      <c r="C3255" s="155"/>
      <c r="D3255" s="156"/>
      <c r="F3255" s="170"/>
      <c r="G3255" s="5"/>
      <c r="H3255" s="5"/>
      <c r="I3255" s="5"/>
      <c r="J3255" s="158"/>
      <c r="K3255" s="163"/>
      <c r="L3255" s="160"/>
      <c r="M3255" s="174"/>
      <c r="N3255" s="168"/>
      <c r="O3255" s="163"/>
      <c r="P3255" s="160"/>
      <c r="Q3255" s="175"/>
      <c r="R3255" s="5"/>
      <c r="S3255" s="5"/>
      <c r="T3255" s="5"/>
      <c r="U3255" s="35"/>
      <c r="V3255" s="171"/>
      <c r="W3255" s="116"/>
    </row>
    <row r="3256" customFormat="false" ht="15" hidden="false" customHeight="true" outlineLevel="0" collapsed="false">
      <c r="B3256" s="5"/>
      <c r="C3256" s="155"/>
      <c r="D3256" s="156"/>
      <c r="F3256" s="170"/>
      <c r="G3256" s="5"/>
      <c r="H3256" s="5"/>
      <c r="I3256" s="5"/>
      <c r="J3256" s="158"/>
      <c r="K3256" s="163"/>
      <c r="L3256" s="160"/>
      <c r="M3256" s="174"/>
      <c r="N3256" s="168"/>
      <c r="O3256" s="163"/>
      <c r="P3256" s="160"/>
      <c r="Q3256" s="175"/>
      <c r="R3256" s="5"/>
      <c r="S3256" s="5"/>
      <c r="T3256" s="5"/>
      <c r="U3256" s="35"/>
      <c r="V3256" s="171"/>
      <c r="W3256" s="116"/>
      <c r="X3256" s="176"/>
    </row>
    <row r="3257" customFormat="false" ht="15" hidden="false" customHeight="true" outlineLevel="0" collapsed="false">
      <c r="B3257" s="5"/>
      <c r="C3257" s="155"/>
      <c r="D3257" s="156"/>
      <c r="F3257" s="170"/>
      <c r="G3257" s="5"/>
      <c r="H3257" s="5"/>
      <c r="I3257" s="5"/>
      <c r="J3257" s="158"/>
      <c r="K3257" s="159"/>
      <c r="L3257" s="160"/>
      <c r="M3257" s="174"/>
      <c r="N3257" s="168"/>
      <c r="O3257" s="163"/>
      <c r="P3257" s="160"/>
      <c r="Q3257" s="5"/>
      <c r="R3257" s="5"/>
      <c r="S3257" s="5"/>
      <c r="T3257" s="5"/>
      <c r="U3257" s="35"/>
      <c r="V3257" s="171"/>
    </row>
    <row r="3258" customFormat="false" ht="15" hidden="false" customHeight="true" outlineLevel="0" collapsed="false">
      <c r="B3258" s="5"/>
      <c r="C3258" s="155"/>
      <c r="D3258" s="156"/>
      <c r="F3258" s="157"/>
      <c r="G3258" s="5"/>
      <c r="H3258" s="5"/>
      <c r="I3258" s="5"/>
      <c r="J3258" s="158"/>
      <c r="K3258" s="163"/>
      <c r="L3258" s="160"/>
      <c r="M3258" s="174"/>
      <c r="N3258" s="168"/>
      <c r="O3258" s="163"/>
      <c r="P3258" s="160"/>
      <c r="Q3258" s="175"/>
      <c r="R3258" s="5"/>
      <c r="S3258" s="5"/>
      <c r="T3258" s="5"/>
      <c r="U3258" s="165"/>
      <c r="V3258" s="164"/>
      <c r="W3258" s="116"/>
      <c r="X3258" s="116"/>
      <c r="Y3258" s="116"/>
    </row>
    <row r="3259" customFormat="false" ht="15" hidden="false" customHeight="true" outlineLevel="0" collapsed="false">
      <c r="B3259" s="5"/>
      <c r="C3259" s="155"/>
      <c r="D3259" s="156"/>
      <c r="F3259" s="157"/>
      <c r="G3259" s="5"/>
      <c r="H3259" s="5"/>
      <c r="I3259" s="5"/>
      <c r="J3259" s="158"/>
      <c r="K3259" s="163"/>
      <c r="L3259" s="160"/>
      <c r="M3259" s="174"/>
      <c r="N3259" s="168"/>
      <c r="O3259" s="163"/>
      <c r="P3259" s="160"/>
      <c r="Q3259" s="175"/>
      <c r="R3259" s="5"/>
      <c r="S3259" s="5"/>
      <c r="T3259" s="5"/>
      <c r="U3259" s="165"/>
      <c r="V3259" s="171"/>
      <c r="W3259" s="116"/>
      <c r="X3259" s="116"/>
      <c r="Y3259" s="116"/>
    </row>
    <row r="3260" customFormat="false" ht="15" hidden="false" customHeight="true" outlineLevel="0" collapsed="false">
      <c r="B3260" s="5"/>
      <c r="C3260" s="155"/>
      <c r="D3260" s="156"/>
      <c r="F3260" s="170"/>
      <c r="G3260" s="5"/>
      <c r="H3260" s="5"/>
      <c r="I3260" s="5"/>
      <c r="J3260" s="158"/>
      <c r="K3260" s="163"/>
      <c r="L3260" s="160"/>
      <c r="M3260" s="174"/>
      <c r="N3260" s="168"/>
      <c r="O3260" s="163"/>
      <c r="P3260" s="160"/>
      <c r="Q3260" s="175"/>
      <c r="R3260" s="5"/>
      <c r="S3260" s="5"/>
      <c r="T3260" s="5"/>
      <c r="U3260" s="35"/>
      <c r="V3260" s="171"/>
      <c r="W3260" s="170"/>
      <c r="X3260" s="176"/>
    </row>
    <row r="3261" customFormat="false" ht="15" hidden="false" customHeight="true" outlineLevel="0" collapsed="false">
      <c r="B3261" s="5"/>
      <c r="C3261" s="155"/>
      <c r="D3261" s="156"/>
      <c r="F3261" s="170"/>
      <c r="G3261" s="5"/>
      <c r="H3261" s="5"/>
      <c r="I3261" s="5"/>
      <c r="J3261" s="158"/>
      <c r="K3261" s="159"/>
      <c r="L3261" s="160"/>
      <c r="M3261" s="174"/>
      <c r="N3261" s="168"/>
      <c r="O3261" s="163"/>
      <c r="P3261" s="160"/>
      <c r="Q3261" s="175"/>
      <c r="R3261" s="5"/>
      <c r="S3261" s="5"/>
      <c r="T3261" s="5"/>
      <c r="U3261" s="35"/>
      <c r="V3261" s="171"/>
    </row>
    <row r="3262" customFormat="false" ht="15" hidden="false" customHeight="true" outlineLevel="0" collapsed="false">
      <c r="B3262" s="5"/>
      <c r="C3262" s="155"/>
      <c r="D3262" s="156"/>
      <c r="F3262" s="170"/>
      <c r="G3262" s="5"/>
      <c r="H3262" s="5"/>
      <c r="I3262" s="5"/>
      <c r="J3262" s="158"/>
      <c r="K3262" s="159"/>
      <c r="L3262" s="160"/>
      <c r="M3262" s="174"/>
      <c r="N3262" s="168"/>
      <c r="O3262" s="163"/>
      <c r="P3262" s="160"/>
      <c r="Q3262" s="5"/>
      <c r="R3262" s="5"/>
      <c r="S3262" s="5"/>
      <c r="T3262" s="5"/>
      <c r="U3262" s="35"/>
      <c r="V3262" s="171"/>
    </row>
    <row r="3263" customFormat="false" ht="15" hidden="false" customHeight="true" outlineLevel="0" collapsed="false">
      <c r="B3263" s="5"/>
      <c r="C3263" s="155"/>
      <c r="D3263" s="156"/>
      <c r="F3263" s="170"/>
      <c r="G3263" s="5"/>
      <c r="H3263" s="5"/>
      <c r="I3263" s="5"/>
      <c r="J3263" s="158"/>
      <c r="K3263" s="159"/>
      <c r="L3263" s="160"/>
      <c r="M3263" s="161"/>
      <c r="N3263" s="162"/>
      <c r="O3263" s="163"/>
      <c r="P3263" s="163"/>
      <c r="Q3263" s="5"/>
      <c r="R3263" s="5"/>
      <c r="S3263" s="5"/>
      <c r="T3263" s="5"/>
      <c r="U3263" s="35"/>
      <c r="V3263" s="171"/>
      <c r="W3263" s="172"/>
      <c r="X3263" s="173"/>
    </row>
    <row r="3264" customFormat="false" ht="15" hidden="false" customHeight="true" outlineLevel="0" collapsed="false">
      <c r="B3264" s="5"/>
      <c r="C3264" s="155"/>
      <c r="D3264" s="156"/>
      <c r="F3264" s="157"/>
      <c r="G3264" s="5"/>
      <c r="H3264" s="5"/>
      <c r="I3264" s="5"/>
      <c r="J3264" s="158"/>
      <c r="K3264" s="159"/>
      <c r="L3264" s="160"/>
      <c r="M3264" s="161"/>
      <c r="N3264" s="162"/>
      <c r="O3264" s="163"/>
      <c r="P3264" s="163"/>
      <c r="Q3264" s="158"/>
      <c r="R3264" s="5"/>
      <c r="S3264" s="5"/>
      <c r="T3264" s="5"/>
      <c r="U3264" s="35"/>
      <c r="V3264" s="171"/>
    </row>
    <row r="3265" customFormat="false" ht="15" hidden="false" customHeight="true" outlineLevel="0" collapsed="false">
      <c r="B3265" s="5"/>
      <c r="C3265" s="155"/>
      <c r="D3265" s="156"/>
      <c r="F3265" s="157"/>
      <c r="G3265" s="5"/>
      <c r="H3265" s="5"/>
      <c r="I3265" s="5"/>
      <c r="J3265" s="158"/>
      <c r="K3265" s="159"/>
      <c r="L3265" s="160"/>
      <c r="M3265" s="177"/>
      <c r="N3265" s="162"/>
      <c r="O3265" s="163"/>
      <c r="P3265" s="163"/>
      <c r="Q3265" s="158"/>
      <c r="R3265" s="5"/>
      <c r="S3265" s="5"/>
      <c r="T3265" s="5"/>
      <c r="U3265" s="35"/>
      <c r="V3265" s="171"/>
    </row>
    <row r="3266" customFormat="false" ht="15" hidden="false" customHeight="true" outlineLevel="0" collapsed="false">
      <c r="B3266" s="5"/>
      <c r="C3266" s="155"/>
      <c r="D3266" s="156"/>
      <c r="F3266" s="157"/>
      <c r="G3266" s="5"/>
      <c r="H3266" s="5"/>
      <c r="I3266" s="5"/>
      <c r="J3266" s="158"/>
      <c r="K3266" s="159"/>
      <c r="L3266" s="160"/>
      <c r="N3266" s="162"/>
      <c r="O3266" s="163"/>
      <c r="P3266" s="163"/>
      <c r="Q3266" s="158"/>
      <c r="R3266" s="5"/>
      <c r="S3266" s="5"/>
      <c r="T3266" s="5"/>
      <c r="U3266" s="35"/>
      <c r="V3266" s="171"/>
    </row>
    <row r="3267" customFormat="false" ht="15" hidden="false" customHeight="true" outlineLevel="0" collapsed="false">
      <c r="B3267" s="5"/>
      <c r="C3267" s="155"/>
      <c r="D3267" s="156"/>
      <c r="F3267" s="157"/>
      <c r="G3267" s="5"/>
      <c r="H3267" s="5"/>
      <c r="I3267" s="5"/>
      <c r="J3267" s="158"/>
      <c r="K3267" s="159"/>
      <c r="L3267" s="160"/>
      <c r="M3267" s="161"/>
      <c r="N3267" s="162"/>
      <c r="O3267" s="163"/>
      <c r="P3267" s="163"/>
      <c r="Q3267" s="158"/>
      <c r="R3267" s="5"/>
      <c r="S3267" s="5"/>
      <c r="T3267" s="5"/>
      <c r="U3267" s="35"/>
      <c r="V3267" s="171"/>
    </row>
    <row r="3268" customFormat="false" ht="15" hidden="false" customHeight="true" outlineLevel="0" collapsed="false">
      <c r="B3268" s="5"/>
      <c r="C3268" s="155"/>
      <c r="D3268" s="156"/>
      <c r="F3268" s="157"/>
      <c r="G3268" s="5"/>
      <c r="H3268" s="5"/>
      <c r="I3268" s="5"/>
      <c r="J3268" s="158"/>
      <c r="K3268" s="159"/>
      <c r="L3268" s="160"/>
      <c r="M3268" s="161"/>
      <c r="N3268" s="162"/>
      <c r="O3268" s="163"/>
      <c r="P3268" s="163"/>
      <c r="Q3268" s="158"/>
      <c r="R3268" s="5"/>
      <c r="S3268" s="5"/>
      <c r="T3268" s="5"/>
      <c r="U3268" s="35"/>
      <c r="V3268" s="171"/>
    </row>
    <row r="3269" customFormat="false" ht="15" hidden="false" customHeight="true" outlineLevel="0" collapsed="false">
      <c r="B3269" s="5"/>
      <c r="C3269" s="155"/>
      <c r="D3269" s="156"/>
      <c r="F3269" s="157"/>
      <c r="G3269" s="5"/>
      <c r="H3269" s="5"/>
      <c r="I3269" s="5"/>
      <c r="J3269" s="158"/>
      <c r="K3269" s="159"/>
      <c r="L3269" s="160"/>
      <c r="M3269" s="161"/>
      <c r="N3269" s="162"/>
      <c r="O3269" s="163"/>
      <c r="P3269" s="163"/>
      <c r="Q3269" s="158"/>
      <c r="R3269" s="5"/>
      <c r="S3269" s="5"/>
      <c r="T3269" s="5"/>
      <c r="U3269" s="35"/>
      <c r="V3269" s="164"/>
    </row>
    <row r="3270" customFormat="false" ht="15" hidden="false" customHeight="true" outlineLevel="0" collapsed="false">
      <c r="B3270" s="5"/>
      <c r="C3270" s="155"/>
      <c r="D3270" s="156"/>
      <c r="F3270" s="157"/>
      <c r="G3270" s="5"/>
      <c r="H3270" s="5"/>
      <c r="I3270" s="5"/>
      <c r="J3270" s="158"/>
      <c r="K3270" s="159"/>
      <c r="L3270" s="160"/>
      <c r="M3270" s="161"/>
      <c r="N3270" s="162"/>
      <c r="O3270" s="163"/>
      <c r="P3270" s="163"/>
      <c r="Q3270" s="158"/>
      <c r="R3270" s="5"/>
      <c r="S3270" s="5"/>
      <c r="T3270" s="5"/>
      <c r="U3270" s="35"/>
      <c r="V3270" s="164"/>
    </row>
    <row r="3271" customFormat="false" ht="15" hidden="false" customHeight="true" outlineLevel="0" collapsed="false">
      <c r="B3271" s="5"/>
      <c r="C3271" s="155"/>
      <c r="D3271" s="156"/>
      <c r="F3271" s="157"/>
      <c r="G3271" s="5"/>
      <c r="H3271" s="5"/>
      <c r="I3271" s="5"/>
      <c r="J3271" s="158"/>
      <c r="K3271" s="159"/>
      <c r="L3271" s="160"/>
      <c r="M3271" s="161"/>
      <c r="N3271" s="162"/>
      <c r="O3271" s="163"/>
      <c r="P3271" s="163"/>
      <c r="Q3271" s="158"/>
      <c r="R3271" s="5"/>
      <c r="S3271" s="5"/>
      <c r="T3271" s="5"/>
      <c r="U3271" s="35"/>
      <c r="V3271" s="164"/>
    </row>
    <row r="3272" customFormat="false" ht="15" hidden="false" customHeight="true" outlineLevel="0" collapsed="false">
      <c r="B3272" s="5"/>
      <c r="C3272" s="155"/>
      <c r="D3272" s="156"/>
      <c r="F3272" s="157"/>
      <c r="G3272" s="5"/>
      <c r="H3272" s="5"/>
      <c r="I3272" s="5"/>
      <c r="J3272" s="158"/>
      <c r="K3272" s="159"/>
      <c r="L3272" s="160"/>
      <c r="M3272" s="161"/>
      <c r="N3272" s="162"/>
      <c r="O3272" s="163"/>
      <c r="P3272" s="163"/>
      <c r="Q3272" s="158"/>
      <c r="R3272" s="5"/>
      <c r="S3272" s="5"/>
      <c r="T3272" s="5"/>
      <c r="U3272" s="35"/>
      <c r="V3272" s="164"/>
    </row>
    <row r="3273" customFormat="false" ht="15" hidden="false" customHeight="true" outlineLevel="0" collapsed="false">
      <c r="B3273" s="5"/>
      <c r="C3273" s="155"/>
      <c r="D3273" s="156"/>
      <c r="F3273" s="157"/>
      <c r="G3273" s="5"/>
      <c r="H3273" s="5"/>
      <c r="I3273" s="5"/>
      <c r="J3273" s="158"/>
      <c r="K3273" s="159"/>
      <c r="L3273" s="160"/>
      <c r="M3273" s="161"/>
      <c r="N3273" s="162"/>
      <c r="O3273" s="163"/>
      <c r="P3273" s="163"/>
      <c r="Q3273" s="158"/>
      <c r="R3273" s="5"/>
      <c r="S3273" s="5"/>
      <c r="T3273" s="5"/>
      <c r="U3273" s="35"/>
      <c r="V3273" s="164"/>
    </row>
    <row r="3274" customFormat="false" ht="15" hidden="false" customHeight="true" outlineLevel="0" collapsed="false">
      <c r="B3274" s="5"/>
      <c r="C3274" s="155"/>
      <c r="D3274" s="156"/>
      <c r="F3274" s="157"/>
      <c r="G3274" s="5"/>
      <c r="H3274" s="5"/>
      <c r="I3274" s="5"/>
      <c r="J3274" s="158"/>
      <c r="K3274" s="159"/>
      <c r="L3274" s="160"/>
      <c r="M3274" s="161"/>
      <c r="N3274" s="162"/>
      <c r="O3274" s="163"/>
      <c r="P3274" s="163"/>
      <c r="Q3274" s="158"/>
      <c r="R3274" s="5"/>
      <c r="S3274" s="5"/>
      <c r="T3274" s="5"/>
      <c r="U3274" s="35"/>
      <c r="V3274" s="164"/>
    </row>
    <row r="3275" customFormat="false" ht="15" hidden="false" customHeight="true" outlineLevel="0" collapsed="false">
      <c r="B3275" s="5"/>
      <c r="C3275" s="155"/>
      <c r="D3275" s="156"/>
      <c r="F3275" s="157"/>
      <c r="G3275" s="5"/>
      <c r="H3275" s="5"/>
      <c r="I3275" s="5"/>
      <c r="J3275" s="158"/>
      <c r="K3275" s="159"/>
      <c r="L3275" s="160"/>
      <c r="M3275" s="161"/>
      <c r="N3275" s="162"/>
      <c r="O3275" s="163"/>
      <c r="P3275" s="163"/>
      <c r="Q3275" s="158"/>
      <c r="R3275" s="5"/>
      <c r="S3275" s="5"/>
      <c r="T3275" s="5"/>
      <c r="U3275" s="35"/>
      <c r="V3275" s="164"/>
    </row>
    <row r="3276" customFormat="false" ht="15" hidden="false" customHeight="true" outlineLevel="0" collapsed="false">
      <c r="B3276" s="5"/>
      <c r="C3276" s="155"/>
      <c r="D3276" s="156"/>
      <c r="F3276" s="157"/>
      <c r="G3276" s="5"/>
      <c r="H3276" s="5"/>
      <c r="I3276" s="5"/>
      <c r="J3276" s="158"/>
      <c r="K3276" s="159"/>
      <c r="L3276" s="160"/>
      <c r="M3276" s="161"/>
      <c r="N3276" s="162"/>
      <c r="O3276" s="163"/>
      <c r="P3276" s="163"/>
      <c r="Q3276" s="158"/>
      <c r="R3276" s="5"/>
      <c r="S3276" s="5"/>
      <c r="T3276" s="5"/>
      <c r="U3276" s="35"/>
      <c r="V3276" s="164"/>
    </row>
    <row r="3277" customFormat="false" ht="15" hidden="false" customHeight="true" outlineLevel="0" collapsed="false">
      <c r="B3277" s="5"/>
      <c r="C3277" s="155"/>
      <c r="D3277" s="156"/>
      <c r="F3277" s="157"/>
      <c r="G3277" s="5"/>
      <c r="H3277" s="5"/>
      <c r="I3277" s="5"/>
      <c r="J3277" s="158"/>
      <c r="K3277" s="159"/>
      <c r="L3277" s="160"/>
      <c r="M3277" s="161"/>
      <c r="N3277" s="162"/>
      <c r="O3277" s="163"/>
      <c r="P3277" s="163"/>
      <c r="Q3277" s="158"/>
      <c r="R3277" s="5"/>
      <c r="S3277" s="5"/>
      <c r="T3277" s="5"/>
      <c r="U3277" s="35"/>
      <c r="V3277" s="164"/>
    </row>
    <row r="3278" customFormat="false" ht="15" hidden="false" customHeight="true" outlineLevel="0" collapsed="false">
      <c r="B3278" s="5"/>
      <c r="C3278" s="155"/>
      <c r="D3278" s="156"/>
      <c r="F3278" s="157"/>
      <c r="G3278" s="5"/>
      <c r="H3278" s="5"/>
      <c r="I3278" s="5"/>
      <c r="J3278" s="158"/>
      <c r="K3278" s="159"/>
      <c r="L3278" s="160"/>
      <c r="M3278" s="161"/>
      <c r="N3278" s="162"/>
      <c r="O3278" s="163"/>
      <c r="P3278" s="163"/>
      <c r="Q3278" s="158"/>
      <c r="R3278" s="5"/>
      <c r="S3278" s="5"/>
      <c r="T3278" s="5"/>
      <c r="U3278" s="35"/>
      <c r="V3278" s="164"/>
    </row>
    <row r="3279" customFormat="false" ht="15" hidden="false" customHeight="true" outlineLevel="0" collapsed="false">
      <c r="B3279" s="5"/>
      <c r="C3279" s="155"/>
      <c r="D3279" s="156"/>
      <c r="F3279" s="157"/>
      <c r="G3279" s="5"/>
      <c r="H3279" s="5"/>
      <c r="I3279" s="5"/>
      <c r="J3279" s="158"/>
      <c r="K3279" s="159"/>
      <c r="L3279" s="160"/>
      <c r="M3279" s="161"/>
      <c r="N3279" s="162"/>
      <c r="O3279" s="163"/>
      <c r="P3279" s="163"/>
      <c r="Q3279" s="158"/>
      <c r="R3279" s="5"/>
      <c r="S3279" s="5"/>
      <c r="T3279" s="5"/>
      <c r="U3279" s="35"/>
      <c r="V3279" s="164"/>
    </row>
    <row r="3280" customFormat="false" ht="15" hidden="false" customHeight="true" outlineLevel="0" collapsed="false">
      <c r="B3280" s="5"/>
      <c r="C3280" s="155"/>
      <c r="D3280" s="156"/>
      <c r="F3280" s="157"/>
      <c r="G3280" s="5"/>
      <c r="H3280" s="5"/>
      <c r="I3280" s="5"/>
      <c r="J3280" s="158"/>
      <c r="K3280" s="159"/>
      <c r="L3280" s="160"/>
      <c r="M3280" s="161"/>
      <c r="N3280" s="162"/>
      <c r="O3280" s="163"/>
      <c r="P3280" s="163"/>
      <c r="Q3280" s="158"/>
      <c r="R3280" s="5"/>
      <c r="S3280" s="5"/>
      <c r="T3280" s="5"/>
      <c r="U3280" s="35"/>
      <c r="V3280" s="164"/>
    </row>
    <row r="3281" customFormat="false" ht="15" hidden="false" customHeight="true" outlineLevel="0" collapsed="false">
      <c r="B3281" s="5"/>
      <c r="C3281" s="155"/>
      <c r="D3281" s="156"/>
      <c r="F3281" s="157"/>
      <c r="G3281" s="5"/>
      <c r="H3281" s="5"/>
      <c r="I3281" s="5"/>
      <c r="J3281" s="158"/>
      <c r="K3281" s="159"/>
      <c r="L3281" s="160"/>
      <c r="M3281" s="161"/>
      <c r="N3281" s="162"/>
      <c r="O3281" s="163"/>
      <c r="P3281" s="163"/>
      <c r="Q3281" s="158"/>
      <c r="R3281" s="5"/>
      <c r="S3281" s="5"/>
      <c r="T3281" s="5"/>
      <c r="U3281" s="35"/>
      <c r="V3281" s="164"/>
    </row>
    <row r="3282" customFormat="false" ht="15" hidden="false" customHeight="true" outlineLevel="0" collapsed="false">
      <c r="B3282" s="5"/>
      <c r="C3282" s="155"/>
      <c r="D3282" s="156"/>
      <c r="F3282" s="157"/>
      <c r="G3282" s="5"/>
      <c r="H3282" s="5"/>
      <c r="I3282" s="5"/>
      <c r="J3282" s="158"/>
      <c r="K3282" s="159"/>
      <c r="L3282" s="160"/>
      <c r="M3282" s="161"/>
      <c r="N3282" s="162"/>
      <c r="O3282" s="163"/>
      <c r="P3282" s="163"/>
      <c r="Q3282" s="158"/>
      <c r="R3282" s="5"/>
      <c r="S3282" s="5"/>
      <c r="T3282" s="5"/>
      <c r="U3282" s="35"/>
      <c r="V3282" s="164"/>
    </row>
    <row r="3283" customFormat="false" ht="15" hidden="false" customHeight="true" outlineLevel="0" collapsed="false">
      <c r="B3283" s="5"/>
      <c r="C3283" s="155"/>
      <c r="D3283" s="156"/>
      <c r="F3283" s="157"/>
      <c r="G3283" s="5"/>
      <c r="H3283" s="5"/>
      <c r="I3283" s="5"/>
      <c r="J3283" s="158"/>
      <c r="K3283" s="159"/>
      <c r="L3283" s="160"/>
      <c r="M3283" s="161"/>
      <c r="N3283" s="162"/>
      <c r="O3283" s="163"/>
      <c r="P3283" s="163"/>
      <c r="Q3283" s="158"/>
      <c r="R3283" s="5"/>
      <c r="S3283" s="5"/>
      <c r="T3283" s="5"/>
      <c r="U3283" s="35"/>
      <c r="V3283" s="164"/>
    </row>
    <row r="3284" customFormat="false" ht="15" hidden="false" customHeight="true" outlineLevel="0" collapsed="false">
      <c r="C3284" s="155"/>
      <c r="D3284" s="156"/>
      <c r="F3284" s="157"/>
      <c r="G3284" s="5"/>
      <c r="H3284" s="165"/>
      <c r="I3284" s="165"/>
      <c r="J3284" s="158"/>
      <c r="K3284" s="159"/>
      <c r="L3284" s="166"/>
      <c r="M3284" s="167"/>
      <c r="N3284" s="168"/>
      <c r="O3284" s="163"/>
      <c r="P3284" s="163"/>
      <c r="Q3284" s="158"/>
      <c r="R3284" s="5"/>
      <c r="S3284" s="169"/>
      <c r="T3284" s="158"/>
      <c r="U3284" s="35"/>
      <c r="V3284" s="164"/>
    </row>
    <row r="3285" customFormat="false" ht="15" hidden="false" customHeight="true" outlineLevel="0" collapsed="false">
      <c r="C3285" s="155"/>
      <c r="D3285" s="156"/>
      <c r="F3285" s="157"/>
      <c r="G3285" s="5"/>
      <c r="H3285" s="165"/>
      <c r="I3285" s="165"/>
      <c r="J3285" s="158"/>
      <c r="K3285" s="159"/>
      <c r="L3285" s="166"/>
      <c r="M3285" s="167"/>
      <c r="N3285" s="168"/>
      <c r="O3285" s="163"/>
      <c r="P3285" s="163"/>
      <c r="Q3285" s="158"/>
      <c r="R3285" s="5"/>
      <c r="S3285" s="169"/>
      <c r="T3285" s="158"/>
      <c r="U3285" s="35"/>
      <c r="V3285" s="164"/>
    </row>
    <row r="3286" customFormat="false" ht="15" hidden="false" customHeight="true" outlineLevel="0" collapsed="false">
      <c r="C3286" s="155"/>
      <c r="D3286" s="156"/>
      <c r="F3286" s="157"/>
      <c r="G3286" s="5"/>
      <c r="H3286" s="165"/>
      <c r="I3286" s="165"/>
      <c r="J3286" s="158"/>
      <c r="K3286" s="159"/>
      <c r="L3286" s="166"/>
      <c r="M3286" s="167"/>
      <c r="N3286" s="168"/>
      <c r="O3286" s="163"/>
      <c r="P3286" s="163"/>
      <c r="Q3286" s="158"/>
      <c r="R3286" s="5"/>
      <c r="S3286" s="169"/>
      <c r="T3286" s="158"/>
      <c r="U3286" s="35"/>
      <c r="V3286" s="164"/>
    </row>
    <row r="3287" customFormat="false" ht="15" hidden="false" customHeight="true" outlineLevel="0" collapsed="false">
      <c r="C3287" s="155"/>
      <c r="D3287" s="156"/>
      <c r="F3287" s="157"/>
      <c r="G3287" s="5"/>
      <c r="H3287" s="165"/>
      <c r="I3287" s="165"/>
      <c r="J3287" s="158"/>
      <c r="K3287" s="159"/>
      <c r="L3287" s="166"/>
      <c r="M3287" s="167"/>
      <c r="N3287" s="168"/>
      <c r="O3287" s="163"/>
      <c r="P3287" s="163"/>
      <c r="Q3287" s="158"/>
      <c r="R3287" s="5"/>
      <c r="S3287" s="169"/>
      <c r="T3287" s="158"/>
      <c r="U3287" s="35"/>
      <c r="V3287" s="164"/>
    </row>
    <row r="3288" customFormat="false" ht="15" hidden="false" customHeight="true" outlineLevel="0" collapsed="false">
      <c r="C3288" s="155"/>
      <c r="D3288" s="156"/>
      <c r="F3288" s="157"/>
      <c r="G3288" s="5"/>
      <c r="H3288" s="165"/>
      <c r="I3288" s="165"/>
      <c r="J3288" s="179"/>
      <c r="K3288" s="159"/>
      <c r="L3288" s="166"/>
      <c r="M3288" s="167"/>
      <c r="N3288" s="168"/>
      <c r="O3288" s="163"/>
      <c r="P3288" s="163"/>
      <c r="Q3288" s="158"/>
      <c r="R3288" s="5"/>
      <c r="S3288" s="169"/>
      <c r="T3288" s="158"/>
      <c r="U3288" s="35"/>
      <c r="V3288" s="164"/>
    </row>
    <row r="3289" customFormat="false" ht="15" hidden="false" customHeight="true" outlineLevel="0" collapsed="false">
      <c r="C3289" s="155"/>
      <c r="D3289" s="156"/>
      <c r="F3289" s="157"/>
      <c r="G3289" s="5"/>
      <c r="H3289" s="165"/>
      <c r="I3289" s="165"/>
      <c r="J3289" s="158"/>
      <c r="K3289" s="159"/>
      <c r="L3289" s="166"/>
      <c r="M3289" s="167"/>
      <c r="N3289" s="168"/>
      <c r="O3289" s="163"/>
      <c r="P3289" s="163"/>
      <c r="Q3289" s="158"/>
      <c r="R3289" s="5"/>
      <c r="S3289" s="169"/>
      <c r="T3289" s="158"/>
      <c r="U3289" s="35"/>
      <c r="V3289" s="164"/>
    </row>
    <row r="3290" customFormat="false" ht="15" hidden="false" customHeight="true" outlineLevel="0" collapsed="false">
      <c r="C3290" s="155"/>
      <c r="D3290" s="156"/>
      <c r="F3290" s="157"/>
      <c r="G3290" s="5"/>
      <c r="H3290" s="165"/>
      <c r="I3290" s="165"/>
      <c r="J3290" s="158"/>
      <c r="K3290" s="159"/>
      <c r="L3290" s="166"/>
      <c r="M3290" s="167"/>
      <c r="N3290" s="168"/>
      <c r="O3290" s="163"/>
      <c r="P3290" s="163"/>
      <c r="Q3290" s="158"/>
      <c r="R3290" s="5"/>
      <c r="S3290" s="169"/>
      <c r="T3290" s="158"/>
      <c r="U3290" s="35"/>
      <c r="V3290" s="164"/>
    </row>
    <row r="3291" customFormat="false" ht="15" hidden="false" customHeight="true" outlineLevel="0" collapsed="false">
      <c r="C3291" s="155"/>
      <c r="D3291" s="156"/>
      <c r="F3291" s="157"/>
      <c r="G3291" s="5"/>
      <c r="H3291" s="165"/>
      <c r="I3291" s="165"/>
      <c r="J3291" s="158"/>
      <c r="K3291" s="159"/>
      <c r="L3291" s="166"/>
      <c r="M3291" s="167"/>
      <c r="N3291" s="168"/>
      <c r="O3291" s="163"/>
      <c r="P3291" s="163"/>
      <c r="Q3291" s="158"/>
      <c r="R3291" s="5"/>
      <c r="S3291" s="169"/>
      <c r="T3291" s="158"/>
      <c r="U3291" s="35"/>
      <c r="V3291" s="164"/>
    </row>
    <row r="3292" customFormat="false" ht="15" hidden="false" customHeight="true" outlineLevel="0" collapsed="false">
      <c r="C3292" s="155"/>
      <c r="D3292" s="156"/>
      <c r="F3292" s="157"/>
      <c r="G3292" s="5"/>
      <c r="H3292" s="165"/>
      <c r="I3292" s="165"/>
      <c r="J3292" s="158"/>
      <c r="K3292" s="159"/>
      <c r="L3292" s="166"/>
      <c r="M3292" s="167"/>
      <c r="N3292" s="168"/>
      <c r="O3292" s="163"/>
      <c r="P3292" s="163"/>
      <c r="Q3292" s="158"/>
      <c r="R3292" s="5"/>
      <c r="S3292" s="169"/>
      <c r="T3292" s="158"/>
      <c r="U3292" s="35"/>
      <c r="V3292" s="164"/>
    </row>
    <row r="3293" customFormat="false" ht="15" hidden="false" customHeight="true" outlineLevel="0" collapsed="false">
      <c r="C3293" s="155"/>
      <c r="D3293" s="156"/>
      <c r="F3293" s="157"/>
      <c r="G3293" s="5"/>
      <c r="H3293" s="165"/>
      <c r="I3293" s="165"/>
      <c r="J3293" s="158"/>
      <c r="K3293" s="159"/>
      <c r="L3293" s="166"/>
      <c r="M3293" s="167"/>
      <c r="N3293" s="168"/>
      <c r="O3293" s="163"/>
      <c r="P3293" s="163"/>
      <c r="Q3293" s="158"/>
      <c r="R3293" s="5"/>
      <c r="S3293" s="169"/>
      <c r="T3293" s="158"/>
      <c r="U3293" s="35"/>
      <c r="V3293" s="164"/>
    </row>
    <row r="3294" customFormat="false" ht="15" hidden="false" customHeight="true" outlineLevel="0" collapsed="false">
      <c r="C3294" s="155"/>
      <c r="D3294" s="156"/>
      <c r="F3294" s="157"/>
      <c r="G3294" s="5"/>
      <c r="H3294" s="165"/>
      <c r="I3294" s="165"/>
      <c r="J3294" s="158"/>
      <c r="K3294" s="159"/>
      <c r="L3294" s="166"/>
      <c r="M3294" s="167"/>
      <c r="N3294" s="168"/>
      <c r="O3294" s="163"/>
      <c r="P3294" s="163"/>
      <c r="Q3294" s="158"/>
      <c r="R3294" s="5"/>
      <c r="S3294" s="169"/>
      <c r="T3294" s="158"/>
      <c r="U3294" s="35"/>
      <c r="V3294" s="164"/>
    </row>
    <row r="3295" customFormat="false" ht="15" hidden="false" customHeight="true" outlineLevel="0" collapsed="false">
      <c r="C3295" s="155"/>
      <c r="D3295" s="156"/>
      <c r="F3295" s="157"/>
      <c r="G3295" s="5"/>
      <c r="H3295" s="165"/>
      <c r="I3295" s="165"/>
      <c r="J3295" s="158"/>
      <c r="K3295" s="159"/>
      <c r="L3295" s="166"/>
      <c r="M3295" s="167"/>
      <c r="N3295" s="168"/>
      <c r="O3295" s="163"/>
      <c r="P3295" s="163"/>
      <c r="Q3295" s="158"/>
      <c r="R3295" s="5"/>
      <c r="S3295" s="169"/>
      <c r="T3295" s="158"/>
      <c r="U3295" s="35"/>
      <c r="V3295" s="164"/>
    </row>
    <row r="3296" customFormat="false" ht="15" hidden="false" customHeight="true" outlineLevel="0" collapsed="false">
      <c r="C3296" s="155"/>
      <c r="D3296" s="156"/>
      <c r="F3296" s="157"/>
      <c r="G3296" s="5"/>
      <c r="H3296" s="165"/>
      <c r="I3296" s="165"/>
      <c r="J3296" s="158"/>
      <c r="K3296" s="159"/>
      <c r="L3296" s="166"/>
      <c r="M3296" s="167"/>
      <c r="N3296" s="168"/>
      <c r="O3296" s="163"/>
      <c r="P3296" s="163"/>
      <c r="Q3296" s="158"/>
      <c r="R3296" s="5"/>
      <c r="S3296" s="169"/>
      <c r="T3296" s="158"/>
      <c r="U3296" s="35"/>
      <c r="V3296" s="164"/>
    </row>
    <row r="3297" customFormat="false" ht="15" hidden="false" customHeight="true" outlineLevel="0" collapsed="false">
      <c r="C3297" s="155"/>
      <c r="D3297" s="156"/>
      <c r="F3297" s="157"/>
      <c r="G3297" s="5"/>
      <c r="H3297" s="165"/>
      <c r="I3297" s="165"/>
      <c r="J3297" s="158"/>
      <c r="K3297" s="159"/>
      <c r="L3297" s="166"/>
      <c r="M3297" s="167"/>
      <c r="N3297" s="168"/>
      <c r="O3297" s="163"/>
      <c r="P3297" s="163"/>
      <c r="Q3297" s="158"/>
      <c r="R3297" s="5"/>
      <c r="S3297" s="169"/>
      <c r="T3297" s="158"/>
      <c r="U3297" s="35"/>
      <c r="V3297" s="164"/>
    </row>
    <row r="3298" customFormat="false" ht="15" hidden="false" customHeight="true" outlineLevel="0" collapsed="false">
      <c r="C3298" s="155"/>
      <c r="D3298" s="156"/>
      <c r="F3298" s="157"/>
      <c r="G3298" s="5"/>
      <c r="H3298" s="165"/>
      <c r="I3298" s="165"/>
      <c r="J3298" s="158"/>
      <c r="K3298" s="159"/>
      <c r="L3298" s="166"/>
      <c r="M3298" s="167"/>
      <c r="N3298" s="168"/>
      <c r="O3298" s="163"/>
      <c r="P3298" s="163"/>
      <c r="Q3298" s="158"/>
      <c r="R3298" s="5"/>
      <c r="S3298" s="169"/>
      <c r="T3298" s="158"/>
      <c r="U3298" s="35"/>
      <c r="V3298" s="164"/>
    </row>
    <row r="3299" customFormat="false" ht="15" hidden="false" customHeight="true" outlineLevel="0" collapsed="false">
      <c r="C3299" s="155"/>
      <c r="D3299" s="156"/>
      <c r="F3299" s="157"/>
      <c r="G3299" s="5"/>
      <c r="H3299" s="165"/>
      <c r="I3299" s="165"/>
      <c r="J3299" s="158"/>
      <c r="K3299" s="159"/>
      <c r="L3299" s="166"/>
      <c r="M3299" s="167"/>
      <c r="N3299" s="168"/>
      <c r="O3299" s="163"/>
      <c r="P3299" s="163"/>
      <c r="Q3299" s="158"/>
      <c r="R3299" s="5"/>
      <c r="S3299" s="169"/>
      <c r="T3299" s="158"/>
      <c r="U3299" s="35"/>
      <c r="V3299" s="164"/>
    </row>
    <row r="3300" customFormat="false" ht="15" hidden="false" customHeight="true" outlineLevel="0" collapsed="false">
      <c r="B3300" s="5"/>
      <c r="C3300" s="155"/>
      <c r="D3300" s="156"/>
      <c r="F3300" s="157"/>
      <c r="G3300" s="5"/>
      <c r="H3300" s="5"/>
      <c r="I3300" s="5"/>
      <c r="J3300" s="158"/>
      <c r="K3300" s="163"/>
      <c r="L3300" s="160"/>
      <c r="M3300" s="174"/>
      <c r="N3300" s="168"/>
      <c r="O3300" s="163"/>
      <c r="P3300" s="160"/>
      <c r="Q3300" s="175"/>
      <c r="R3300" s="5"/>
      <c r="S3300" s="5"/>
      <c r="T3300" s="5"/>
      <c r="U3300" s="165"/>
      <c r="V3300" s="171"/>
      <c r="W3300" s="116"/>
      <c r="X3300" s="116"/>
      <c r="Y3300" s="116"/>
      <c r="Z3300" s="157"/>
      <c r="AA3300" s="5"/>
      <c r="AB3300" s="165"/>
      <c r="AC3300" s="165"/>
      <c r="AD3300" s="158"/>
      <c r="AE3300" s="199"/>
      <c r="AF3300" s="200"/>
      <c r="AG3300" s="167"/>
      <c r="AH3300" s="168"/>
      <c r="AI3300" s="168"/>
      <c r="AJ3300" s="168"/>
      <c r="AK3300" s="158"/>
      <c r="AL3300" s="5"/>
      <c r="AM3300" s="169"/>
      <c r="AN3300" s="158"/>
      <c r="AO3300" s="35"/>
      <c r="AP3300" s="164"/>
      <c r="AQ3300" s="2"/>
      <c r="AR3300" s="171"/>
      <c r="AS3300" s="5"/>
      <c r="AT3300" s="5"/>
      <c r="AU3300" s="157"/>
      <c r="AV3300" s="5"/>
      <c r="AW3300" s="165"/>
      <c r="AX3300" s="165"/>
      <c r="AY3300" s="158"/>
      <c r="AZ3300" s="199"/>
      <c r="BA3300" s="200"/>
      <c r="BB3300" s="167"/>
      <c r="BC3300" s="168"/>
      <c r="BD3300" s="168"/>
      <c r="BE3300" s="168"/>
      <c r="BF3300" s="158"/>
      <c r="BG3300" s="5"/>
      <c r="BH3300" s="169"/>
      <c r="BI3300" s="158"/>
      <c r="BJ3300" s="35"/>
      <c r="BK3300" s="164"/>
      <c r="BL3300" s="2"/>
      <c r="BM3300" s="171"/>
      <c r="BN3300" s="5"/>
      <c r="BO3300" s="5"/>
      <c r="BP3300" s="157"/>
      <c r="BQ3300" s="5"/>
      <c r="BR3300" s="165"/>
      <c r="BS3300" s="165"/>
      <c r="BT3300" s="158"/>
      <c r="BU3300" s="199"/>
      <c r="BV3300" s="200"/>
      <c r="BW3300" s="167"/>
      <c r="BX3300" s="168"/>
      <c r="BY3300" s="168"/>
      <c r="BZ3300" s="168"/>
      <c r="CA3300" s="158"/>
      <c r="CB3300" s="5"/>
      <c r="CC3300" s="169"/>
      <c r="CD3300" s="158"/>
      <c r="CE3300" s="35"/>
      <c r="CF3300" s="164"/>
      <c r="CG3300" s="2"/>
      <c r="CH3300" s="171"/>
      <c r="CI3300" s="5"/>
      <c r="CJ3300" s="5"/>
      <c r="CK3300" s="157"/>
      <c r="CL3300" s="5"/>
      <c r="CM3300" s="165"/>
      <c r="CN3300" s="165"/>
      <c r="CO3300" s="158"/>
      <c r="CP3300" s="199"/>
      <c r="CQ3300" s="200"/>
      <c r="CR3300" s="167"/>
      <c r="CS3300" s="168"/>
      <c r="CT3300" s="168"/>
      <c r="CU3300" s="168"/>
      <c r="CV3300" s="158"/>
      <c r="CW3300" s="5"/>
      <c r="CX3300" s="169"/>
      <c r="CY3300" s="158"/>
      <c r="CZ3300" s="35"/>
      <c r="DA3300" s="164"/>
      <c r="DB3300" s="2"/>
      <c r="DC3300" s="171"/>
      <c r="DD3300" s="5"/>
      <c r="DE3300" s="5"/>
      <c r="DF3300" s="157"/>
      <c r="DG3300" s="5"/>
      <c r="DH3300" s="165"/>
      <c r="DI3300" s="165"/>
      <c r="DJ3300" s="158"/>
      <c r="DK3300" s="199"/>
      <c r="DL3300" s="200"/>
      <c r="DM3300" s="167"/>
      <c r="DN3300" s="168"/>
      <c r="DO3300" s="168"/>
      <c r="DP3300" s="168"/>
      <c r="DQ3300" s="158"/>
      <c r="DR3300" s="5"/>
      <c r="DS3300" s="169"/>
      <c r="DT3300" s="158"/>
      <c r="DU3300" s="35"/>
      <c r="DV3300" s="164"/>
      <c r="DW3300" s="2"/>
      <c r="DX3300" s="171"/>
      <c r="DY3300" s="5"/>
      <c r="DZ3300" s="5"/>
    </row>
    <row r="3301" customFormat="false" ht="15" hidden="false" customHeight="true" outlineLevel="0" collapsed="false">
      <c r="B3301" s="5"/>
      <c r="C3301" s="155"/>
      <c r="D3301" s="156"/>
      <c r="F3301" s="157"/>
      <c r="G3301" s="5"/>
      <c r="H3301" s="5"/>
      <c r="I3301" s="5"/>
      <c r="J3301" s="158"/>
      <c r="K3301" s="163"/>
      <c r="L3301" s="160"/>
      <c r="M3301" s="174"/>
      <c r="N3301" s="168"/>
      <c r="O3301" s="160"/>
      <c r="P3301" s="160"/>
      <c r="Q3301" s="175"/>
      <c r="R3301" s="5"/>
      <c r="S3301" s="5"/>
      <c r="T3301" s="5"/>
      <c r="U3301" s="165"/>
      <c r="V3301" s="171"/>
      <c r="W3301" s="116"/>
      <c r="X3301" s="116"/>
      <c r="Y3301" s="116"/>
    </row>
    <row r="3302" customFormat="false" ht="15" hidden="false" customHeight="true" outlineLevel="0" collapsed="false">
      <c r="B3302" s="5"/>
      <c r="C3302" s="155"/>
      <c r="D3302" s="156"/>
      <c r="F3302" s="157"/>
      <c r="G3302" s="5"/>
      <c r="H3302" s="5"/>
      <c r="I3302" s="5"/>
      <c r="J3302" s="158"/>
      <c r="K3302" s="163"/>
      <c r="L3302" s="160"/>
      <c r="M3302" s="174"/>
      <c r="N3302" s="168"/>
      <c r="O3302" s="160"/>
      <c r="P3302" s="160"/>
      <c r="Q3302" s="175"/>
      <c r="R3302" s="5"/>
      <c r="S3302" s="5"/>
      <c r="T3302" s="5"/>
      <c r="U3302" s="165"/>
      <c r="V3302" s="171"/>
      <c r="W3302" s="116"/>
      <c r="X3302" s="116"/>
      <c r="Y3302" s="116"/>
    </row>
    <row r="3303" customFormat="false" ht="15" hidden="false" customHeight="true" outlineLevel="0" collapsed="false">
      <c r="B3303" s="5"/>
      <c r="C3303" s="155"/>
      <c r="D3303" s="156"/>
      <c r="F3303" s="157"/>
      <c r="G3303" s="5"/>
      <c r="H3303" s="5"/>
      <c r="I3303" s="5"/>
      <c r="J3303" s="158"/>
      <c r="K3303" s="163"/>
      <c r="L3303" s="160"/>
      <c r="M3303" s="174"/>
      <c r="N3303" s="168"/>
      <c r="O3303" s="163"/>
      <c r="P3303" s="160"/>
      <c r="Q3303" s="175"/>
      <c r="R3303" s="5"/>
      <c r="S3303" s="5"/>
      <c r="T3303" s="5"/>
      <c r="U3303" s="165"/>
      <c r="V3303" s="164"/>
      <c r="W3303" s="116"/>
      <c r="X3303" s="116"/>
      <c r="Y3303" s="116"/>
    </row>
    <row r="3304" customFormat="false" ht="15" hidden="false" customHeight="true" outlineLevel="0" collapsed="false">
      <c r="B3304" s="5"/>
      <c r="C3304" s="155"/>
      <c r="D3304" s="156"/>
      <c r="F3304" s="170"/>
      <c r="G3304" s="5"/>
      <c r="H3304" s="5"/>
      <c r="I3304" s="5"/>
      <c r="J3304" s="158"/>
      <c r="K3304" s="163"/>
      <c r="L3304" s="160"/>
      <c r="M3304" s="174"/>
      <c r="N3304" s="168"/>
      <c r="O3304" s="163"/>
      <c r="P3304" s="160"/>
      <c r="Q3304" s="175"/>
      <c r="R3304" s="5"/>
      <c r="S3304" s="5"/>
      <c r="T3304" s="5"/>
      <c r="U3304" s="35"/>
      <c r="V3304" s="171"/>
      <c r="W3304" s="116"/>
    </row>
    <row r="3305" customFormat="false" ht="15" hidden="false" customHeight="true" outlineLevel="0" collapsed="false">
      <c r="B3305" s="5"/>
      <c r="C3305" s="155"/>
      <c r="D3305" s="156"/>
      <c r="F3305" s="170"/>
      <c r="G3305" s="5"/>
      <c r="H3305" s="5"/>
      <c r="I3305" s="5"/>
      <c r="J3305" s="158"/>
      <c r="K3305" s="163"/>
      <c r="L3305" s="160"/>
      <c r="M3305" s="174"/>
      <c r="N3305" s="168"/>
      <c r="O3305" s="163"/>
      <c r="P3305" s="160"/>
      <c r="Q3305" s="175"/>
      <c r="R3305" s="5"/>
      <c r="S3305" s="5"/>
      <c r="T3305" s="5"/>
      <c r="U3305" s="35"/>
      <c r="V3305" s="171"/>
      <c r="W3305" s="170"/>
      <c r="X3305" s="176"/>
    </row>
    <row r="3306" customFormat="false" ht="15" hidden="false" customHeight="true" outlineLevel="0" collapsed="false">
      <c r="B3306" s="5"/>
      <c r="C3306" s="155"/>
      <c r="D3306" s="156"/>
      <c r="F3306" s="170"/>
      <c r="G3306" s="5"/>
      <c r="H3306" s="5"/>
      <c r="I3306" s="5"/>
      <c r="J3306" s="158"/>
      <c r="K3306" s="159"/>
      <c r="L3306" s="160"/>
      <c r="M3306" s="178"/>
      <c r="N3306" s="162"/>
      <c r="O3306" s="163"/>
      <c r="P3306" s="163"/>
      <c r="Q3306" s="5"/>
      <c r="R3306" s="5"/>
      <c r="S3306" s="5"/>
      <c r="T3306" s="5"/>
      <c r="U3306" s="35"/>
      <c r="V3306" s="171"/>
      <c r="W3306" s="172"/>
      <c r="X3306" s="173"/>
    </row>
    <row r="3307" customFormat="false" ht="15" hidden="false" customHeight="true" outlineLevel="0" collapsed="false">
      <c r="B3307" s="5"/>
      <c r="C3307" s="155"/>
      <c r="D3307" s="156"/>
      <c r="F3307" s="170"/>
      <c r="G3307" s="5"/>
      <c r="H3307" s="5"/>
      <c r="I3307" s="5"/>
      <c r="J3307" s="158"/>
      <c r="K3307" s="159"/>
      <c r="L3307" s="160"/>
      <c r="M3307" s="178"/>
      <c r="N3307" s="162"/>
      <c r="O3307" s="163"/>
      <c r="P3307" s="163"/>
      <c r="Q3307" s="5"/>
      <c r="R3307" s="5"/>
      <c r="S3307" s="5"/>
      <c r="T3307" s="5"/>
      <c r="U3307" s="35"/>
      <c r="V3307" s="171"/>
      <c r="W3307" s="172"/>
      <c r="X3307" s="173"/>
    </row>
    <row r="3308" customFormat="false" ht="15" hidden="false" customHeight="true" outlineLevel="0" collapsed="false">
      <c r="B3308" s="5"/>
      <c r="C3308" s="155"/>
      <c r="D3308" s="156"/>
      <c r="F3308" s="157"/>
      <c r="G3308" s="5"/>
      <c r="H3308" s="5"/>
      <c r="I3308" s="5"/>
      <c r="J3308" s="158"/>
      <c r="K3308" s="159"/>
      <c r="L3308" s="160"/>
      <c r="M3308" s="161"/>
      <c r="N3308" s="162"/>
      <c r="O3308" s="163"/>
      <c r="P3308" s="163"/>
      <c r="Q3308" s="158"/>
      <c r="R3308" s="5"/>
      <c r="S3308" s="5"/>
      <c r="T3308" s="5"/>
      <c r="U3308" s="35"/>
      <c r="V3308" s="164"/>
    </row>
    <row r="3309" customFormat="false" ht="15" hidden="false" customHeight="true" outlineLevel="0" collapsed="false">
      <c r="B3309" s="5"/>
      <c r="C3309" s="155"/>
      <c r="D3309" s="156"/>
      <c r="F3309" s="157"/>
      <c r="G3309" s="5"/>
      <c r="H3309" s="5"/>
      <c r="I3309" s="5"/>
      <c r="J3309" s="158"/>
      <c r="K3309" s="159"/>
      <c r="L3309" s="160"/>
      <c r="M3309" s="161"/>
      <c r="N3309" s="162"/>
      <c r="O3309" s="163"/>
      <c r="P3309" s="163"/>
      <c r="Q3309" s="158"/>
      <c r="R3309" s="5"/>
      <c r="S3309" s="5"/>
      <c r="T3309" s="5"/>
      <c r="U3309" s="35"/>
      <c r="V3309" s="164"/>
    </row>
    <row r="3310" customFormat="false" ht="15" hidden="false" customHeight="true" outlineLevel="0" collapsed="false">
      <c r="B3310" s="5"/>
      <c r="C3310" s="155"/>
      <c r="D3310" s="156"/>
      <c r="F3310" s="157"/>
      <c r="G3310" s="5"/>
      <c r="H3310" s="5"/>
      <c r="I3310" s="5"/>
      <c r="J3310" s="158"/>
      <c r="K3310" s="159"/>
      <c r="L3310" s="160"/>
      <c r="M3310" s="161"/>
      <c r="N3310" s="162"/>
      <c r="O3310" s="163"/>
      <c r="P3310" s="163"/>
      <c r="Q3310" s="158"/>
      <c r="R3310" s="5"/>
      <c r="S3310" s="5"/>
      <c r="T3310" s="5"/>
      <c r="U3310" s="35"/>
      <c r="V3310" s="164"/>
    </row>
    <row r="3311" customFormat="false" ht="15" hidden="false" customHeight="true" outlineLevel="0" collapsed="false">
      <c r="C3311" s="155"/>
      <c r="D3311" s="156"/>
      <c r="F3311" s="157"/>
      <c r="G3311" s="5"/>
      <c r="H3311" s="165"/>
      <c r="I3311" s="165"/>
      <c r="J3311" s="158"/>
      <c r="K3311" s="159"/>
      <c r="L3311" s="166"/>
      <c r="M3311" s="167"/>
      <c r="N3311" s="168"/>
      <c r="O3311" s="163"/>
      <c r="P3311" s="163"/>
      <c r="Q3311" s="158"/>
      <c r="R3311" s="5"/>
      <c r="S3311" s="169"/>
      <c r="T3311" s="158"/>
      <c r="U3311" s="35"/>
      <c r="V3311" s="164"/>
    </row>
    <row r="3312" customFormat="false" ht="15" hidden="false" customHeight="true" outlineLevel="0" collapsed="false">
      <c r="C3312" s="155"/>
      <c r="D3312" s="156"/>
      <c r="F3312" s="157"/>
      <c r="G3312" s="5"/>
      <c r="H3312" s="165"/>
      <c r="I3312" s="165"/>
      <c r="J3312" s="179"/>
      <c r="K3312" s="159"/>
      <c r="L3312" s="166"/>
      <c r="M3312" s="167"/>
      <c r="N3312" s="168"/>
      <c r="O3312" s="163"/>
      <c r="P3312" s="163"/>
      <c r="Q3312" s="158"/>
      <c r="R3312" s="5"/>
      <c r="S3312" s="169"/>
      <c r="T3312" s="158"/>
      <c r="U3312" s="35"/>
      <c r="V3312" s="164"/>
    </row>
    <row r="3313" customFormat="false" ht="15" hidden="false" customHeight="true" outlineLevel="0" collapsed="false">
      <c r="B3313" s="5"/>
      <c r="C3313" s="155"/>
      <c r="D3313" s="156"/>
      <c r="F3313" s="170"/>
      <c r="G3313" s="5"/>
      <c r="H3313" s="5"/>
      <c r="I3313" s="5"/>
      <c r="J3313" s="158"/>
      <c r="K3313" s="163"/>
      <c r="L3313" s="160"/>
      <c r="M3313" s="174"/>
      <c r="N3313" s="168"/>
      <c r="O3313" s="163"/>
      <c r="P3313" s="160"/>
      <c r="Q3313" s="175"/>
      <c r="R3313" s="5"/>
      <c r="S3313" s="5"/>
      <c r="T3313" s="5"/>
      <c r="U3313" s="35"/>
      <c r="V3313" s="171"/>
      <c r="W3313" s="170"/>
      <c r="X3313" s="176"/>
    </row>
    <row r="3314" customFormat="false" ht="15" hidden="false" customHeight="true" outlineLevel="0" collapsed="false">
      <c r="B3314" s="5"/>
      <c r="C3314" s="155"/>
      <c r="D3314" s="156"/>
      <c r="F3314" s="170"/>
      <c r="G3314" s="5"/>
      <c r="H3314" s="5"/>
      <c r="I3314" s="5"/>
      <c r="J3314" s="158"/>
      <c r="K3314" s="163"/>
      <c r="L3314" s="160"/>
      <c r="M3314" s="174"/>
      <c r="N3314" s="168"/>
      <c r="O3314" s="163"/>
      <c r="P3314" s="160"/>
      <c r="Q3314" s="175"/>
      <c r="R3314" s="5"/>
      <c r="S3314" s="5"/>
      <c r="T3314" s="5"/>
      <c r="U3314" s="35"/>
      <c r="V3314" s="171"/>
      <c r="W3314" s="170"/>
      <c r="X3314" s="176"/>
    </row>
    <row r="3315" customFormat="false" ht="15" hidden="false" customHeight="true" outlineLevel="0" collapsed="false">
      <c r="B3315" s="5"/>
      <c r="C3315" s="155"/>
      <c r="D3315" s="156"/>
      <c r="F3315" s="170"/>
      <c r="G3315" s="5"/>
      <c r="H3315" s="5"/>
      <c r="I3315" s="5"/>
      <c r="J3315" s="158"/>
      <c r="K3315" s="163"/>
      <c r="L3315" s="160"/>
      <c r="M3315" s="174"/>
      <c r="N3315" s="168"/>
      <c r="O3315" s="163"/>
      <c r="P3315" s="160"/>
      <c r="Q3315" s="175"/>
      <c r="R3315" s="5"/>
      <c r="S3315" s="5"/>
      <c r="T3315" s="5"/>
      <c r="U3315" s="35"/>
      <c r="V3315" s="171"/>
      <c r="W3315" s="170"/>
      <c r="X3315" s="176"/>
    </row>
    <row r="3316" customFormat="false" ht="15" hidden="false" customHeight="true" outlineLevel="0" collapsed="false">
      <c r="B3316" s="5"/>
      <c r="C3316" s="155"/>
      <c r="D3316" s="156"/>
      <c r="F3316" s="170"/>
      <c r="G3316" s="5"/>
      <c r="H3316" s="5"/>
      <c r="I3316" s="5"/>
      <c r="J3316" s="158"/>
      <c r="K3316" s="163"/>
      <c r="L3316" s="160"/>
      <c r="M3316" s="174"/>
      <c r="N3316" s="168"/>
      <c r="O3316" s="163"/>
      <c r="P3316" s="160"/>
      <c r="Q3316" s="175"/>
      <c r="R3316" s="5"/>
      <c r="S3316" s="5"/>
      <c r="T3316" s="5"/>
      <c r="U3316" s="35"/>
      <c r="V3316" s="171"/>
      <c r="W3316" s="170"/>
      <c r="X3316" s="176"/>
    </row>
    <row r="3317" customFormat="false" ht="15" hidden="false" customHeight="true" outlineLevel="0" collapsed="false">
      <c r="B3317" s="5"/>
      <c r="C3317" s="155"/>
      <c r="D3317" s="156"/>
      <c r="F3317" s="170"/>
      <c r="G3317" s="5"/>
      <c r="H3317" s="5"/>
      <c r="I3317" s="5"/>
      <c r="J3317" s="158"/>
      <c r="K3317" s="163"/>
      <c r="L3317" s="160"/>
      <c r="M3317" s="174"/>
      <c r="N3317" s="168"/>
      <c r="O3317" s="163"/>
      <c r="P3317" s="160"/>
      <c r="Q3317" s="175"/>
      <c r="R3317" s="5"/>
      <c r="S3317" s="5"/>
      <c r="T3317" s="5"/>
      <c r="U3317" s="35"/>
      <c r="V3317" s="171"/>
      <c r="W3317" s="170"/>
      <c r="X3317" s="176"/>
    </row>
    <row r="3318" customFormat="false" ht="15" hidden="false" customHeight="true" outlineLevel="0" collapsed="false">
      <c r="B3318" s="5"/>
      <c r="C3318" s="155"/>
      <c r="D3318" s="156"/>
      <c r="F3318" s="170"/>
      <c r="G3318" s="5"/>
      <c r="H3318" s="5"/>
      <c r="I3318" s="5"/>
      <c r="J3318" s="158"/>
      <c r="K3318" s="159"/>
      <c r="L3318" s="160"/>
      <c r="M3318" s="178"/>
      <c r="N3318" s="162"/>
      <c r="O3318" s="163"/>
      <c r="P3318" s="163"/>
      <c r="Q3318" s="5"/>
      <c r="R3318" s="5"/>
      <c r="S3318" s="5"/>
      <c r="T3318" s="5"/>
      <c r="U3318" s="35"/>
      <c r="V3318" s="171"/>
    </row>
    <row r="3319" customFormat="false" ht="15" hidden="false" customHeight="true" outlineLevel="0" collapsed="false">
      <c r="B3319" s="5"/>
      <c r="C3319" s="155"/>
      <c r="D3319" s="156"/>
      <c r="F3319" s="170"/>
      <c r="G3319" s="5"/>
      <c r="H3319" s="5"/>
      <c r="I3319" s="5"/>
      <c r="J3319" s="158"/>
      <c r="K3319" s="159"/>
      <c r="L3319" s="160"/>
      <c r="M3319" s="161"/>
      <c r="N3319" s="162"/>
      <c r="O3319" s="163"/>
      <c r="P3319" s="163"/>
      <c r="Q3319" s="5"/>
      <c r="R3319" s="5"/>
      <c r="S3319" s="5"/>
      <c r="T3319" s="5"/>
      <c r="U3319" s="35"/>
      <c r="V3319" s="171"/>
      <c r="W3319" s="172"/>
      <c r="X3319" s="173"/>
    </row>
    <row r="3320" customFormat="false" ht="15" hidden="false" customHeight="true" outlineLevel="0" collapsed="false">
      <c r="B3320" s="5"/>
      <c r="C3320" s="155"/>
      <c r="D3320" s="156"/>
      <c r="F3320" s="170"/>
      <c r="G3320" s="5"/>
      <c r="H3320" s="5"/>
      <c r="I3320" s="5"/>
      <c r="J3320" s="158"/>
      <c r="K3320" s="159"/>
      <c r="L3320" s="160"/>
      <c r="M3320" s="178"/>
      <c r="N3320" s="162"/>
      <c r="O3320" s="163"/>
      <c r="P3320" s="163"/>
      <c r="Q3320" s="5"/>
      <c r="R3320" s="5"/>
      <c r="S3320" s="5"/>
      <c r="T3320" s="5"/>
      <c r="U3320" s="35"/>
      <c r="V3320" s="171"/>
      <c r="W3320" s="172"/>
      <c r="X3320" s="173"/>
    </row>
    <row r="3321" customFormat="false" ht="15" hidden="false" customHeight="true" outlineLevel="0" collapsed="false">
      <c r="B3321" s="5"/>
      <c r="C3321" s="155"/>
      <c r="D3321" s="156"/>
      <c r="F3321" s="170"/>
      <c r="G3321" s="5"/>
      <c r="H3321" s="5"/>
      <c r="I3321" s="5"/>
      <c r="J3321" s="158"/>
      <c r="K3321" s="159"/>
      <c r="L3321" s="160"/>
      <c r="M3321" s="201"/>
      <c r="N3321" s="168"/>
      <c r="O3321" s="163"/>
      <c r="P3321" s="160"/>
      <c r="Q3321" s="5"/>
      <c r="R3321" s="5"/>
      <c r="S3321" s="5"/>
      <c r="T3321" s="5"/>
      <c r="U3321" s="35"/>
      <c r="V3321" s="171"/>
    </row>
    <row r="3322" customFormat="false" ht="15" hidden="false" customHeight="true" outlineLevel="0" collapsed="false">
      <c r="B3322" s="5"/>
      <c r="C3322" s="155"/>
      <c r="D3322" s="156"/>
      <c r="F3322" s="170"/>
      <c r="G3322" s="5"/>
      <c r="H3322" s="5"/>
      <c r="I3322" s="5"/>
      <c r="J3322" s="158"/>
      <c r="K3322" s="159"/>
      <c r="L3322" s="160"/>
      <c r="M3322" s="201"/>
      <c r="N3322" s="168"/>
      <c r="O3322" s="163"/>
      <c r="P3322" s="160"/>
      <c r="Q3322" s="5"/>
      <c r="R3322" s="5"/>
      <c r="S3322" s="5"/>
      <c r="T3322" s="5"/>
      <c r="U3322" s="35"/>
      <c r="V3322" s="171"/>
    </row>
    <row r="3323" customFormat="false" ht="15" hidden="false" customHeight="true" outlineLevel="0" collapsed="false">
      <c r="B3323" s="5"/>
      <c r="C3323" s="155"/>
      <c r="D3323" s="156"/>
      <c r="F3323" s="170"/>
      <c r="G3323" s="5"/>
      <c r="H3323" s="5"/>
      <c r="I3323" s="5"/>
      <c r="J3323" s="158"/>
      <c r="K3323" s="159"/>
      <c r="L3323" s="160"/>
      <c r="M3323" s="201"/>
      <c r="N3323" s="168"/>
      <c r="O3323" s="163"/>
      <c r="P3323" s="160"/>
      <c r="Q3323" s="5"/>
      <c r="R3323" s="5"/>
      <c r="S3323" s="5"/>
      <c r="T3323" s="5"/>
      <c r="U3323" s="35"/>
      <c r="V3323" s="171"/>
    </row>
    <row r="3324" customFormat="false" ht="15" hidden="false" customHeight="true" outlineLevel="0" collapsed="false">
      <c r="B3324" s="5"/>
      <c r="C3324" s="155"/>
      <c r="D3324" s="156"/>
      <c r="F3324" s="157"/>
      <c r="G3324" s="5"/>
      <c r="H3324" s="5"/>
      <c r="I3324" s="5"/>
      <c r="J3324" s="158"/>
      <c r="K3324" s="159"/>
      <c r="L3324" s="160"/>
      <c r="M3324" s="177"/>
      <c r="N3324" s="162"/>
      <c r="O3324" s="163"/>
      <c r="P3324" s="163"/>
      <c r="Q3324" s="158"/>
      <c r="R3324" s="5"/>
      <c r="S3324" s="5"/>
      <c r="T3324" s="5"/>
      <c r="U3324" s="35"/>
      <c r="V3324" s="171"/>
    </row>
    <row r="3325" customFormat="false" ht="15" hidden="false" customHeight="true" outlineLevel="0" collapsed="false">
      <c r="B3325" s="5"/>
      <c r="C3325" s="155"/>
      <c r="D3325" s="156"/>
      <c r="F3325" s="157"/>
      <c r="G3325" s="5"/>
      <c r="H3325" s="5"/>
      <c r="I3325" s="5"/>
      <c r="J3325" s="158"/>
      <c r="K3325" s="159"/>
      <c r="L3325" s="160"/>
      <c r="M3325" s="161"/>
      <c r="N3325" s="162"/>
      <c r="O3325" s="163"/>
      <c r="P3325" s="163"/>
      <c r="Q3325" s="158"/>
      <c r="R3325" s="5"/>
      <c r="S3325" s="5"/>
      <c r="T3325" s="5"/>
      <c r="U3325" s="35"/>
      <c r="V3325" s="171"/>
    </row>
    <row r="3326" customFormat="false" ht="15" hidden="false" customHeight="true" outlineLevel="0" collapsed="false">
      <c r="B3326" s="5"/>
      <c r="C3326" s="155"/>
      <c r="D3326" s="156"/>
      <c r="F3326" s="157"/>
      <c r="G3326" s="5"/>
      <c r="H3326" s="5"/>
      <c r="I3326" s="5"/>
      <c r="J3326" s="158"/>
      <c r="K3326" s="159"/>
      <c r="L3326" s="160"/>
      <c r="M3326" s="161"/>
      <c r="N3326" s="162"/>
      <c r="O3326" s="163"/>
      <c r="P3326" s="163"/>
      <c r="Q3326" s="158"/>
      <c r="R3326" s="5"/>
      <c r="S3326" s="5"/>
      <c r="T3326" s="5"/>
      <c r="U3326" s="35"/>
      <c r="V3326" s="171"/>
    </row>
    <row r="3327" customFormat="false" ht="15" hidden="false" customHeight="true" outlineLevel="0" collapsed="false">
      <c r="B3327" s="5"/>
      <c r="C3327" s="155"/>
      <c r="D3327" s="156"/>
      <c r="F3327" s="157"/>
      <c r="G3327" s="5"/>
      <c r="H3327" s="5"/>
      <c r="I3327" s="5"/>
      <c r="J3327" s="158"/>
      <c r="K3327" s="159"/>
      <c r="L3327" s="160"/>
      <c r="M3327" s="161"/>
      <c r="N3327" s="162"/>
      <c r="O3327" s="163"/>
      <c r="P3327" s="163"/>
      <c r="Q3327" s="158"/>
      <c r="R3327" s="5"/>
      <c r="S3327" s="5"/>
      <c r="T3327" s="5"/>
      <c r="U3327" s="35"/>
      <c r="V3327" s="164"/>
    </row>
    <row r="3328" customFormat="false" ht="15" hidden="false" customHeight="true" outlineLevel="0" collapsed="false">
      <c r="B3328" s="5"/>
      <c r="C3328" s="155"/>
      <c r="D3328" s="156"/>
      <c r="F3328" s="157"/>
      <c r="G3328" s="5"/>
      <c r="H3328" s="5"/>
      <c r="I3328" s="5"/>
      <c r="J3328" s="158"/>
      <c r="K3328" s="159"/>
      <c r="L3328" s="160"/>
      <c r="M3328" s="161"/>
      <c r="N3328" s="162"/>
      <c r="O3328" s="163"/>
      <c r="P3328" s="163"/>
      <c r="Q3328" s="158"/>
      <c r="R3328" s="5"/>
      <c r="S3328" s="5"/>
      <c r="T3328" s="5"/>
      <c r="U3328" s="35"/>
      <c r="V3328" s="164"/>
    </row>
    <row r="3329" customFormat="false" ht="15" hidden="false" customHeight="true" outlineLevel="0" collapsed="false">
      <c r="B3329" s="5"/>
      <c r="C3329" s="155"/>
      <c r="D3329" s="156"/>
      <c r="F3329" s="157"/>
      <c r="G3329" s="5"/>
      <c r="H3329" s="5"/>
      <c r="I3329" s="5"/>
      <c r="J3329" s="158"/>
      <c r="K3329" s="159"/>
      <c r="L3329" s="160"/>
      <c r="M3329" s="161"/>
      <c r="N3329" s="162"/>
      <c r="O3329" s="163"/>
      <c r="P3329" s="163"/>
      <c r="Q3329" s="158"/>
      <c r="R3329" s="5"/>
      <c r="S3329" s="5"/>
      <c r="T3329" s="5"/>
      <c r="U3329" s="35"/>
      <c r="V3329" s="164"/>
    </row>
    <row r="3330" customFormat="false" ht="15" hidden="false" customHeight="true" outlineLevel="0" collapsed="false">
      <c r="B3330" s="5"/>
      <c r="C3330" s="155"/>
      <c r="D3330" s="156"/>
      <c r="F3330" s="157"/>
      <c r="G3330" s="5"/>
      <c r="H3330" s="5"/>
      <c r="I3330" s="5"/>
      <c r="J3330" s="158"/>
      <c r="K3330" s="159"/>
      <c r="L3330" s="160"/>
      <c r="M3330" s="161"/>
      <c r="N3330" s="162"/>
      <c r="O3330" s="163"/>
      <c r="P3330" s="163"/>
      <c r="Q3330" s="158"/>
      <c r="R3330" s="5"/>
      <c r="S3330" s="5"/>
      <c r="T3330" s="5"/>
      <c r="U3330" s="35"/>
      <c r="V3330" s="164"/>
    </row>
    <row r="3331" customFormat="false" ht="15" hidden="false" customHeight="true" outlineLevel="0" collapsed="false">
      <c r="B3331" s="5"/>
      <c r="C3331" s="155"/>
      <c r="D3331" s="156"/>
      <c r="F3331" s="157"/>
      <c r="G3331" s="5"/>
      <c r="H3331" s="5"/>
      <c r="I3331" s="5"/>
      <c r="J3331" s="158"/>
      <c r="K3331" s="159"/>
      <c r="L3331" s="160"/>
      <c r="M3331" s="161"/>
      <c r="N3331" s="162"/>
      <c r="O3331" s="163"/>
      <c r="P3331" s="163"/>
      <c r="Q3331" s="158"/>
      <c r="R3331" s="5"/>
      <c r="S3331" s="5"/>
      <c r="T3331" s="5"/>
      <c r="U3331" s="35"/>
      <c r="V3331" s="164"/>
    </row>
    <row r="3332" customFormat="false" ht="15" hidden="false" customHeight="true" outlineLevel="0" collapsed="false">
      <c r="C3332" s="155"/>
      <c r="D3332" s="156"/>
      <c r="F3332" s="157"/>
      <c r="G3332" s="5"/>
      <c r="H3332" s="165"/>
      <c r="I3332" s="165"/>
      <c r="J3332" s="158"/>
      <c r="K3332" s="159"/>
      <c r="L3332" s="166"/>
      <c r="M3332" s="167"/>
      <c r="N3332" s="168"/>
      <c r="O3332" s="163"/>
      <c r="P3332" s="163"/>
      <c r="Q3332" s="158"/>
      <c r="R3332" s="5"/>
      <c r="S3332" s="169"/>
      <c r="T3332" s="158"/>
      <c r="U3332" s="35"/>
      <c r="V3332" s="164"/>
    </row>
    <row r="3333" customFormat="false" ht="15" hidden="false" customHeight="true" outlineLevel="0" collapsed="false">
      <c r="C3333" s="155"/>
      <c r="D3333" s="156"/>
      <c r="F3333" s="157"/>
      <c r="G3333" s="5"/>
      <c r="H3333" s="165"/>
      <c r="I3333" s="165"/>
      <c r="J3333" s="158"/>
      <c r="K3333" s="159"/>
      <c r="L3333" s="166"/>
      <c r="M3333" s="167"/>
      <c r="N3333" s="168"/>
      <c r="O3333" s="163"/>
      <c r="P3333" s="163"/>
      <c r="Q3333" s="158"/>
      <c r="R3333" s="5"/>
      <c r="S3333" s="169"/>
      <c r="T3333" s="158"/>
      <c r="U3333" s="35"/>
      <c r="V3333" s="164"/>
    </row>
    <row r="3334" customFormat="false" ht="15" hidden="false" customHeight="true" outlineLevel="0" collapsed="false">
      <c r="B3334" s="5"/>
      <c r="C3334" s="155"/>
      <c r="D3334" s="156"/>
      <c r="F3334" s="170"/>
      <c r="G3334" s="5"/>
      <c r="H3334" s="5"/>
      <c r="I3334" s="5"/>
      <c r="J3334" s="158"/>
      <c r="K3334" s="163"/>
      <c r="L3334" s="160"/>
      <c r="M3334" s="174"/>
      <c r="N3334" s="168"/>
      <c r="O3334" s="160"/>
      <c r="P3334" s="160"/>
      <c r="Q3334" s="175"/>
      <c r="R3334" s="5"/>
      <c r="S3334" s="5"/>
      <c r="T3334" s="5"/>
      <c r="U3334" s="165"/>
      <c r="V3334" s="171"/>
      <c r="W3334" s="116"/>
      <c r="X3334" s="116"/>
      <c r="Y3334" s="116"/>
    </row>
    <row r="3335" customFormat="false" ht="15" hidden="false" customHeight="true" outlineLevel="0" collapsed="false">
      <c r="B3335" s="5"/>
      <c r="C3335" s="155"/>
      <c r="D3335" s="156"/>
      <c r="F3335" s="170"/>
      <c r="G3335" s="5"/>
      <c r="H3335" s="5"/>
      <c r="I3335" s="5"/>
      <c r="J3335" s="158"/>
      <c r="K3335" s="163"/>
      <c r="L3335" s="160"/>
      <c r="M3335" s="174"/>
      <c r="N3335" s="168"/>
      <c r="O3335" s="163"/>
      <c r="P3335" s="160"/>
      <c r="Q3335" s="175"/>
      <c r="R3335" s="5"/>
      <c r="S3335" s="5"/>
      <c r="T3335" s="5"/>
      <c r="U3335" s="35"/>
      <c r="V3335" s="171"/>
      <c r="W3335" s="170"/>
      <c r="X3335" s="176"/>
    </row>
    <row r="3336" customFormat="false" ht="15" hidden="false" customHeight="true" outlineLevel="0" collapsed="false">
      <c r="B3336" s="5"/>
      <c r="C3336" s="155"/>
      <c r="D3336" s="156"/>
      <c r="F3336" s="170"/>
      <c r="G3336" s="5"/>
      <c r="H3336" s="5"/>
      <c r="I3336" s="5"/>
      <c r="J3336" s="158"/>
      <c r="K3336" s="163"/>
      <c r="L3336" s="160"/>
      <c r="M3336" s="174"/>
      <c r="N3336" s="168"/>
      <c r="O3336" s="163"/>
      <c r="P3336" s="160"/>
      <c r="Q3336" s="175"/>
      <c r="R3336" s="5"/>
      <c r="S3336" s="5"/>
      <c r="T3336" s="5"/>
      <c r="U3336" s="35"/>
      <c r="V3336" s="171"/>
      <c r="W3336" s="170"/>
      <c r="X3336" s="176"/>
    </row>
    <row r="3337" customFormat="false" ht="15" hidden="false" customHeight="true" outlineLevel="0" collapsed="false">
      <c r="B3337" s="5"/>
      <c r="C3337" s="155"/>
      <c r="D3337" s="156"/>
      <c r="F3337" s="170"/>
      <c r="G3337" s="5"/>
      <c r="H3337" s="5"/>
      <c r="I3337" s="5"/>
      <c r="J3337" s="158"/>
      <c r="K3337" s="163"/>
      <c r="L3337" s="160"/>
      <c r="M3337" s="174"/>
      <c r="N3337" s="168"/>
      <c r="O3337" s="163"/>
      <c r="P3337" s="160"/>
      <c r="Q3337" s="175"/>
      <c r="R3337" s="5"/>
      <c r="S3337" s="5"/>
      <c r="T3337" s="5"/>
      <c r="U3337" s="35"/>
      <c r="V3337" s="171"/>
      <c r="W3337" s="170"/>
      <c r="X3337" s="176"/>
    </row>
    <row r="3338" customFormat="false" ht="15" hidden="false" customHeight="true" outlineLevel="0" collapsed="false">
      <c r="B3338" s="5"/>
      <c r="C3338" s="155"/>
      <c r="D3338" s="156"/>
      <c r="F3338" s="170"/>
      <c r="G3338" s="5"/>
      <c r="H3338" s="5"/>
      <c r="I3338" s="5"/>
      <c r="J3338" s="158"/>
      <c r="K3338" s="163"/>
      <c r="L3338" s="160"/>
      <c r="M3338" s="174"/>
      <c r="N3338" s="168"/>
      <c r="O3338" s="163"/>
      <c r="P3338" s="160"/>
      <c r="Q3338" s="175"/>
      <c r="R3338" s="5"/>
      <c r="S3338" s="5"/>
      <c r="T3338" s="5"/>
      <c r="U3338" s="35"/>
      <c r="V3338" s="171"/>
      <c r="W3338" s="170"/>
      <c r="X3338" s="176"/>
    </row>
    <row r="3339" customFormat="false" ht="15" hidden="false" customHeight="true" outlineLevel="0" collapsed="false">
      <c r="B3339" s="5"/>
      <c r="C3339" s="155"/>
      <c r="D3339" s="156"/>
      <c r="F3339" s="170"/>
      <c r="G3339" s="5"/>
      <c r="H3339" s="5"/>
      <c r="I3339" s="5"/>
      <c r="J3339" s="158"/>
      <c r="K3339" s="159"/>
      <c r="L3339" s="160"/>
      <c r="M3339" s="174"/>
      <c r="N3339" s="168"/>
      <c r="O3339" s="163"/>
      <c r="P3339" s="160"/>
      <c r="Q3339" s="175"/>
      <c r="R3339" s="5"/>
      <c r="S3339" s="5"/>
      <c r="T3339" s="5"/>
      <c r="U3339" s="35"/>
      <c r="V3339" s="171"/>
    </row>
    <row r="3340" customFormat="false" ht="15" hidden="false" customHeight="true" outlineLevel="0" collapsed="false">
      <c r="B3340" s="5"/>
      <c r="C3340" s="155"/>
      <c r="D3340" s="156"/>
      <c r="F3340" s="170"/>
      <c r="G3340" s="5"/>
      <c r="H3340" s="5"/>
      <c r="I3340" s="5"/>
      <c r="J3340" s="158"/>
      <c r="K3340" s="159"/>
      <c r="L3340" s="160"/>
      <c r="M3340" s="174"/>
      <c r="N3340" s="168"/>
      <c r="O3340" s="163"/>
      <c r="P3340" s="160"/>
      <c r="Q3340" s="175"/>
      <c r="R3340" s="5"/>
      <c r="S3340" s="5"/>
      <c r="T3340" s="5"/>
      <c r="U3340" s="35"/>
      <c r="V3340" s="171"/>
    </row>
    <row r="3341" customFormat="false" ht="15" hidden="false" customHeight="true" outlineLevel="0" collapsed="false">
      <c r="B3341" s="5"/>
      <c r="C3341" s="155"/>
      <c r="D3341" s="156"/>
      <c r="F3341" s="157"/>
      <c r="G3341" s="5"/>
      <c r="H3341" s="5"/>
      <c r="I3341" s="5"/>
      <c r="J3341" s="158"/>
      <c r="K3341" s="159"/>
      <c r="L3341" s="160"/>
      <c r="M3341" s="161"/>
      <c r="N3341" s="162"/>
      <c r="O3341" s="163"/>
      <c r="P3341" s="163"/>
      <c r="Q3341" s="158"/>
      <c r="R3341" s="5"/>
      <c r="S3341" s="5"/>
      <c r="T3341" s="5"/>
      <c r="U3341" s="35"/>
      <c r="V3341" s="171"/>
    </row>
    <row r="3342" customFormat="false" ht="15" hidden="false" customHeight="true" outlineLevel="0" collapsed="false">
      <c r="B3342" s="5"/>
      <c r="C3342" s="155"/>
      <c r="D3342" s="156"/>
      <c r="F3342" s="157"/>
      <c r="G3342" s="5"/>
      <c r="H3342" s="5"/>
      <c r="I3342" s="5"/>
      <c r="J3342" s="158"/>
      <c r="K3342" s="159"/>
      <c r="L3342" s="160"/>
      <c r="M3342" s="161"/>
      <c r="N3342" s="162"/>
      <c r="O3342" s="163"/>
      <c r="P3342" s="163"/>
      <c r="Q3342" s="158"/>
      <c r="R3342" s="5"/>
      <c r="S3342" s="5"/>
      <c r="T3342" s="5"/>
      <c r="U3342" s="35"/>
      <c r="V3342" s="171"/>
    </row>
    <row r="3343" customFormat="false" ht="15" hidden="false" customHeight="true" outlineLevel="0" collapsed="false">
      <c r="B3343" s="5"/>
      <c r="C3343" s="155"/>
      <c r="D3343" s="156"/>
      <c r="F3343" s="157"/>
      <c r="G3343" s="5"/>
      <c r="H3343" s="5"/>
      <c r="I3343" s="5"/>
      <c r="J3343" s="158"/>
      <c r="K3343" s="159"/>
      <c r="L3343" s="160"/>
      <c r="M3343" s="177"/>
      <c r="N3343" s="162"/>
      <c r="O3343" s="163"/>
      <c r="P3343" s="163"/>
      <c r="Q3343" s="158"/>
      <c r="R3343" s="5"/>
      <c r="S3343" s="5"/>
      <c r="T3343" s="5"/>
      <c r="U3343" s="35"/>
      <c r="V3343" s="171"/>
    </row>
    <row r="3344" customFormat="false" ht="15" hidden="false" customHeight="true" outlineLevel="0" collapsed="false">
      <c r="B3344" s="5"/>
      <c r="C3344" s="155"/>
      <c r="D3344" s="156"/>
      <c r="F3344" s="157"/>
      <c r="G3344" s="5"/>
      <c r="H3344" s="5"/>
      <c r="I3344" s="5"/>
      <c r="J3344" s="158"/>
      <c r="K3344" s="159"/>
      <c r="L3344" s="160"/>
      <c r="M3344" s="161"/>
      <c r="N3344" s="162"/>
      <c r="O3344" s="163"/>
      <c r="P3344" s="163"/>
      <c r="Q3344" s="158"/>
      <c r="R3344" s="5"/>
      <c r="S3344" s="5"/>
      <c r="T3344" s="5"/>
      <c r="U3344" s="35"/>
      <c r="V3344" s="171"/>
    </row>
    <row r="3345" customFormat="false" ht="15" hidden="false" customHeight="true" outlineLevel="0" collapsed="false">
      <c r="B3345" s="5"/>
      <c r="C3345" s="155"/>
      <c r="D3345" s="156"/>
      <c r="F3345" s="157"/>
      <c r="G3345" s="5"/>
      <c r="H3345" s="5"/>
      <c r="I3345" s="5"/>
      <c r="J3345" s="158"/>
      <c r="K3345" s="159"/>
      <c r="L3345" s="160"/>
      <c r="M3345" s="161"/>
      <c r="N3345" s="162"/>
      <c r="O3345" s="163"/>
      <c r="P3345" s="163"/>
      <c r="Q3345" s="158"/>
      <c r="R3345" s="5"/>
      <c r="S3345" s="5"/>
      <c r="T3345" s="5"/>
      <c r="U3345" s="35"/>
      <c r="V3345" s="164"/>
    </row>
    <row r="3346" customFormat="false" ht="15" hidden="false" customHeight="true" outlineLevel="0" collapsed="false">
      <c r="B3346" s="5"/>
      <c r="C3346" s="155"/>
      <c r="D3346" s="156"/>
      <c r="F3346" s="157"/>
      <c r="G3346" s="5"/>
      <c r="H3346" s="5"/>
      <c r="I3346" s="5"/>
      <c r="J3346" s="158"/>
      <c r="K3346" s="159"/>
      <c r="L3346" s="160"/>
      <c r="M3346" s="161"/>
      <c r="N3346" s="162"/>
      <c r="O3346" s="163"/>
      <c r="P3346" s="163"/>
      <c r="Q3346" s="158"/>
      <c r="R3346" s="5"/>
      <c r="S3346" s="5"/>
      <c r="T3346" s="5"/>
      <c r="U3346" s="35"/>
      <c r="V3346" s="164"/>
    </row>
    <row r="3347" customFormat="false" ht="15" hidden="false" customHeight="true" outlineLevel="0" collapsed="false">
      <c r="B3347" s="5"/>
      <c r="C3347" s="155"/>
      <c r="D3347" s="156"/>
      <c r="F3347" s="157"/>
      <c r="G3347" s="5"/>
      <c r="H3347" s="5"/>
      <c r="I3347" s="5"/>
      <c r="J3347" s="158"/>
      <c r="K3347" s="159"/>
      <c r="L3347" s="160"/>
      <c r="M3347" s="161"/>
      <c r="N3347" s="162"/>
      <c r="O3347" s="163"/>
      <c r="P3347" s="163"/>
      <c r="Q3347" s="158"/>
      <c r="R3347" s="5"/>
      <c r="S3347" s="5"/>
      <c r="T3347" s="5"/>
      <c r="U3347" s="35"/>
      <c r="V3347" s="164"/>
    </row>
    <row r="3348" customFormat="false" ht="15" hidden="false" customHeight="true" outlineLevel="0" collapsed="false">
      <c r="B3348" s="5"/>
      <c r="C3348" s="155"/>
      <c r="D3348" s="156"/>
      <c r="F3348" s="157"/>
      <c r="G3348" s="5"/>
      <c r="H3348" s="5"/>
      <c r="I3348" s="5"/>
      <c r="J3348" s="158"/>
      <c r="K3348" s="159"/>
      <c r="L3348" s="160"/>
      <c r="M3348" s="161"/>
      <c r="N3348" s="162"/>
      <c r="O3348" s="163"/>
      <c r="P3348" s="163"/>
      <c r="Q3348" s="158"/>
      <c r="R3348" s="5"/>
      <c r="S3348" s="5"/>
      <c r="T3348" s="5"/>
      <c r="U3348" s="35"/>
      <c r="V3348" s="164"/>
      <c r="Z3348" s="157"/>
      <c r="AA3348" s="5"/>
      <c r="AB3348" s="165"/>
      <c r="AC3348" s="165"/>
      <c r="AD3348" s="158"/>
      <c r="AE3348" s="199"/>
      <c r="AF3348" s="200"/>
      <c r="AG3348" s="167"/>
      <c r="AH3348" s="168"/>
      <c r="AI3348" s="168"/>
      <c r="AJ3348" s="168"/>
      <c r="AK3348" s="158"/>
      <c r="AL3348" s="5"/>
      <c r="AM3348" s="169"/>
      <c r="AN3348" s="158"/>
      <c r="AO3348" s="35"/>
      <c r="AP3348" s="164"/>
      <c r="AQ3348" s="2"/>
      <c r="AR3348" s="171"/>
      <c r="AS3348" s="5"/>
      <c r="AT3348" s="5"/>
      <c r="AU3348" s="157"/>
      <c r="AV3348" s="5"/>
      <c r="AW3348" s="165"/>
      <c r="AX3348" s="165"/>
      <c r="AY3348" s="158"/>
      <c r="AZ3348" s="199"/>
      <c r="BA3348" s="200"/>
      <c r="BB3348" s="167"/>
      <c r="BC3348" s="168"/>
      <c r="BD3348" s="168"/>
      <c r="BE3348" s="168"/>
      <c r="BF3348" s="158"/>
      <c r="BG3348" s="5"/>
      <c r="BH3348" s="169"/>
      <c r="BI3348" s="158"/>
      <c r="BJ3348" s="35"/>
      <c r="BK3348" s="164"/>
      <c r="BL3348" s="2"/>
      <c r="BM3348" s="171"/>
      <c r="BN3348" s="5"/>
      <c r="BO3348" s="5"/>
      <c r="BP3348" s="157"/>
      <c r="BQ3348" s="5"/>
      <c r="BR3348" s="165"/>
      <c r="BS3348" s="165"/>
      <c r="BT3348" s="158"/>
      <c r="BU3348" s="199"/>
      <c r="BV3348" s="200"/>
      <c r="BW3348" s="167"/>
      <c r="BX3348" s="168"/>
      <c r="BY3348" s="168"/>
      <c r="BZ3348" s="168"/>
      <c r="CA3348" s="158"/>
      <c r="CB3348" s="5"/>
      <c r="CC3348" s="169"/>
      <c r="CD3348" s="158"/>
      <c r="CE3348" s="35"/>
      <c r="CF3348" s="164"/>
      <c r="CG3348" s="2"/>
      <c r="CH3348" s="171"/>
      <c r="CI3348" s="5"/>
      <c r="CJ3348" s="5"/>
      <c r="CK3348" s="157"/>
      <c r="CL3348" s="5"/>
      <c r="CM3348" s="165"/>
      <c r="CN3348" s="165"/>
      <c r="CO3348" s="158"/>
      <c r="CP3348" s="199"/>
      <c r="CQ3348" s="200"/>
      <c r="CR3348" s="167"/>
      <c r="CS3348" s="168"/>
      <c r="CT3348" s="168"/>
      <c r="CU3348" s="168"/>
      <c r="CV3348" s="158"/>
      <c r="CW3348" s="5"/>
      <c r="CX3348" s="169"/>
      <c r="CY3348" s="158"/>
      <c r="CZ3348" s="35"/>
      <c r="DA3348" s="164"/>
      <c r="DB3348" s="2"/>
      <c r="DC3348" s="171"/>
      <c r="DD3348" s="5"/>
      <c r="DE3348" s="5"/>
      <c r="DF3348" s="157"/>
      <c r="DG3348" s="5"/>
      <c r="DH3348" s="165"/>
      <c r="DI3348" s="165"/>
      <c r="DJ3348" s="158"/>
      <c r="DK3348" s="199"/>
      <c r="DL3348" s="200"/>
      <c r="DM3348" s="167"/>
      <c r="DN3348" s="168"/>
      <c r="DO3348" s="168"/>
      <c r="DP3348" s="168"/>
      <c r="DQ3348" s="158"/>
      <c r="DR3348" s="5"/>
      <c r="DS3348" s="169"/>
      <c r="DT3348" s="158"/>
      <c r="DU3348" s="35"/>
      <c r="DV3348" s="164"/>
      <c r="DW3348" s="2"/>
      <c r="DX3348" s="171"/>
      <c r="DY3348" s="5"/>
      <c r="DZ3348" s="5"/>
    </row>
    <row r="3349" customFormat="false" ht="15" hidden="false" customHeight="true" outlineLevel="0" collapsed="false">
      <c r="C3349" s="155"/>
      <c r="D3349" s="156"/>
      <c r="F3349" s="157"/>
      <c r="G3349" s="5"/>
      <c r="H3349" s="165"/>
      <c r="I3349" s="165"/>
      <c r="J3349" s="158"/>
      <c r="K3349" s="159"/>
      <c r="L3349" s="166"/>
      <c r="M3349" s="167"/>
      <c r="N3349" s="168"/>
      <c r="O3349" s="163"/>
      <c r="P3349" s="163"/>
      <c r="Q3349" s="158"/>
      <c r="R3349" s="5"/>
      <c r="S3349" s="169"/>
      <c r="T3349" s="158"/>
      <c r="U3349" s="35"/>
      <c r="V3349" s="164"/>
    </row>
    <row r="3350" customFormat="false" ht="15" hidden="false" customHeight="true" outlineLevel="0" collapsed="false">
      <c r="C3350" s="155"/>
      <c r="D3350" s="156"/>
      <c r="F3350" s="157"/>
      <c r="G3350" s="5"/>
      <c r="H3350" s="165"/>
      <c r="I3350" s="165"/>
      <c r="J3350" s="158"/>
      <c r="K3350" s="159"/>
      <c r="L3350" s="166"/>
      <c r="M3350" s="167"/>
      <c r="N3350" s="168"/>
      <c r="O3350" s="163"/>
      <c r="P3350" s="163"/>
      <c r="Q3350" s="158"/>
      <c r="R3350" s="5"/>
      <c r="S3350" s="169"/>
      <c r="T3350" s="158"/>
      <c r="U3350" s="35"/>
      <c r="V3350" s="164"/>
    </row>
    <row r="3351" customFormat="false" ht="15" hidden="false" customHeight="true" outlineLevel="0" collapsed="false">
      <c r="C3351" s="155"/>
      <c r="D3351" s="156"/>
      <c r="F3351" s="157"/>
      <c r="G3351" s="5"/>
      <c r="H3351" s="165"/>
      <c r="I3351" s="165"/>
      <c r="J3351" s="158"/>
      <c r="K3351" s="159"/>
      <c r="L3351" s="166"/>
      <c r="M3351" s="167"/>
      <c r="N3351" s="168"/>
      <c r="O3351" s="163"/>
      <c r="P3351" s="163"/>
      <c r="Q3351" s="158"/>
      <c r="R3351" s="5"/>
      <c r="S3351" s="169"/>
      <c r="T3351" s="158"/>
      <c r="U3351" s="35"/>
      <c r="V3351" s="164"/>
    </row>
    <row r="3352" customFormat="false" ht="15" hidden="false" customHeight="true" outlineLevel="0" collapsed="false">
      <c r="B3352" s="5"/>
      <c r="C3352" s="155"/>
      <c r="D3352" s="156"/>
      <c r="F3352" s="170"/>
      <c r="G3352" s="5"/>
      <c r="H3352" s="5"/>
      <c r="I3352" s="5"/>
      <c r="J3352" s="158"/>
      <c r="K3352" s="159"/>
      <c r="L3352" s="160"/>
      <c r="M3352" s="161"/>
      <c r="N3352" s="162"/>
      <c r="O3352" s="163"/>
      <c r="P3352" s="163"/>
      <c r="Q3352" s="5"/>
      <c r="R3352" s="5"/>
      <c r="S3352" s="5"/>
      <c r="T3352" s="5"/>
      <c r="U3352" s="35"/>
      <c r="V3352" s="171"/>
      <c r="W3352" s="172"/>
      <c r="X3352" s="173"/>
    </row>
    <row r="3353" customFormat="false" ht="15" hidden="false" customHeight="true" outlineLevel="0" collapsed="false">
      <c r="B3353" s="5"/>
      <c r="C3353" s="155"/>
      <c r="D3353" s="156"/>
      <c r="F3353" s="157"/>
      <c r="G3353" s="5"/>
      <c r="H3353" s="5"/>
      <c r="I3353" s="5"/>
      <c r="J3353" s="158"/>
      <c r="K3353" s="159"/>
      <c r="L3353" s="160"/>
      <c r="M3353" s="161"/>
      <c r="N3353" s="162"/>
      <c r="O3353" s="163"/>
      <c r="P3353" s="163"/>
      <c r="Q3353" s="158"/>
      <c r="R3353" s="5"/>
      <c r="S3353" s="5"/>
      <c r="T3353" s="5"/>
      <c r="U3353" s="35"/>
      <c r="V3353" s="164"/>
    </row>
    <row r="3354" customFormat="false" ht="15" hidden="false" customHeight="true" outlineLevel="0" collapsed="false">
      <c r="C3354" s="155"/>
      <c r="D3354" s="156"/>
      <c r="F3354" s="157"/>
      <c r="G3354" s="5"/>
      <c r="H3354" s="165"/>
      <c r="I3354" s="165"/>
      <c r="J3354" s="158"/>
      <c r="K3354" s="159"/>
      <c r="L3354" s="166"/>
      <c r="M3354" s="167"/>
      <c r="N3354" s="168"/>
      <c r="O3354" s="163"/>
      <c r="P3354" s="163"/>
      <c r="Q3354" s="158"/>
      <c r="R3354" s="5"/>
      <c r="S3354" s="169"/>
      <c r="T3354" s="158"/>
      <c r="U3354" s="35"/>
      <c r="V3354" s="164"/>
    </row>
    <row r="3355" customFormat="false" ht="15" hidden="false" customHeight="true" outlineLevel="0" collapsed="false">
      <c r="B3355" s="5"/>
      <c r="C3355" s="155"/>
      <c r="D3355" s="156"/>
      <c r="F3355" s="157"/>
      <c r="G3355" s="5"/>
      <c r="H3355" s="5"/>
      <c r="I3355" s="5"/>
      <c r="J3355" s="158"/>
      <c r="K3355" s="159"/>
      <c r="L3355" s="160"/>
      <c r="M3355" s="161"/>
      <c r="N3355" s="162"/>
      <c r="O3355" s="163"/>
      <c r="P3355" s="163"/>
      <c r="Q3355" s="158"/>
      <c r="R3355" s="5"/>
      <c r="S3355" s="5"/>
      <c r="T3355" s="5"/>
      <c r="U3355" s="35"/>
      <c r="V3355" s="171"/>
    </row>
    <row r="3356" customFormat="false" ht="15" hidden="false" customHeight="true" outlineLevel="0" collapsed="false">
      <c r="B3356" s="5"/>
      <c r="C3356" s="155"/>
      <c r="D3356" s="156"/>
      <c r="F3356" s="157"/>
      <c r="G3356" s="5"/>
      <c r="H3356" s="5"/>
      <c r="I3356" s="5"/>
      <c r="J3356" s="158"/>
      <c r="K3356" s="159"/>
      <c r="L3356" s="160"/>
      <c r="M3356" s="161"/>
      <c r="N3356" s="162"/>
      <c r="O3356" s="163"/>
      <c r="P3356" s="163"/>
      <c r="Q3356" s="158"/>
      <c r="R3356" s="5"/>
      <c r="S3356" s="5"/>
      <c r="T3356" s="5"/>
      <c r="U3356" s="35"/>
      <c r="V3356" s="171"/>
    </row>
    <row r="3357" customFormat="false" ht="15" hidden="false" customHeight="true" outlineLevel="0" collapsed="false">
      <c r="B3357" s="5"/>
      <c r="C3357" s="155"/>
      <c r="D3357" s="156"/>
      <c r="F3357" s="157"/>
      <c r="G3357" s="5"/>
      <c r="H3357" s="5"/>
      <c r="I3357" s="5"/>
      <c r="J3357" s="158"/>
      <c r="K3357" s="159"/>
      <c r="L3357" s="160"/>
      <c r="M3357" s="161"/>
      <c r="N3357" s="162"/>
      <c r="O3357" s="163"/>
      <c r="P3357" s="163"/>
      <c r="Q3357" s="158"/>
      <c r="R3357" s="5"/>
      <c r="S3357" s="5"/>
      <c r="T3357" s="5"/>
      <c r="U3357" s="35"/>
      <c r="V3357" s="164"/>
    </row>
    <row r="3358" customFormat="false" ht="15" hidden="false" customHeight="true" outlineLevel="0" collapsed="false">
      <c r="B3358" s="5"/>
      <c r="C3358" s="155"/>
      <c r="D3358" s="156"/>
      <c r="F3358" s="157"/>
      <c r="G3358" s="5"/>
      <c r="H3358" s="5"/>
      <c r="I3358" s="5"/>
      <c r="J3358" s="179"/>
      <c r="K3358" s="159"/>
      <c r="L3358" s="160"/>
      <c r="M3358" s="161"/>
      <c r="N3358" s="162"/>
      <c r="O3358" s="163"/>
      <c r="P3358" s="163"/>
      <c r="Q3358" s="158"/>
      <c r="R3358" s="5"/>
      <c r="S3358" s="5"/>
      <c r="T3358" s="5"/>
      <c r="U3358" s="35"/>
      <c r="V3358" s="164"/>
    </row>
    <row r="3359" customFormat="false" ht="15" hidden="false" customHeight="true" outlineLevel="0" collapsed="false">
      <c r="C3359" s="155"/>
      <c r="D3359" s="156"/>
      <c r="F3359" s="157"/>
      <c r="G3359" s="5"/>
      <c r="H3359" s="165"/>
      <c r="I3359" s="165"/>
      <c r="J3359" s="158"/>
      <c r="K3359" s="159"/>
      <c r="L3359" s="166"/>
      <c r="M3359" s="167"/>
      <c r="N3359" s="168"/>
      <c r="O3359" s="163"/>
      <c r="P3359" s="163"/>
      <c r="Q3359" s="158"/>
      <c r="R3359" s="5"/>
      <c r="S3359" s="169"/>
      <c r="T3359" s="158"/>
      <c r="U3359" s="35"/>
      <c r="V3359" s="164"/>
    </row>
    <row r="3360" customFormat="false" ht="15" hidden="false" customHeight="true" outlineLevel="0" collapsed="false">
      <c r="C3360" s="155"/>
      <c r="D3360" s="156"/>
      <c r="F3360" s="157"/>
      <c r="G3360" s="5"/>
      <c r="H3360" s="165"/>
      <c r="I3360" s="165"/>
      <c r="J3360" s="158"/>
      <c r="K3360" s="159"/>
      <c r="L3360" s="166"/>
      <c r="M3360" s="167"/>
      <c r="N3360" s="168"/>
      <c r="O3360" s="163"/>
      <c r="P3360" s="163"/>
      <c r="Q3360" s="158"/>
      <c r="R3360" s="5"/>
      <c r="S3360" s="169"/>
      <c r="T3360" s="158"/>
      <c r="U3360" s="35"/>
      <c r="V3360" s="164"/>
    </row>
    <row r="3361" customFormat="false" ht="15" hidden="false" customHeight="true" outlineLevel="0" collapsed="false">
      <c r="C3361" s="155"/>
      <c r="D3361" s="156"/>
      <c r="F3361" s="157"/>
      <c r="G3361" s="5"/>
      <c r="H3361" s="165"/>
      <c r="I3361" s="165"/>
      <c r="J3361" s="158"/>
      <c r="K3361" s="159"/>
      <c r="L3361" s="166"/>
      <c r="M3361" s="167"/>
      <c r="N3361" s="168"/>
      <c r="O3361" s="163"/>
      <c r="P3361" s="163"/>
      <c r="Q3361" s="158"/>
      <c r="R3361" s="5"/>
      <c r="S3361" s="169"/>
      <c r="T3361" s="158"/>
      <c r="U3361" s="35"/>
      <c r="V3361" s="164"/>
    </row>
    <row r="3362" customFormat="false" ht="15" hidden="false" customHeight="true" outlineLevel="0" collapsed="false">
      <c r="B3362" s="5"/>
      <c r="C3362" s="155"/>
      <c r="D3362" s="156"/>
      <c r="F3362" s="170"/>
      <c r="G3362" s="5"/>
      <c r="H3362" s="5"/>
      <c r="I3362" s="5"/>
      <c r="J3362" s="158"/>
      <c r="K3362" s="163"/>
      <c r="L3362" s="160"/>
      <c r="M3362" s="174"/>
      <c r="N3362" s="168"/>
      <c r="O3362" s="163"/>
      <c r="P3362" s="160"/>
      <c r="Q3362" s="175"/>
      <c r="R3362" s="5"/>
      <c r="S3362" s="5"/>
      <c r="T3362" s="5"/>
      <c r="U3362" s="165"/>
      <c r="V3362" s="171"/>
      <c r="W3362" s="116"/>
      <c r="X3362" s="116"/>
      <c r="Y3362" s="116"/>
    </row>
    <row r="3363" customFormat="false" ht="15" hidden="false" customHeight="true" outlineLevel="0" collapsed="false">
      <c r="B3363" s="5"/>
      <c r="C3363" s="155"/>
      <c r="D3363" s="156"/>
      <c r="F3363" s="157"/>
      <c r="G3363" s="5"/>
      <c r="H3363" s="5"/>
      <c r="I3363" s="5"/>
      <c r="J3363" s="158"/>
      <c r="K3363" s="159"/>
      <c r="L3363" s="160"/>
      <c r="M3363" s="186"/>
      <c r="N3363" s="162"/>
      <c r="O3363" s="163"/>
      <c r="P3363" s="163"/>
      <c r="Q3363" s="158"/>
      <c r="R3363" s="5"/>
      <c r="S3363" s="5"/>
      <c r="T3363" s="5"/>
      <c r="U3363" s="35"/>
      <c r="V3363" s="171"/>
    </row>
    <row r="3364" customFormat="false" ht="15" hidden="false" customHeight="true" outlineLevel="0" collapsed="false">
      <c r="B3364" s="5"/>
      <c r="C3364" s="155"/>
      <c r="D3364" s="156"/>
      <c r="F3364" s="157"/>
      <c r="G3364" s="5"/>
      <c r="H3364" s="5"/>
      <c r="I3364" s="5"/>
      <c r="J3364" s="202"/>
      <c r="K3364" s="159"/>
      <c r="L3364" s="160"/>
      <c r="M3364" s="177"/>
      <c r="N3364" s="162"/>
      <c r="O3364" s="163"/>
      <c r="P3364" s="163"/>
      <c r="Q3364" s="158"/>
      <c r="R3364" s="5"/>
      <c r="S3364" s="5"/>
      <c r="T3364" s="5"/>
      <c r="U3364" s="35"/>
      <c r="V3364" s="171"/>
    </row>
    <row r="3365" customFormat="false" ht="15" hidden="false" customHeight="true" outlineLevel="0" collapsed="false">
      <c r="B3365" s="5"/>
      <c r="C3365" s="155"/>
      <c r="D3365" s="156"/>
      <c r="F3365" s="157"/>
      <c r="G3365" s="5"/>
      <c r="H3365" s="5"/>
      <c r="I3365" s="5"/>
      <c r="J3365" s="158"/>
      <c r="K3365" s="159"/>
      <c r="L3365" s="160"/>
      <c r="M3365" s="161"/>
      <c r="N3365" s="162"/>
      <c r="O3365" s="163"/>
      <c r="P3365" s="163"/>
      <c r="Q3365" s="158"/>
      <c r="R3365" s="5"/>
      <c r="S3365" s="5"/>
      <c r="T3365" s="5"/>
      <c r="U3365" s="35"/>
      <c r="V3365" s="171"/>
    </row>
    <row r="3366" customFormat="false" ht="15" hidden="false" customHeight="true" outlineLevel="0" collapsed="false">
      <c r="B3366" s="5"/>
      <c r="C3366" s="155"/>
      <c r="D3366" s="156"/>
      <c r="F3366" s="157"/>
      <c r="G3366" s="5"/>
      <c r="H3366" s="5"/>
      <c r="I3366" s="5"/>
      <c r="J3366" s="158"/>
      <c r="K3366" s="159"/>
      <c r="L3366" s="160"/>
      <c r="M3366" s="161"/>
      <c r="N3366" s="162"/>
      <c r="O3366" s="163"/>
      <c r="P3366" s="163"/>
      <c r="Q3366" s="158"/>
      <c r="R3366" s="5"/>
      <c r="S3366" s="5"/>
      <c r="T3366" s="5"/>
      <c r="U3366" s="35"/>
      <c r="V3366" s="164"/>
    </row>
    <row r="3367" customFormat="false" ht="15" hidden="false" customHeight="true" outlineLevel="0" collapsed="false">
      <c r="B3367" s="5"/>
      <c r="C3367" s="155"/>
      <c r="D3367" s="156"/>
      <c r="F3367" s="157"/>
      <c r="G3367" s="5"/>
      <c r="H3367" s="5"/>
      <c r="I3367" s="5"/>
      <c r="J3367" s="158"/>
      <c r="K3367" s="159"/>
      <c r="L3367" s="160"/>
      <c r="M3367" s="161"/>
      <c r="N3367" s="162"/>
      <c r="O3367" s="163"/>
      <c r="P3367" s="163"/>
      <c r="Q3367" s="158"/>
      <c r="R3367" s="5"/>
      <c r="S3367" s="5"/>
      <c r="T3367" s="5"/>
      <c r="U3367" s="35"/>
      <c r="V3367" s="164"/>
    </row>
    <row r="3368" customFormat="false" ht="15" hidden="false" customHeight="true" outlineLevel="0" collapsed="false">
      <c r="C3368" s="155"/>
      <c r="D3368" s="156"/>
      <c r="F3368" s="157"/>
      <c r="G3368" s="5"/>
      <c r="H3368" s="165"/>
      <c r="I3368" s="165"/>
      <c r="J3368" s="179"/>
      <c r="K3368" s="159"/>
      <c r="L3368" s="166"/>
      <c r="M3368" s="167"/>
      <c r="N3368" s="168"/>
      <c r="O3368" s="163"/>
      <c r="P3368" s="163"/>
      <c r="Q3368" s="158"/>
      <c r="R3368" s="5"/>
      <c r="S3368" s="169"/>
      <c r="T3368" s="158"/>
      <c r="U3368" s="35"/>
      <c r="V3368" s="164"/>
    </row>
    <row r="3369" customFormat="false" ht="15" hidden="false" customHeight="true" outlineLevel="0" collapsed="false">
      <c r="C3369" s="155"/>
      <c r="D3369" s="156"/>
      <c r="F3369" s="157"/>
      <c r="G3369" s="5"/>
      <c r="H3369" s="165"/>
      <c r="I3369" s="165"/>
      <c r="J3369" s="158"/>
      <c r="K3369" s="159"/>
      <c r="L3369" s="166"/>
      <c r="M3369" s="167"/>
      <c r="N3369" s="168"/>
      <c r="O3369" s="163"/>
      <c r="P3369" s="163"/>
      <c r="Q3369" s="158"/>
      <c r="R3369" s="5"/>
      <c r="S3369" s="169"/>
      <c r="T3369" s="158"/>
      <c r="U3369" s="35"/>
      <c r="V3369" s="164"/>
    </row>
    <row r="3370" customFormat="false" ht="15" hidden="false" customHeight="true" outlineLevel="0" collapsed="false">
      <c r="C3370" s="155"/>
      <c r="D3370" s="156"/>
      <c r="F3370" s="157"/>
      <c r="G3370" s="5"/>
      <c r="H3370" s="165"/>
      <c r="I3370" s="165"/>
      <c r="J3370" s="158"/>
      <c r="K3370" s="159"/>
      <c r="L3370" s="166"/>
      <c r="M3370" s="167"/>
      <c r="N3370" s="168"/>
      <c r="O3370" s="163"/>
      <c r="P3370" s="163"/>
      <c r="Q3370" s="158"/>
      <c r="R3370" s="5"/>
      <c r="S3370" s="169"/>
      <c r="T3370" s="158"/>
      <c r="U3370" s="35"/>
      <c r="V3370" s="164"/>
    </row>
    <row r="3371" customFormat="false" ht="15" hidden="false" customHeight="true" outlineLevel="0" collapsed="false">
      <c r="B3371" s="5"/>
      <c r="C3371" s="155"/>
      <c r="D3371" s="156"/>
      <c r="F3371" s="170"/>
      <c r="G3371" s="5"/>
      <c r="H3371" s="5"/>
      <c r="I3371" s="5"/>
      <c r="J3371" s="158"/>
      <c r="K3371" s="163"/>
      <c r="L3371" s="160"/>
      <c r="M3371" s="174"/>
      <c r="N3371" s="168"/>
      <c r="O3371" s="163"/>
      <c r="P3371" s="160"/>
      <c r="Q3371" s="175"/>
      <c r="R3371" s="5"/>
      <c r="S3371" s="5"/>
      <c r="T3371" s="5"/>
      <c r="U3371" s="35"/>
      <c r="V3371" s="171"/>
      <c r="W3371" s="170"/>
      <c r="X3371" s="176"/>
    </row>
    <row r="3372" customFormat="false" ht="15" hidden="false" customHeight="true" outlineLevel="0" collapsed="false">
      <c r="C3372" s="155"/>
      <c r="D3372" s="156"/>
      <c r="F3372" s="157"/>
      <c r="G3372" s="5"/>
      <c r="H3372" s="165"/>
      <c r="I3372" s="165"/>
      <c r="J3372" s="158"/>
      <c r="K3372" s="159"/>
      <c r="L3372" s="166"/>
      <c r="M3372" s="167"/>
      <c r="N3372" s="168"/>
      <c r="O3372" s="163"/>
      <c r="P3372" s="163"/>
      <c r="Q3372" s="158"/>
      <c r="R3372" s="5"/>
      <c r="S3372" s="169"/>
      <c r="T3372" s="158"/>
      <c r="U3372" s="35"/>
      <c r="V3372" s="164"/>
    </row>
    <row r="3373" customFormat="false" ht="15" hidden="false" customHeight="true" outlineLevel="0" collapsed="false">
      <c r="B3373" s="5"/>
      <c r="C3373" s="155"/>
      <c r="D3373" s="156"/>
      <c r="F3373" s="170"/>
      <c r="G3373" s="5"/>
      <c r="H3373" s="5"/>
      <c r="I3373" s="5"/>
      <c r="J3373" s="158"/>
      <c r="K3373" s="163"/>
      <c r="L3373" s="160"/>
      <c r="M3373" s="174"/>
      <c r="N3373" s="168"/>
      <c r="O3373" s="163"/>
      <c r="P3373" s="160"/>
      <c r="Q3373" s="175"/>
      <c r="R3373" s="5"/>
      <c r="S3373" s="5"/>
      <c r="T3373" s="5"/>
      <c r="U3373" s="35"/>
      <c r="V3373" s="171"/>
      <c r="W3373" s="170"/>
      <c r="X3373" s="176"/>
    </row>
    <row r="3374" customFormat="false" ht="15" hidden="false" customHeight="true" outlineLevel="0" collapsed="false">
      <c r="B3374" s="5"/>
      <c r="C3374" s="155"/>
      <c r="D3374" s="156"/>
      <c r="F3374" s="157"/>
      <c r="G3374" s="5"/>
      <c r="H3374" s="5"/>
      <c r="I3374" s="5"/>
      <c r="J3374" s="158"/>
      <c r="K3374" s="159"/>
      <c r="L3374" s="160"/>
      <c r="M3374" s="161"/>
      <c r="N3374" s="162"/>
      <c r="O3374" s="163"/>
      <c r="P3374" s="163"/>
      <c r="Q3374" s="158"/>
      <c r="R3374" s="5"/>
      <c r="S3374" s="5"/>
      <c r="T3374" s="5"/>
      <c r="U3374" s="35"/>
      <c r="V3374" s="171"/>
    </row>
    <row r="3375" customFormat="false" ht="15" hidden="false" customHeight="true" outlineLevel="0" collapsed="false">
      <c r="B3375" s="5"/>
      <c r="C3375" s="155"/>
      <c r="D3375" s="156"/>
      <c r="F3375" s="157"/>
      <c r="G3375" s="5"/>
      <c r="H3375" s="5"/>
      <c r="I3375" s="5"/>
      <c r="J3375" s="158"/>
      <c r="K3375" s="159"/>
      <c r="L3375" s="160"/>
      <c r="M3375" s="161"/>
      <c r="N3375" s="162"/>
      <c r="O3375" s="163"/>
      <c r="P3375" s="163"/>
      <c r="Q3375" s="158"/>
      <c r="R3375" s="5"/>
      <c r="S3375" s="5"/>
      <c r="T3375" s="5"/>
      <c r="U3375" s="35"/>
      <c r="V3375" s="171"/>
    </row>
    <row r="3376" customFormat="false" ht="15" hidden="false" customHeight="true" outlineLevel="0" collapsed="false">
      <c r="B3376" s="5"/>
      <c r="C3376" s="155"/>
      <c r="D3376" s="156"/>
      <c r="F3376" s="157"/>
      <c r="G3376" s="5"/>
      <c r="H3376" s="5"/>
      <c r="I3376" s="5"/>
      <c r="J3376" s="158"/>
      <c r="K3376" s="159"/>
      <c r="L3376" s="160"/>
      <c r="M3376" s="161"/>
      <c r="N3376" s="162"/>
      <c r="O3376" s="163"/>
      <c r="P3376" s="163"/>
      <c r="Q3376" s="158"/>
      <c r="R3376" s="5"/>
      <c r="S3376" s="5"/>
      <c r="T3376" s="5"/>
      <c r="U3376" s="35"/>
      <c r="V3376" s="164"/>
    </row>
    <row r="3377" customFormat="false" ht="15" hidden="false" customHeight="true" outlineLevel="0" collapsed="false">
      <c r="B3377" s="5"/>
      <c r="C3377" s="155"/>
      <c r="D3377" s="156"/>
      <c r="F3377" s="157"/>
      <c r="G3377" s="5"/>
      <c r="H3377" s="5"/>
      <c r="I3377" s="5"/>
      <c r="J3377" s="158"/>
      <c r="K3377" s="159"/>
      <c r="L3377" s="160"/>
      <c r="M3377" s="161"/>
      <c r="N3377" s="162"/>
      <c r="O3377" s="163"/>
      <c r="P3377" s="163"/>
      <c r="Q3377" s="158"/>
      <c r="R3377" s="5"/>
      <c r="S3377" s="5"/>
      <c r="T3377" s="5"/>
      <c r="U3377" s="35"/>
      <c r="V3377" s="164"/>
    </row>
    <row r="3378" customFormat="false" ht="15" hidden="false" customHeight="true" outlineLevel="0" collapsed="false">
      <c r="C3378" s="155"/>
      <c r="D3378" s="156"/>
      <c r="F3378" s="157"/>
      <c r="G3378" s="5"/>
      <c r="H3378" s="165"/>
      <c r="I3378" s="165"/>
      <c r="J3378" s="158"/>
      <c r="K3378" s="159"/>
      <c r="L3378" s="166"/>
      <c r="M3378" s="167"/>
      <c r="N3378" s="168"/>
      <c r="O3378" s="163"/>
      <c r="P3378" s="163"/>
      <c r="Q3378" s="158"/>
      <c r="R3378" s="5"/>
      <c r="S3378" s="169"/>
      <c r="T3378" s="158"/>
      <c r="U3378" s="35"/>
      <c r="V3378" s="164"/>
    </row>
    <row r="3379" customFormat="false" ht="15" hidden="false" customHeight="true" outlineLevel="0" collapsed="false">
      <c r="C3379" s="155"/>
      <c r="D3379" s="156"/>
      <c r="F3379" s="157"/>
      <c r="G3379" s="5"/>
      <c r="H3379" s="165"/>
      <c r="I3379" s="165"/>
      <c r="J3379" s="158"/>
      <c r="K3379" s="159"/>
      <c r="L3379" s="166"/>
      <c r="M3379" s="167"/>
      <c r="N3379" s="168"/>
      <c r="O3379" s="163"/>
      <c r="P3379" s="163"/>
      <c r="Q3379" s="158"/>
      <c r="R3379" s="5"/>
      <c r="S3379" s="169"/>
      <c r="T3379" s="158"/>
      <c r="U3379" s="35"/>
      <c r="V3379" s="164"/>
    </row>
    <row r="3380" customFormat="false" ht="15" hidden="false" customHeight="true" outlineLevel="0" collapsed="false">
      <c r="C3380" s="155"/>
      <c r="D3380" s="156"/>
      <c r="F3380" s="157"/>
      <c r="G3380" s="5"/>
      <c r="H3380" s="165"/>
      <c r="I3380" s="165"/>
      <c r="J3380" s="158"/>
      <c r="K3380" s="159"/>
      <c r="L3380" s="166"/>
      <c r="M3380" s="167"/>
      <c r="N3380" s="168"/>
      <c r="O3380" s="163"/>
      <c r="P3380" s="163"/>
      <c r="Q3380" s="158"/>
      <c r="R3380" s="5"/>
      <c r="S3380" s="169"/>
      <c r="T3380" s="158"/>
      <c r="U3380" s="35"/>
      <c r="V3380" s="164"/>
    </row>
    <row r="3381" customFormat="false" ht="15" hidden="false" customHeight="true" outlineLevel="0" collapsed="false">
      <c r="C3381" s="155"/>
      <c r="D3381" s="156"/>
      <c r="F3381" s="157"/>
      <c r="G3381" s="5"/>
      <c r="H3381" s="165"/>
      <c r="I3381" s="165"/>
      <c r="J3381" s="158"/>
      <c r="K3381" s="159"/>
      <c r="L3381" s="166"/>
      <c r="M3381" s="167"/>
      <c r="N3381" s="168"/>
      <c r="O3381" s="163"/>
      <c r="P3381" s="163"/>
      <c r="Q3381" s="158"/>
      <c r="R3381" s="5"/>
      <c r="S3381" s="169"/>
      <c r="T3381" s="158"/>
      <c r="U3381" s="35"/>
      <c r="V3381" s="164"/>
    </row>
    <row r="3382" customFormat="false" ht="15" hidden="false" customHeight="true" outlineLevel="0" collapsed="false">
      <c r="C3382" s="155"/>
      <c r="D3382" s="156"/>
      <c r="F3382" s="157"/>
      <c r="G3382" s="5"/>
      <c r="H3382" s="165"/>
      <c r="I3382" s="165"/>
      <c r="J3382" s="158"/>
      <c r="K3382" s="159"/>
      <c r="L3382" s="166"/>
      <c r="M3382" s="167"/>
      <c r="N3382" s="168"/>
      <c r="O3382" s="163"/>
      <c r="P3382" s="163"/>
      <c r="Q3382" s="158"/>
      <c r="R3382" s="5"/>
      <c r="S3382" s="169"/>
      <c r="T3382" s="158"/>
      <c r="U3382" s="35"/>
      <c r="V3382" s="164"/>
    </row>
    <row r="3383" customFormat="false" ht="15" hidden="false" customHeight="true" outlineLevel="0" collapsed="false">
      <c r="C3383" s="155"/>
      <c r="D3383" s="156"/>
      <c r="F3383" s="157"/>
      <c r="G3383" s="5"/>
      <c r="H3383" s="165"/>
      <c r="I3383" s="165"/>
      <c r="J3383" s="158"/>
      <c r="K3383" s="159"/>
      <c r="L3383" s="166"/>
      <c r="M3383" s="167"/>
      <c r="N3383" s="168"/>
      <c r="O3383" s="163"/>
      <c r="P3383" s="163"/>
      <c r="Q3383" s="158"/>
      <c r="R3383" s="5"/>
      <c r="S3383" s="169"/>
      <c r="T3383" s="158"/>
      <c r="U3383" s="35"/>
      <c r="V3383" s="164"/>
    </row>
    <row r="3384" customFormat="false" ht="15" hidden="false" customHeight="true" outlineLevel="0" collapsed="false">
      <c r="B3384" s="5"/>
      <c r="C3384" s="155"/>
      <c r="D3384" s="156"/>
      <c r="F3384" s="157"/>
      <c r="G3384" s="5"/>
      <c r="H3384" s="5"/>
      <c r="I3384" s="5"/>
      <c r="J3384" s="158"/>
      <c r="K3384" s="159"/>
      <c r="L3384" s="160"/>
      <c r="M3384" s="161"/>
      <c r="N3384" s="162"/>
      <c r="O3384" s="163"/>
      <c r="P3384" s="163"/>
      <c r="Q3384" s="158"/>
      <c r="R3384" s="5"/>
      <c r="S3384" s="5"/>
      <c r="T3384" s="5"/>
      <c r="U3384" s="35"/>
      <c r="V3384" s="164"/>
    </row>
    <row r="3385" customFormat="false" ht="15" hidden="false" customHeight="true" outlineLevel="0" collapsed="false">
      <c r="B3385" s="5"/>
      <c r="C3385" s="155"/>
      <c r="D3385" s="156"/>
      <c r="F3385" s="157"/>
      <c r="G3385" s="5"/>
      <c r="H3385" s="5"/>
      <c r="I3385" s="5"/>
      <c r="J3385" s="158"/>
      <c r="K3385" s="159"/>
      <c r="L3385" s="160"/>
      <c r="M3385" s="161"/>
      <c r="N3385" s="162"/>
      <c r="O3385" s="163"/>
      <c r="P3385" s="163"/>
      <c r="Q3385" s="158"/>
      <c r="R3385" s="5"/>
      <c r="S3385" s="5"/>
      <c r="T3385" s="5"/>
      <c r="U3385" s="35"/>
      <c r="V3385" s="164"/>
    </row>
    <row r="3386" customFormat="false" ht="15" hidden="false" customHeight="true" outlineLevel="0" collapsed="false">
      <c r="C3386" s="155"/>
      <c r="D3386" s="156"/>
      <c r="F3386" s="157"/>
      <c r="G3386" s="5"/>
      <c r="H3386" s="165"/>
      <c r="I3386" s="165"/>
      <c r="J3386" s="158"/>
      <c r="K3386" s="159"/>
      <c r="L3386" s="166"/>
      <c r="M3386" s="167"/>
      <c r="N3386" s="168"/>
      <c r="O3386" s="163"/>
      <c r="P3386" s="163"/>
      <c r="Q3386" s="158"/>
      <c r="R3386" s="5"/>
      <c r="S3386" s="169"/>
      <c r="T3386" s="158"/>
      <c r="U3386" s="35"/>
      <c r="V3386" s="164"/>
    </row>
    <row r="3387" customFormat="false" ht="15" hidden="false" customHeight="true" outlineLevel="0" collapsed="false">
      <c r="C3387" s="155"/>
      <c r="D3387" s="156"/>
      <c r="F3387" s="157"/>
      <c r="G3387" s="5"/>
      <c r="H3387" s="165"/>
      <c r="I3387" s="165"/>
      <c r="J3387" s="158"/>
      <c r="K3387" s="159"/>
      <c r="L3387" s="166"/>
      <c r="M3387" s="167"/>
      <c r="N3387" s="168"/>
      <c r="O3387" s="163"/>
      <c r="P3387" s="163"/>
      <c r="Q3387" s="158"/>
      <c r="R3387" s="5"/>
      <c r="S3387" s="169"/>
      <c r="T3387" s="158"/>
      <c r="U3387" s="35"/>
      <c r="V3387" s="164"/>
    </row>
    <row r="3388" customFormat="false" ht="15" hidden="false" customHeight="true" outlineLevel="0" collapsed="false">
      <c r="B3388" s="5"/>
      <c r="C3388" s="155"/>
      <c r="D3388" s="156"/>
      <c r="F3388" s="170"/>
      <c r="G3388" s="5"/>
      <c r="H3388" s="5"/>
      <c r="I3388" s="5"/>
      <c r="J3388" s="158"/>
      <c r="K3388" s="163"/>
      <c r="L3388" s="160"/>
      <c r="M3388" s="174"/>
      <c r="N3388" s="168"/>
      <c r="O3388" s="163"/>
      <c r="P3388" s="160"/>
      <c r="Q3388" s="175"/>
      <c r="R3388" s="5"/>
      <c r="S3388" s="5"/>
      <c r="T3388" s="5"/>
      <c r="U3388" s="165"/>
      <c r="V3388" s="164"/>
      <c r="W3388" s="116"/>
      <c r="X3388" s="116"/>
      <c r="Y3388" s="116"/>
    </row>
    <row r="3389" customFormat="false" ht="15" hidden="false" customHeight="true" outlineLevel="0" collapsed="false">
      <c r="B3389" s="5"/>
      <c r="C3389" s="155"/>
      <c r="D3389" s="156"/>
      <c r="F3389" s="170"/>
      <c r="G3389" s="5"/>
      <c r="H3389" s="5"/>
      <c r="I3389" s="5"/>
      <c r="J3389" s="158"/>
      <c r="K3389" s="163"/>
      <c r="L3389" s="160"/>
      <c r="M3389" s="174"/>
      <c r="N3389" s="168"/>
      <c r="O3389" s="163"/>
      <c r="P3389" s="160"/>
      <c r="Q3389" s="175"/>
      <c r="R3389" s="5"/>
      <c r="S3389" s="5"/>
      <c r="T3389" s="5"/>
      <c r="U3389" s="35"/>
      <c r="V3389" s="171"/>
      <c r="W3389" s="170"/>
      <c r="X3389" s="176"/>
    </row>
    <row r="3390" customFormat="false" ht="15" hidden="false" customHeight="true" outlineLevel="0" collapsed="false">
      <c r="B3390" s="5"/>
      <c r="C3390" s="155"/>
      <c r="D3390" s="156"/>
      <c r="F3390" s="170"/>
      <c r="G3390" s="5"/>
      <c r="H3390" s="5"/>
      <c r="I3390" s="5"/>
      <c r="J3390" s="158"/>
      <c r="K3390" s="163"/>
      <c r="L3390" s="160"/>
      <c r="M3390" s="174"/>
      <c r="N3390" s="168"/>
      <c r="O3390" s="163"/>
      <c r="P3390" s="160"/>
      <c r="Q3390" s="175"/>
      <c r="R3390" s="5"/>
      <c r="S3390" s="5"/>
      <c r="T3390" s="5"/>
      <c r="U3390" s="35"/>
      <c r="V3390" s="171"/>
      <c r="W3390" s="170"/>
      <c r="X3390" s="176"/>
    </row>
    <row r="3391" customFormat="false" ht="15" hidden="false" customHeight="true" outlineLevel="0" collapsed="false">
      <c r="B3391" s="5"/>
      <c r="C3391" s="155"/>
      <c r="D3391" s="156"/>
      <c r="F3391" s="170"/>
      <c r="G3391" s="5"/>
      <c r="H3391" s="5"/>
      <c r="I3391" s="5"/>
      <c r="J3391" s="158"/>
      <c r="K3391" s="163"/>
      <c r="L3391" s="160"/>
      <c r="M3391" s="174"/>
      <c r="N3391" s="168"/>
      <c r="O3391" s="163"/>
      <c r="P3391" s="160"/>
      <c r="Q3391" s="175"/>
      <c r="R3391" s="5"/>
      <c r="S3391" s="5"/>
      <c r="T3391" s="5"/>
      <c r="U3391" s="35"/>
      <c r="V3391" s="171"/>
      <c r="W3391" s="170"/>
      <c r="X3391" s="176"/>
    </row>
    <row r="3392" customFormat="false" ht="15" hidden="false" customHeight="true" outlineLevel="0" collapsed="false">
      <c r="A3392" s="170"/>
      <c r="B3392" s="5"/>
      <c r="C3392" s="155"/>
      <c r="D3392" s="156"/>
      <c r="F3392" s="170"/>
      <c r="G3392" s="5"/>
      <c r="H3392" s="5"/>
      <c r="I3392" s="5"/>
      <c r="J3392" s="158"/>
      <c r="K3392" s="159"/>
      <c r="L3392" s="160"/>
      <c r="M3392" s="174"/>
      <c r="N3392" s="168"/>
      <c r="O3392" s="163"/>
      <c r="P3392" s="160"/>
      <c r="Q3392" s="175"/>
      <c r="R3392" s="5"/>
      <c r="S3392" s="5"/>
      <c r="T3392" s="5"/>
      <c r="U3392" s="35"/>
      <c r="V3392" s="171"/>
    </row>
    <row r="3393" customFormat="false" ht="15" hidden="false" customHeight="true" outlineLevel="0" collapsed="false">
      <c r="B3393" s="5"/>
      <c r="C3393" s="155"/>
      <c r="D3393" s="156"/>
      <c r="F3393" s="170"/>
      <c r="G3393" s="5"/>
      <c r="H3393" s="5"/>
      <c r="I3393" s="5"/>
      <c r="J3393" s="158"/>
      <c r="K3393" s="159"/>
      <c r="L3393" s="160"/>
      <c r="M3393" s="174"/>
      <c r="N3393" s="168"/>
      <c r="O3393" s="163"/>
      <c r="P3393" s="160"/>
      <c r="Q3393" s="5"/>
      <c r="R3393" s="5"/>
      <c r="S3393" s="5"/>
      <c r="T3393" s="5"/>
      <c r="U3393" s="35"/>
      <c r="V3393" s="171"/>
    </row>
    <row r="3394" customFormat="false" ht="15" hidden="false" customHeight="true" outlineLevel="0" collapsed="false">
      <c r="B3394" s="5"/>
      <c r="C3394" s="155"/>
      <c r="D3394" s="156"/>
      <c r="F3394" s="157"/>
      <c r="G3394" s="5"/>
      <c r="H3394" s="5"/>
      <c r="I3394" s="5"/>
      <c r="J3394" s="158"/>
      <c r="K3394" s="159"/>
      <c r="L3394" s="160"/>
      <c r="M3394" s="177"/>
      <c r="N3394" s="162"/>
      <c r="O3394" s="163"/>
      <c r="P3394" s="163"/>
      <c r="Q3394" s="158"/>
      <c r="R3394" s="5"/>
      <c r="S3394" s="5"/>
      <c r="T3394" s="5"/>
      <c r="U3394" s="35"/>
      <c r="V3394" s="171"/>
    </row>
    <row r="3395" customFormat="false" ht="15" hidden="false" customHeight="true" outlineLevel="0" collapsed="false">
      <c r="B3395" s="5"/>
      <c r="C3395" s="155"/>
      <c r="D3395" s="156"/>
      <c r="F3395" s="157"/>
      <c r="G3395" s="5"/>
      <c r="H3395" s="5"/>
      <c r="I3395" s="5"/>
      <c r="J3395" s="158"/>
      <c r="K3395" s="159"/>
      <c r="L3395" s="160"/>
      <c r="M3395" s="177"/>
      <c r="N3395" s="162"/>
      <c r="O3395" s="163"/>
      <c r="P3395" s="163"/>
      <c r="Q3395" s="158"/>
      <c r="R3395" s="5"/>
      <c r="S3395" s="5"/>
      <c r="T3395" s="5"/>
      <c r="U3395" s="35"/>
      <c r="V3395" s="171"/>
    </row>
    <row r="3396" customFormat="false" ht="15" hidden="false" customHeight="true" outlineLevel="0" collapsed="false">
      <c r="B3396" s="5"/>
      <c r="C3396" s="155"/>
      <c r="D3396" s="156"/>
      <c r="F3396" s="157"/>
      <c r="G3396" s="5"/>
      <c r="H3396" s="5"/>
      <c r="I3396" s="5"/>
      <c r="J3396" s="158"/>
      <c r="K3396" s="159"/>
      <c r="L3396" s="160"/>
      <c r="M3396" s="161"/>
      <c r="N3396" s="162"/>
      <c r="O3396" s="163"/>
      <c r="P3396" s="163"/>
      <c r="Q3396" s="158"/>
      <c r="R3396" s="5"/>
      <c r="S3396" s="5"/>
      <c r="T3396" s="5"/>
      <c r="U3396" s="35"/>
      <c r="V3396" s="164"/>
    </row>
    <row r="3397" customFormat="false" ht="15" hidden="false" customHeight="true" outlineLevel="0" collapsed="false">
      <c r="B3397" s="5"/>
      <c r="C3397" s="155"/>
      <c r="D3397" s="156"/>
      <c r="F3397" s="157"/>
      <c r="G3397" s="5"/>
      <c r="H3397" s="5"/>
      <c r="I3397" s="5"/>
      <c r="J3397" s="158"/>
      <c r="K3397" s="159"/>
      <c r="L3397" s="160"/>
      <c r="M3397" s="161"/>
      <c r="N3397" s="162"/>
      <c r="O3397" s="163"/>
      <c r="P3397" s="163"/>
      <c r="Q3397" s="158"/>
      <c r="R3397" s="5"/>
      <c r="S3397" s="5"/>
      <c r="T3397" s="5"/>
      <c r="U3397" s="35"/>
      <c r="V3397" s="164"/>
    </row>
    <row r="3398" customFormat="false" ht="15" hidden="false" customHeight="true" outlineLevel="0" collapsed="false">
      <c r="C3398" s="155"/>
      <c r="D3398" s="156"/>
      <c r="F3398" s="157"/>
      <c r="G3398" s="5"/>
      <c r="H3398" s="165"/>
      <c r="I3398" s="165"/>
      <c r="J3398" s="158"/>
      <c r="K3398" s="159"/>
      <c r="L3398" s="166"/>
      <c r="M3398" s="167"/>
      <c r="N3398" s="168"/>
      <c r="O3398" s="163"/>
      <c r="P3398" s="163"/>
      <c r="Q3398" s="158"/>
      <c r="R3398" s="5"/>
      <c r="S3398" s="169"/>
      <c r="T3398" s="158"/>
      <c r="U3398" s="35"/>
      <c r="V3398" s="164"/>
    </row>
    <row r="3399" customFormat="false" ht="15" hidden="false" customHeight="true" outlineLevel="0" collapsed="false">
      <c r="C3399" s="155"/>
      <c r="D3399" s="156"/>
      <c r="F3399" s="157"/>
      <c r="G3399" s="5"/>
      <c r="H3399" s="165"/>
      <c r="I3399" s="165"/>
      <c r="J3399" s="158"/>
      <c r="K3399" s="159"/>
      <c r="L3399" s="166"/>
      <c r="M3399" s="167"/>
      <c r="N3399" s="168"/>
      <c r="O3399" s="163"/>
      <c r="P3399" s="163"/>
      <c r="Q3399" s="158"/>
      <c r="R3399" s="5"/>
      <c r="S3399" s="169"/>
      <c r="T3399" s="158"/>
      <c r="U3399" s="35"/>
      <c r="V3399" s="164"/>
    </row>
    <row r="3400" customFormat="false" ht="15" hidden="false" customHeight="true" outlineLevel="0" collapsed="false">
      <c r="U3400" s="164"/>
      <c r="V3400" s="203"/>
    </row>
    <row r="3401" customFormat="false" ht="15" hidden="false" customHeight="true" outlineLevel="0" collapsed="false">
      <c r="B3401" s="5"/>
      <c r="C3401" s="155"/>
      <c r="D3401" s="156"/>
      <c r="F3401" s="170"/>
      <c r="G3401" s="5"/>
      <c r="H3401" s="5"/>
      <c r="I3401" s="5"/>
      <c r="J3401" s="158"/>
      <c r="K3401" s="159"/>
      <c r="L3401" s="160"/>
      <c r="M3401" s="161"/>
      <c r="N3401" s="162"/>
      <c r="O3401" s="163"/>
      <c r="P3401" s="163"/>
      <c r="Q3401" s="5"/>
      <c r="R3401" s="5"/>
      <c r="S3401" s="5"/>
      <c r="T3401" s="5"/>
      <c r="U3401" s="35"/>
      <c r="V3401" s="171"/>
      <c r="W3401" s="172"/>
      <c r="X3401" s="173"/>
    </row>
    <row r="3402" customFormat="false" ht="15" hidden="false" customHeight="true" outlineLevel="0" collapsed="false">
      <c r="B3402" s="5"/>
      <c r="C3402" s="155"/>
      <c r="D3402" s="156"/>
      <c r="F3402" s="157"/>
      <c r="G3402" s="5"/>
      <c r="H3402" s="5"/>
      <c r="I3402" s="5"/>
      <c r="J3402" s="158"/>
      <c r="K3402" s="159"/>
      <c r="L3402" s="160"/>
      <c r="M3402" s="161"/>
      <c r="N3402" s="162"/>
      <c r="O3402" s="163"/>
      <c r="P3402" s="163"/>
      <c r="Q3402" s="204"/>
      <c r="S3402" s="5"/>
      <c r="T3402" s="5"/>
      <c r="U3402" s="35"/>
      <c r="V3402" s="164"/>
    </row>
    <row r="3403" customFormat="false" ht="15" hidden="false" customHeight="true" outlineLevel="0" collapsed="false">
      <c r="B3403" s="5"/>
      <c r="C3403" s="155"/>
      <c r="D3403" s="156"/>
      <c r="F3403" s="170"/>
      <c r="G3403" s="5"/>
      <c r="H3403" s="5"/>
      <c r="I3403" s="5"/>
      <c r="J3403" s="158"/>
      <c r="K3403" s="163"/>
      <c r="L3403" s="160"/>
      <c r="M3403" s="174"/>
      <c r="N3403" s="168"/>
      <c r="O3403" s="163"/>
      <c r="P3403" s="160"/>
      <c r="Q3403" s="175"/>
      <c r="R3403" s="5"/>
      <c r="S3403" s="5"/>
      <c r="T3403" s="5"/>
      <c r="U3403" s="35"/>
      <c r="V3403" s="171"/>
      <c r="W3403" s="116"/>
      <c r="X3403" s="116"/>
      <c r="Y3403" s="116"/>
    </row>
    <row r="3404" customFormat="false" ht="15" hidden="false" customHeight="true" outlineLevel="0" collapsed="false">
      <c r="B3404" s="5"/>
      <c r="C3404" s="155"/>
      <c r="D3404" s="156"/>
      <c r="F3404" s="170"/>
      <c r="G3404" s="5"/>
      <c r="H3404" s="5"/>
      <c r="I3404" s="5"/>
      <c r="J3404" s="158"/>
      <c r="K3404" s="163"/>
      <c r="L3404" s="160"/>
      <c r="M3404" s="174"/>
      <c r="N3404" s="168"/>
      <c r="O3404" s="163"/>
      <c r="P3404" s="160"/>
      <c r="Q3404" s="175"/>
      <c r="R3404" s="5"/>
      <c r="S3404" s="5"/>
      <c r="T3404" s="5"/>
      <c r="U3404" s="35"/>
      <c r="V3404" s="171"/>
      <c r="W3404" s="170"/>
      <c r="X3404" s="176"/>
    </row>
    <row r="3405" customFormat="false" ht="15" hidden="false" customHeight="true" outlineLevel="0" collapsed="false">
      <c r="B3405" s="5"/>
      <c r="C3405" s="155"/>
      <c r="D3405" s="156"/>
      <c r="F3405" s="170"/>
      <c r="G3405" s="5"/>
      <c r="H3405" s="5"/>
      <c r="I3405" s="5"/>
      <c r="J3405" s="158"/>
      <c r="K3405" s="163"/>
      <c r="L3405" s="160"/>
      <c r="M3405" s="174"/>
      <c r="N3405" s="168"/>
      <c r="O3405" s="163"/>
      <c r="P3405" s="160"/>
      <c r="Q3405" s="205"/>
      <c r="R3405" s="5"/>
      <c r="S3405" s="5"/>
      <c r="T3405" s="5"/>
      <c r="U3405" s="35"/>
      <c r="V3405" s="171"/>
      <c r="W3405" s="116"/>
      <c r="X3405" s="176"/>
    </row>
    <row r="3406" customFormat="false" ht="15" hidden="false" customHeight="true" outlineLevel="0" collapsed="false">
      <c r="B3406" s="5"/>
      <c r="C3406" s="155"/>
      <c r="D3406" s="156"/>
      <c r="F3406" s="157"/>
      <c r="G3406" s="5"/>
      <c r="H3406" s="5"/>
      <c r="I3406" s="5"/>
      <c r="J3406" s="158"/>
      <c r="K3406" s="159"/>
      <c r="L3406" s="160"/>
      <c r="M3406" s="161"/>
      <c r="N3406" s="162"/>
      <c r="O3406" s="163"/>
      <c r="P3406" s="163"/>
      <c r="Q3406" s="158"/>
      <c r="R3406" s="5"/>
      <c r="S3406" s="5"/>
      <c r="T3406" s="5"/>
      <c r="U3406" s="35"/>
      <c r="V3406" s="171"/>
    </row>
    <row r="3407" customFormat="false" ht="15" hidden="false" customHeight="true" outlineLevel="0" collapsed="false">
      <c r="B3407" s="5"/>
      <c r="C3407" s="155"/>
      <c r="D3407" s="156"/>
      <c r="F3407" s="157"/>
      <c r="G3407" s="5"/>
      <c r="H3407" s="5"/>
      <c r="I3407" s="5"/>
      <c r="J3407" s="158"/>
      <c r="K3407" s="159"/>
      <c r="L3407" s="160"/>
      <c r="M3407" s="161"/>
      <c r="N3407" s="162"/>
      <c r="O3407" s="163"/>
      <c r="P3407" s="163"/>
      <c r="Q3407" s="158"/>
      <c r="R3407" s="5"/>
      <c r="S3407" s="5"/>
      <c r="T3407" s="5"/>
      <c r="U3407" s="35"/>
      <c r="V3407" s="171"/>
    </row>
    <row r="3408" customFormat="false" ht="15" hidden="false" customHeight="true" outlineLevel="0" collapsed="false">
      <c r="B3408" s="5"/>
      <c r="C3408" s="155"/>
      <c r="D3408" s="156"/>
      <c r="F3408" s="157"/>
      <c r="G3408" s="5"/>
      <c r="H3408" s="5"/>
      <c r="I3408" s="5"/>
      <c r="J3408" s="158"/>
      <c r="K3408" s="159"/>
      <c r="L3408" s="160"/>
      <c r="M3408" s="186"/>
      <c r="N3408" s="162"/>
      <c r="O3408" s="163"/>
      <c r="P3408" s="163"/>
      <c r="Q3408" s="158"/>
      <c r="R3408" s="5"/>
      <c r="S3408" s="5"/>
      <c r="T3408" s="5"/>
      <c r="U3408" s="35"/>
      <c r="V3408" s="171"/>
    </row>
    <row r="3409" customFormat="false" ht="15" hidden="false" customHeight="true" outlineLevel="0" collapsed="false">
      <c r="B3409" s="5"/>
      <c r="C3409" s="155"/>
      <c r="D3409" s="156"/>
      <c r="F3409" s="157"/>
      <c r="G3409" s="5"/>
      <c r="H3409" s="5"/>
      <c r="I3409" s="5"/>
      <c r="J3409" s="158"/>
      <c r="K3409" s="159"/>
      <c r="L3409" s="160"/>
      <c r="M3409" s="161"/>
      <c r="N3409" s="162"/>
      <c r="O3409" s="163"/>
      <c r="P3409" s="163"/>
      <c r="Q3409" s="158"/>
      <c r="R3409" s="5"/>
      <c r="S3409" s="5"/>
      <c r="T3409" s="5"/>
      <c r="U3409" s="35"/>
      <c r="V3409" s="164"/>
    </row>
    <row r="3410" customFormat="false" ht="15" hidden="false" customHeight="true" outlineLevel="0" collapsed="false">
      <c r="C3410" s="155"/>
      <c r="D3410" s="156"/>
      <c r="F3410" s="157"/>
      <c r="G3410" s="5"/>
      <c r="H3410" s="165"/>
      <c r="I3410" s="165"/>
      <c r="J3410" s="158"/>
      <c r="K3410" s="159"/>
      <c r="L3410" s="166"/>
      <c r="M3410" s="167"/>
      <c r="N3410" s="168"/>
      <c r="O3410" s="163"/>
      <c r="P3410" s="163"/>
      <c r="Q3410" s="158"/>
      <c r="R3410" s="5"/>
      <c r="S3410" s="169"/>
      <c r="T3410" s="158"/>
      <c r="U3410" s="35"/>
      <c r="V3410" s="164"/>
    </row>
    <row r="3411" customFormat="false" ht="15" hidden="false" customHeight="true" outlineLevel="0" collapsed="false">
      <c r="C3411" s="155"/>
      <c r="D3411" s="156"/>
      <c r="F3411" s="157"/>
      <c r="G3411" s="5"/>
      <c r="H3411" s="165"/>
      <c r="I3411" s="165"/>
      <c r="J3411" s="158"/>
      <c r="K3411" s="159"/>
      <c r="L3411" s="166"/>
      <c r="M3411" s="167"/>
      <c r="N3411" s="168"/>
      <c r="O3411" s="163"/>
      <c r="P3411" s="163"/>
      <c r="Q3411" s="158"/>
      <c r="R3411" s="5"/>
      <c r="S3411" s="169"/>
      <c r="T3411" s="158"/>
      <c r="U3411" s="35"/>
      <c r="V3411" s="164"/>
    </row>
    <row r="3412" customFormat="false" ht="15" hidden="false" customHeight="true" outlineLevel="0" collapsed="false">
      <c r="C3412" s="155"/>
      <c r="D3412" s="156"/>
      <c r="F3412" s="157"/>
      <c r="G3412" s="5"/>
      <c r="H3412" s="165"/>
      <c r="I3412" s="165"/>
      <c r="J3412" s="158"/>
      <c r="K3412" s="159"/>
      <c r="L3412" s="166"/>
      <c r="M3412" s="167"/>
      <c r="N3412" s="168"/>
      <c r="O3412" s="163"/>
      <c r="P3412" s="163"/>
      <c r="Q3412" s="158"/>
      <c r="R3412" s="5"/>
      <c r="S3412" s="169"/>
      <c r="T3412" s="158"/>
      <c r="U3412" s="35"/>
      <c r="V3412" s="164"/>
    </row>
    <row r="3413" customFormat="false" ht="15" hidden="false" customHeight="true" outlineLevel="0" collapsed="false">
      <c r="C3413" s="155"/>
      <c r="D3413" s="156"/>
      <c r="F3413" s="157"/>
      <c r="G3413" s="5"/>
      <c r="H3413" s="165"/>
      <c r="I3413" s="165"/>
      <c r="J3413" s="179"/>
      <c r="K3413" s="159"/>
      <c r="L3413" s="166"/>
      <c r="M3413" s="167"/>
      <c r="N3413" s="168"/>
      <c r="O3413" s="163"/>
      <c r="P3413" s="163"/>
      <c r="Q3413" s="158"/>
      <c r="R3413" s="5"/>
      <c r="S3413" s="169"/>
      <c r="T3413" s="158"/>
      <c r="U3413" s="35"/>
      <c r="V3413" s="164"/>
    </row>
    <row r="3414" customFormat="false" ht="15" hidden="false" customHeight="true" outlineLevel="0" collapsed="false">
      <c r="C3414" s="155"/>
      <c r="D3414" s="156"/>
      <c r="F3414" s="157"/>
      <c r="G3414" s="5"/>
      <c r="H3414" s="165"/>
      <c r="I3414" s="165"/>
      <c r="J3414" s="158"/>
      <c r="K3414" s="159"/>
      <c r="L3414" s="166"/>
      <c r="M3414" s="167"/>
      <c r="N3414" s="168"/>
      <c r="O3414" s="163"/>
      <c r="P3414" s="163"/>
      <c r="Q3414" s="158"/>
      <c r="R3414" s="5"/>
      <c r="S3414" s="169"/>
      <c r="T3414" s="158"/>
      <c r="U3414" s="35"/>
      <c r="V3414" s="164"/>
    </row>
    <row r="3415" customFormat="false" ht="15" hidden="false" customHeight="true" outlineLevel="0" collapsed="false">
      <c r="C3415" s="155"/>
      <c r="D3415" s="156"/>
      <c r="F3415" s="157"/>
      <c r="G3415" s="5"/>
      <c r="H3415" s="165"/>
      <c r="I3415" s="165"/>
      <c r="J3415" s="158"/>
      <c r="K3415" s="159"/>
      <c r="L3415" s="166"/>
      <c r="M3415" s="167"/>
      <c r="N3415" s="168"/>
      <c r="O3415" s="163"/>
      <c r="P3415" s="163"/>
      <c r="Q3415" s="158"/>
      <c r="R3415" s="5"/>
      <c r="S3415" s="169"/>
      <c r="T3415" s="158"/>
      <c r="U3415" s="35"/>
      <c r="V3415" s="164"/>
    </row>
    <row r="3416" customFormat="false" ht="15" hidden="false" customHeight="true" outlineLevel="0" collapsed="false">
      <c r="C3416" s="155"/>
      <c r="D3416" s="156"/>
      <c r="F3416" s="157"/>
      <c r="G3416" s="5"/>
      <c r="H3416" s="165"/>
      <c r="I3416" s="165"/>
      <c r="J3416" s="158"/>
      <c r="K3416" s="159"/>
      <c r="L3416" s="166"/>
      <c r="M3416" s="167"/>
      <c r="N3416" s="168"/>
      <c r="O3416" s="163"/>
      <c r="P3416" s="163"/>
      <c r="Q3416" s="158"/>
      <c r="R3416" s="5"/>
      <c r="S3416" s="169"/>
      <c r="T3416" s="158"/>
      <c r="U3416" s="35"/>
      <c r="V3416" s="164"/>
    </row>
    <row r="3417" customFormat="false" ht="15" hidden="false" customHeight="true" outlineLevel="0" collapsed="false">
      <c r="B3417" s="5"/>
      <c r="C3417" s="155"/>
      <c r="D3417" s="156"/>
      <c r="F3417" s="157"/>
      <c r="G3417" s="5"/>
      <c r="H3417" s="5"/>
      <c r="I3417" s="5"/>
      <c r="J3417" s="158"/>
      <c r="K3417" s="159"/>
      <c r="L3417" s="160"/>
      <c r="M3417" s="161"/>
      <c r="N3417" s="162"/>
      <c r="O3417" s="163"/>
      <c r="P3417" s="163"/>
      <c r="Q3417" s="158"/>
      <c r="R3417" s="5"/>
      <c r="S3417" s="5"/>
      <c r="T3417" s="5"/>
      <c r="U3417" s="35"/>
      <c r="V3417" s="164"/>
    </row>
    <row r="3418" customFormat="false" ht="15" hidden="false" customHeight="true" outlineLevel="0" collapsed="false">
      <c r="B3418" s="5"/>
      <c r="C3418" s="155"/>
      <c r="D3418" s="156"/>
      <c r="F3418" s="157"/>
      <c r="G3418" s="5"/>
      <c r="H3418" s="5"/>
      <c r="I3418" s="5"/>
      <c r="J3418" s="158"/>
      <c r="K3418" s="159"/>
      <c r="L3418" s="160"/>
      <c r="M3418" s="161"/>
      <c r="N3418" s="162"/>
      <c r="O3418" s="163"/>
      <c r="P3418" s="163"/>
      <c r="Q3418" s="158"/>
      <c r="R3418" s="5"/>
      <c r="S3418" s="5"/>
      <c r="T3418" s="5"/>
      <c r="U3418" s="35"/>
      <c r="V3418" s="164"/>
    </row>
    <row r="3419" customFormat="false" ht="15" hidden="false" customHeight="true" outlineLevel="0" collapsed="false">
      <c r="C3419" s="155"/>
      <c r="D3419" s="156"/>
      <c r="F3419" s="157"/>
      <c r="G3419" s="5"/>
      <c r="H3419" s="165"/>
      <c r="I3419" s="165"/>
      <c r="J3419" s="158"/>
      <c r="K3419" s="159"/>
      <c r="L3419" s="166"/>
      <c r="M3419" s="167"/>
      <c r="N3419" s="168"/>
      <c r="O3419" s="163"/>
      <c r="P3419" s="163"/>
      <c r="Q3419" s="158"/>
      <c r="R3419" s="5"/>
      <c r="S3419" s="169"/>
      <c r="T3419" s="158"/>
      <c r="U3419" s="35"/>
      <c r="V3419" s="164"/>
    </row>
    <row r="3420" customFormat="false" ht="15" hidden="false" customHeight="true" outlineLevel="0" collapsed="false">
      <c r="B3420" s="5"/>
      <c r="C3420" s="155"/>
      <c r="D3420" s="156"/>
      <c r="F3420" s="170"/>
      <c r="G3420" s="5"/>
      <c r="H3420" s="5"/>
      <c r="I3420" s="5"/>
      <c r="J3420" s="158"/>
      <c r="K3420" s="163"/>
      <c r="L3420" s="160"/>
      <c r="M3420" s="174"/>
      <c r="N3420" s="168"/>
      <c r="O3420" s="163"/>
      <c r="P3420" s="160"/>
      <c r="Q3420" s="175"/>
      <c r="R3420" s="5"/>
      <c r="S3420" s="5"/>
      <c r="T3420" s="5"/>
      <c r="U3420" s="35"/>
      <c r="V3420" s="171"/>
      <c r="W3420" s="170"/>
      <c r="X3420" s="176"/>
    </row>
    <row r="3421" customFormat="false" ht="15" hidden="false" customHeight="true" outlineLevel="0" collapsed="false">
      <c r="B3421" s="5"/>
      <c r="C3421" s="155"/>
      <c r="D3421" s="156"/>
      <c r="F3421" s="170"/>
      <c r="G3421" s="5"/>
      <c r="H3421" s="5"/>
      <c r="I3421" s="5"/>
      <c r="J3421" s="158"/>
      <c r="K3421" s="159"/>
      <c r="L3421" s="160"/>
      <c r="M3421" s="174"/>
      <c r="N3421" s="168"/>
      <c r="O3421" s="163"/>
      <c r="P3421" s="160"/>
      <c r="Q3421" s="175"/>
      <c r="R3421" s="5"/>
      <c r="S3421" s="5"/>
      <c r="T3421" s="5"/>
      <c r="U3421" s="35"/>
      <c r="V3421" s="171"/>
    </row>
    <row r="3422" customFormat="false" ht="15" hidden="false" customHeight="true" outlineLevel="0" collapsed="false">
      <c r="B3422" s="5"/>
      <c r="C3422" s="155"/>
      <c r="D3422" s="156"/>
      <c r="F3422" s="170"/>
      <c r="G3422" s="5"/>
      <c r="H3422" s="5"/>
      <c r="I3422" s="5"/>
      <c r="J3422" s="158"/>
      <c r="K3422" s="159"/>
      <c r="L3422" s="160"/>
      <c r="M3422" s="174"/>
      <c r="N3422" s="168"/>
      <c r="O3422" s="163"/>
      <c r="P3422" s="160"/>
      <c r="Q3422" s="5"/>
      <c r="R3422" s="5"/>
      <c r="S3422" s="5"/>
      <c r="T3422" s="5"/>
      <c r="U3422" s="35"/>
      <c r="V3422" s="171"/>
    </row>
    <row r="3423" customFormat="false" ht="15" hidden="false" customHeight="true" outlineLevel="0" collapsed="false">
      <c r="B3423" s="5"/>
      <c r="C3423" s="155"/>
      <c r="D3423" s="156"/>
      <c r="F3423" s="170"/>
      <c r="G3423" s="5"/>
      <c r="H3423" s="5"/>
      <c r="I3423" s="5"/>
      <c r="J3423" s="158"/>
      <c r="K3423" s="159"/>
      <c r="L3423" s="160"/>
      <c r="M3423" s="161"/>
      <c r="N3423" s="162"/>
      <c r="O3423" s="163"/>
      <c r="P3423" s="163"/>
      <c r="Q3423" s="5"/>
      <c r="R3423" s="5"/>
      <c r="S3423" s="5"/>
      <c r="T3423" s="5"/>
      <c r="U3423" s="35"/>
      <c r="V3423" s="171"/>
      <c r="W3423" s="172"/>
      <c r="X3423" s="173"/>
    </row>
    <row r="3424" customFormat="false" ht="15" hidden="false" customHeight="true" outlineLevel="0" collapsed="false">
      <c r="B3424" s="5"/>
      <c r="C3424" s="155"/>
      <c r="D3424" s="156"/>
      <c r="F3424" s="170"/>
      <c r="G3424" s="5"/>
      <c r="H3424" s="5"/>
      <c r="I3424" s="5"/>
      <c r="J3424" s="158"/>
      <c r="K3424" s="159"/>
      <c r="L3424" s="160"/>
      <c r="M3424" s="161"/>
      <c r="N3424" s="162"/>
      <c r="O3424" s="163"/>
      <c r="P3424" s="160"/>
      <c r="Q3424" s="5"/>
      <c r="R3424" s="5"/>
      <c r="S3424" s="5"/>
      <c r="T3424" s="5"/>
      <c r="U3424" s="35"/>
      <c r="V3424" s="171"/>
      <c r="W3424" s="172"/>
      <c r="X3424" s="173"/>
    </row>
    <row r="3425" customFormat="false" ht="15" hidden="false" customHeight="true" outlineLevel="0" collapsed="false">
      <c r="B3425" s="5"/>
      <c r="C3425" s="155"/>
      <c r="D3425" s="156"/>
      <c r="F3425" s="170"/>
      <c r="G3425" s="5"/>
      <c r="H3425" s="5"/>
      <c r="I3425" s="5"/>
      <c r="J3425" s="158"/>
      <c r="K3425" s="159"/>
      <c r="L3425" s="160"/>
      <c r="M3425" s="174"/>
      <c r="N3425" s="168"/>
      <c r="O3425" s="163"/>
      <c r="P3425" s="160"/>
      <c r="Q3425" s="5"/>
      <c r="R3425" s="5"/>
      <c r="S3425" s="5"/>
      <c r="T3425" s="5"/>
      <c r="U3425" s="35"/>
      <c r="V3425" s="171"/>
    </row>
    <row r="3426" customFormat="false" ht="15" hidden="false" customHeight="true" outlineLevel="0" collapsed="false">
      <c r="B3426" s="5"/>
      <c r="C3426" s="155"/>
      <c r="D3426" s="156"/>
      <c r="F3426" s="157"/>
      <c r="G3426" s="5"/>
      <c r="H3426" s="5"/>
      <c r="I3426" s="5"/>
      <c r="J3426" s="158"/>
      <c r="K3426" s="159"/>
      <c r="L3426" s="160"/>
      <c r="M3426" s="161"/>
      <c r="N3426" s="162"/>
      <c r="O3426" s="163"/>
      <c r="P3426" s="163"/>
      <c r="Q3426" s="158"/>
      <c r="R3426" s="5"/>
      <c r="S3426" s="5"/>
      <c r="T3426" s="5"/>
      <c r="U3426" s="35"/>
      <c r="V3426" s="171"/>
    </row>
    <row r="3427" customFormat="false" ht="15" hidden="false" customHeight="true" outlineLevel="0" collapsed="false">
      <c r="B3427" s="5"/>
      <c r="C3427" s="155"/>
      <c r="D3427" s="156"/>
      <c r="F3427" s="157"/>
      <c r="G3427" s="5"/>
      <c r="H3427" s="5"/>
      <c r="I3427" s="5"/>
      <c r="J3427" s="158"/>
      <c r="K3427" s="159"/>
      <c r="L3427" s="160"/>
      <c r="M3427" s="161"/>
      <c r="N3427" s="162"/>
      <c r="O3427" s="163"/>
      <c r="P3427" s="163"/>
      <c r="Q3427" s="158"/>
      <c r="R3427" s="5"/>
      <c r="S3427" s="5"/>
      <c r="T3427" s="5"/>
      <c r="U3427" s="35"/>
      <c r="V3427" s="164"/>
    </row>
    <row r="3428" customFormat="false" ht="15" hidden="false" customHeight="true" outlineLevel="0" collapsed="false">
      <c r="B3428" s="5"/>
      <c r="C3428" s="155"/>
      <c r="D3428" s="156"/>
      <c r="F3428" s="157"/>
      <c r="G3428" s="5"/>
      <c r="H3428" s="5"/>
      <c r="I3428" s="5"/>
      <c r="J3428" s="158"/>
      <c r="K3428" s="159"/>
      <c r="L3428" s="160"/>
      <c r="M3428" s="161"/>
      <c r="N3428" s="162"/>
      <c r="O3428" s="163"/>
      <c r="P3428" s="163"/>
      <c r="Q3428" s="158"/>
      <c r="R3428" s="5"/>
      <c r="S3428" s="5"/>
      <c r="T3428" s="5"/>
      <c r="U3428" s="35"/>
      <c r="V3428" s="164"/>
    </row>
    <row r="3429" customFormat="false" ht="15" hidden="false" customHeight="true" outlineLevel="0" collapsed="false">
      <c r="C3429" s="155"/>
      <c r="D3429" s="156"/>
      <c r="F3429" s="157"/>
      <c r="G3429" s="5"/>
      <c r="H3429" s="165"/>
      <c r="I3429" s="165"/>
      <c r="J3429" s="158"/>
      <c r="K3429" s="159"/>
      <c r="L3429" s="166"/>
      <c r="M3429" s="167"/>
      <c r="N3429" s="168"/>
      <c r="O3429" s="163"/>
      <c r="P3429" s="163"/>
      <c r="Q3429" s="158"/>
      <c r="R3429" s="5"/>
      <c r="S3429" s="169"/>
      <c r="T3429" s="158"/>
      <c r="U3429" s="35"/>
      <c r="V3429" s="164"/>
    </row>
    <row r="3430" customFormat="false" ht="15" hidden="false" customHeight="true" outlineLevel="0" collapsed="false">
      <c r="C3430" s="155"/>
      <c r="D3430" s="156"/>
      <c r="F3430" s="157"/>
      <c r="G3430" s="5"/>
      <c r="H3430" s="165"/>
      <c r="I3430" s="165"/>
      <c r="J3430" s="158"/>
      <c r="K3430" s="159"/>
      <c r="L3430" s="166"/>
      <c r="M3430" s="167"/>
      <c r="N3430" s="168"/>
      <c r="O3430" s="163"/>
      <c r="P3430" s="163"/>
      <c r="Q3430" s="158"/>
      <c r="R3430" s="5"/>
      <c r="S3430" s="169"/>
      <c r="T3430" s="158"/>
      <c r="U3430" s="35"/>
      <c r="V3430" s="164"/>
    </row>
    <row r="3431" customFormat="false" ht="15" hidden="false" customHeight="true" outlineLevel="0" collapsed="false">
      <c r="C3431" s="155"/>
      <c r="D3431" s="156"/>
      <c r="F3431" s="157"/>
      <c r="G3431" s="5"/>
      <c r="H3431" s="165"/>
      <c r="I3431" s="165"/>
      <c r="J3431" s="158"/>
      <c r="K3431" s="159"/>
      <c r="L3431" s="166"/>
      <c r="M3431" s="167"/>
      <c r="N3431" s="168"/>
      <c r="O3431" s="163"/>
      <c r="P3431" s="163"/>
      <c r="Q3431" s="158"/>
      <c r="R3431" s="5"/>
      <c r="S3431" s="169"/>
      <c r="T3431" s="158"/>
      <c r="U3431" s="35"/>
      <c r="V3431" s="164"/>
    </row>
    <row r="3432" customFormat="false" ht="15" hidden="false" customHeight="true" outlineLevel="0" collapsed="false">
      <c r="B3432" s="5"/>
      <c r="C3432" s="155"/>
      <c r="D3432" s="156"/>
      <c r="F3432" s="157"/>
      <c r="G3432" s="5"/>
      <c r="H3432" s="5"/>
      <c r="I3432" s="5"/>
      <c r="J3432" s="158"/>
      <c r="K3432" s="159"/>
      <c r="L3432" s="160"/>
      <c r="M3432" s="161"/>
      <c r="N3432" s="162"/>
      <c r="O3432" s="163"/>
      <c r="P3432" s="163"/>
      <c r="Q3432" s="158"/>
      <c r="R3432" s="5"/>
      <c r="S3432" s="5"/>
      <c r="T3432" s="5"/>
      <c r="U3432" s="35"/>
      <c r="V3432" s="171"/>
    </row>
    <row r="3433" customFormat="false" ht="15" hidden="false" customHeight="true" outlineLevel="0" collapsed="false">
      <c r="B3433" s="5"/>
      <c r="C3433" s="155"/>
      <c r="D3433" s="156"/>
      <c r="F3433" s="157"/>
      <c r="G3433" s="5"/>
      <c r="H3433" s="5"/>
      <c r="I3433" s="5"/>
      <c r="J3433" s="158"/>
      <c r="K3433" s="159"/>
      <c r="L3433" s="160"/>
      <c r="M3433" s="161"/>
      <c r="N3433" s="162"/>
      <c r="O3433" s="163"/>
      <c r="P3433" s="163"/>
      <c r="Q3433" s="158"/>
      <c r="R3433" s="5"/>
      <c r="S3433" s="5"/>
      <c r="T3433" s="5"/>
      <c r="U3433" s="35"/>
      <c r="V3433" s="164"/>
    </row>
    <row r="3434" customFormat="false" ht="15" hidden="false" customHeight="true" outlineLevel="0" collapsed="false">
      <c r="C3434" s="155"/>
      <c r="D3434" s="156"/>
      <c r="F3434" s="157"/>
      <c r="G3434" s="5"/>
      <c r="H3434" s="165"/>
      <c r="I3434" s="165"/>
      <c r="J3434" s="158"/>
      <c r="K3434" s="159"/>
      <c r="L3434" s="166"/>
      <c r="M3434" s="167"/>
      <c r="N3434" s="168"/>
      <c r="O3434" s="163"/>
      <c r="P3434" s="163"/>
      <c r="Q3434" s="158"/>
      <c r="R3434" s="5"/>
      <c r="S3434" s="169"/>
      <c r="T3434" s="158"/>
      <c r="U3434" s="35"/>
      <c r="V3434" s="164"/>
    </row>
    <row r="3435" customFormat="false" ht="15" hidden="false" customHeight="true" outlineLevel="0" collapsed="false">
      <c r="B3435" s="5"/>
      <c r="C3435" s="155"/>
      <c r="D3435" s="156"/>
      <c r="F3435" s="170"/>
      <c r="G3435" s="5"/>
      <c r="H3435" s="5"/>
      <c r="I3435" s="5"/>
      <c r="J3435" s="158"/>
      <c r="K3435" s="163"/>
      <c r="L3435" s="160"/>
      <c r="M3435" s="174"/>
      <c r="N3435" s="168"/>
      <c r="O3435" s="163"/>
      <c r="P3435" s="160"/>
      <c r="Q3435" s="175"/>
      <c r="R3435" s="5"/>
      <c r="S3435" s="5"/>
      <c r="T3435" s="5"/>
      <c r="U3435" s="35"/>
      <c r="V3435" s="171"/>
      <c r="W3435" s="170"/>
      <c r="X3435" s="176"/>
    </row>
    <row r="3436" customFormat="false" ht="15" hidden="false" customHeight="true" outlineLevel="0" collapsed="false">
      <c r="C3436" s="155"/>
      <c r="D3436" s="156"/>
      <c r="F3436" s="157"/>
      <c r="G3436" s="5"/>
      <c r="H3436" s="165"/>
      <c r="I3436" s="165"/>
      <c r="J3436" s="158"/>
      <c r="K3436" s="159"/>
      <c r="L3436" s="166"/>
      <c r="M3436" s="167"/>
      <c r="N3436" s="168"/>
      <c r="O3436" s="163"/>
      <c r="P3436" s="163"/>
      <c r="Q3436" s="158"/>
      <c r="R3436" s="5"/>
      <c r="S3436" s="169"/>
      <c r="T3436" s="158"/>
      <c r="U3436" s="35"/>
      <c r="V3436" s="164"/>
    </row>
    <row r="3437" customFormat="false" ht="15" hidden="false" customHeight="true" outlineLevel="0" collapsed="false">
      <c r="C3437" s="155"/>
      <c r="D3437" s="156"/>
      <c r="F3437" s="157"/>
      <c r="G3437" s="5"/>
      <c r="H3437" s="165"/>
      <c r="I3437" s="165"/>
      <c r="J3437" s="158"/>
      <c r="K3437" s="159"/>
      <c r="L3437" s="166"/>
      <c r="M3437" s="167"/>
      <c r="N3437" s="168"/>
      <c r="O3437" s="163"/>
      <c r="P3437" s="163"/>
      <c r="Q3437" s="158"/>
      <c r="R3437" s="5"/>
      <c r="S3437" s="169"/>
      <c r="T3437" s="158"/>
      <c r="U3437" s="35"/>
      <c r="V3437" s="164"/>
    </row>
    <row r="3438" customFormat="false" ht="15" hidden="false" customHeight="true" outlineLevel="0" collapsed="false">
      <c r="B3438" s="5"/>
      <c r="C3438" s="155"/>
      <c r="D3438" s="156"/>
      <c r="F3438" s="170"/>
      <c r="G3438" s="5"/>
      <c r="H3438" s="5"/>
      <c r="I3438" s="5"/>
      <c r="J3438" s="158"/>
      <c r="K3438" s="163"/>
      <c r="L3438" s="160"/>
      <c r="M3438" s="174"/>
      <c r="N3438" s="168"/>
      <c r="O3438" s="163"/>
      <c r="P3438" s="160"/>
      <c r="Q3438" s="175"/>
      <c r="R3438" s="5"/>
      <c r="S3438" s="5"/>
      <c r="T3438" s="5"/>
      <c r="U3438" s="35"/>
      <c r="V3438" s="171"/>
      <c r="W3438" s="170"/>
      <c r="X3438" s="176"/>
    </row>
    <row r="3439" customFormat="false" ht="15" hidden="false" customHeight="true" outlineLevel="0" collapsed="false">
      <c r="B3439" s="5"/>
      <c r="C3439" s="155"/>
      <c r="D3439" s="156"/>
      <c r="F3439" s="170"/>
      <c r="G3439" s="5"/>
      <c r="H3439" s="5"/>
      <c r="I3439" s="5"/>
      <c r="J3439" s="158"/>
      <c r="K3439" s="159"/>
      <c r="L3439" s="160"/>
      <c r="M3439" s="174"/>
      <c r="N3439" s="168"/>
      <c r="O3439" s="163"/>
      <c r="P3439" s="160"/>
      <c r="Q3439" s="5"/>
      <c r="R3439" s="5"/>
      <c r="S3439" s="5"/>
      <c r="T3439" s="5"/>
      <c r="U3439" s="35"/>
      <c r="V3439" s="171"/>
    </row>
    <row r="3440" customFormat="false" ht="15" hidden="false" customHeight="true" outlineLevel="0" collapsed="false">
      <c r="C3440" s="155"/>
      <c r="D3440" s="156"/>
      <c r="F3440" s="157"/>
      <c r="G3440" s="5"/>
      <c r="H3440" s="165"/>
      <c r="I3440" s="184"/>
      <c r="J3440" s="158"/>
      <c r="K3440" s="159"/>
      <c r="L3440" s="166"/>
      <c r="M3440" s="167"/>
      <c r="N3440" s="168"/>
      <c r="O3440" s="163"/>
      <c r="P3440" s="163"/>
      <c r="Q3440" s="158"/>
      <c r="R3440" s="5"/>
      <c r="S3440" s="169"/>
      <c r="T3440" s="158"/>
      <c r="U3440" s="35"/>
      <c r="V3440" s="164"/>
    </row>
    <row r="3441" customFormat="false" ht="15" hidden="false" customHeight="true" outlineLevel="0" collapsed="false">
      <c r="B3441" s="5"/>
      <c r="C3441" s="155"/>
      <c r="D3441" s="156"/>
      <c r="F3441" s="170"/>
      <c r="G3441" s="5"/>
      <c r="H3441" s="5"/>
      <c r="I3441" s="5"/>
      <c r="J3441" s="158"/>
      <c r="K3441" s="163"/>
      <c r="L3441" s="160"/>
      <c r="M3441" s="174"/>
      <c r="N3441" s="168"/>
      <c r="O3441" s="163"/>
      <c r="P3441" s="160"/>
      <c r="Q3441" s="175"/>
      <c r="R3441" s="5"/>
      <c r="S3441" s="5"/>
      <c r="T3441" s="5"/>
      <c r="U3441" s="165"/>
      <c r="V3441" s="164"/>
      <c r="W3441" s="116"/>
      <c r="X3441" s="116"/>
      <c r="Y3441" s="116"/>
    </row>
    <row r="3442" customFormat="false" ht="15" hidden="false" customHeight="true" outlineLevel="0" collapsed="false">
      <c r="B3442" s="5"/>
      <c r="C3442" s="155"/>
      <c r="D3442" s="156"/>
      <c r="F3442" s="170"/>
      <c r="G3442" s="5"/>
      <c r="H3442" s="5"/>
      <c r="I3442" s="5"/>
      <c r="J3442" s="158"/>
      <c r="K3442" s="163"/>
      <c r="L3442" s="160"/>
      <c r="M3442" s="174"/>
      <c r="N3442" s="168"/>
      <c r="O3442" s="163"/>
      <c r="P3442" s="160"/>
      <c r="Q3442" s="175"/>
      <c r="R3442" s="5"/>
      <c r="S3442" s="5"/>
      <c r="T3442" s="5"/>
      <c r="U3442" s="35"/>
      <c r="V3442" s="171"/>
      <c r="W3442" s="170"/>
      <c r="X3442" s="176"/>
    </row>
    <row r="3443" customFormat="false" ht="15" hidden="false" customHeight="true" outlineLevel="0" collapsed="false">
      <c r="B3443" s="5"/>
      <c r="C3443" s="155"/>
      <c r="D3443" s="156"/>
      <c r="F3443" s="170"/>
      <c r="G3443" s="5"/>
      <c r="H3443" s="5"/>
      <c r="I3443" s="5"/>
      <c r="J3443" s="158"/>
      <c r="K3443" s="163"/>
      <c r="L3443" s="160"/>
      <c r="M3443" s="174"/>
      <c r="N3443" s="168"/>
      <c r="O3443" s="163"/>
      <c r="P3443" s="160"/>
      <c r="Q3443" s="175"/>
      <c r="R3443" s="5"/>
      <c r="S3443" s="5"/>
      <c r="T3443" s="5"/>
      <c r="U3443" s="35"/>
      <c r="V3443" s="171"/>
      <c r="W3443" s="170"/>
      <c r="X3443" s="176"/>
    </row>
    <row r="3444" customFormat="false" ht="15" hidden="false" customHeight="true" outlineLevel="0" collapsed="false">
      <c r="B3444" s="5"/>
      <c r="C3444" s="155"/>
      <c r="D3444" s="156"/>
      <c r="F3444" s="157"/>
      <c r="G3444" s="5"/>
      <c r="H3444" s="5"/>
      <c r="I3444" s="5"/>
      <c r="J3444" s="158"/>
      <c r="K3444" s="159"/>
      <c r="L3444" s="160"/>
      <c r="M3444" s="161"/>
      <c r="N3444" s="162"/>
      <c r="O3444" s="163"/>
      <c r="P3444" s="163"/>
      <c r="Q3444" s="158"/>
      <c r="R3444" s="5"/>
      <c r="S3444" s="5"/>
      <c r="T3444" s="5"/>
      <c r="U3444" s="35"/>
      <c r="V3444" s="164"/>
    </row>
    <row r="3445" customFormat="false" ht="15" hidden="false" customHeight="true" outlineLevel="0" collapsed="false">
      <c r="B3445" s="5"/>
      <c r="C3445" s="155"/>
      <c r="D3445" s="156"/>
      <c r="F3445" s="157"/>
      <c r="G3445" s="5"/>
      <c r="H3445" s="5"/>
      <c r="I3445" s="5"/>
      <c r="J3445" s="158"/>
      <c r="K3445" s="159"/>
      <c r="L3445" s="160"/>
      <c r="M3445" s="161"/>
      <c r="N3445" s="162"/>
      <c r="O3445" s="163"/>
      <c r="P3445" s="163"/>
      <c r="Q3445" s="158"/>
      <c r="R3445" s="5"/>
      <c r="S3445" s="5"/>
      <c r="T3445" s="5"/>
      <c r="U3445" s="35"/>
      <c r="V3445" s="164"/>
    </row>
    <row r="3446" customFormat="false" ht="15" hidden="false" customHeight="true" outlineLevel="0" collapsed="false">
      <c r="C3446" s="155"/>
      <c r="D3446" s="156"/>
      <c r="F3446" s="157"/>
      <c r="G3446" s="5"/>
      <c r="H3446" s="165"/>
      <c r="I3446" s="165"/>
      <c r="J3446" s="158"/>
      <c r="K3446" s="159"/>
      <c r="L3446" s="166"/>
      <c r="M3446" s="167"/>
      <c r="N3446" s="168"/>
      <c r="O3446" s="163"/>
      <c r="P3446" s="163"/>
      <c r="Q3446" s="158"/>
      <c r="R3446" s="5"/>
      <c r="S3446" s="169"/>
      <c r="T3446" s="158"/>
      <c r="U3446" s="35"/>
      <c r="V3446" s="164"/>
    </row>
    <row r="3451" customFormat="false" ht="15" hidden="false" customHeight="true" outlineLevel="0" collapsed="false">
      <c r="V3451" s="203"/>
    </row>
    <row r="3452" customFormat="false" ht="15" hidden="false" customHeight="true" outlineLevel="0" collapsed="false">
      <c r="V3452" s="203"/>
    </row>
    <row r="3453" customFormat="false" ht="15" hidden="false" customHeight="true" outlineLevel="0" collapsed="false">
      <c r="V3453" s="203"/>
    </row>
    <row r="3454" customFormat="false" ht="15" hidden="false" customHeight="true" outlineLevel="0" collapsed="false">
      <c r="V3454" s="203"/>
    </row>
  </sheetData>
  <autoFilter ref="1:1"/>
  <conditionalFormatting sqref="Q2393:R2393">
    <cfRule type="expression" priority="2" aboveAverage="0" equalAverage="0" bottom="0" percent="0" rank="0" text="" dxfId="0">
      <formula>AND(COUNTIF($Q$2393:$R$2393, Q2393)&gt;1,NOT(ISBLANK(Q2393)))</formula>
    </cfRule>
  </conditionalFormatting>
  <hyperlinks>
    <hyperlink ref="Q628" r:id="rId1" display="Twoje dane"/>
  </hyperlinks>
  <printOptions headings="false" gridLines="false" gridLinesSet="true" horizontalCentered="false" verticalCentered="false"/>
  <pageMargins left="0.7" right="0.7" top="0.75" bottom="0.75" header="0.75" footer="0.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7.7890625" defaultRowHeight="12.8" zeroHeight="false" outlineLevelRow="0" outlineLevelCol="0"/>
  <cols>
    <col collapsed="false" customWidth="true" hidden="true" outlineLevel="0" max="1" min="1" style="116" width="7.36"/>
    <col collapsed="false" customWidth="true" hidden="false" outlineLevel="0" max="2" min="2" style="5" width="7.28"/>
    <col collapsed="false" customWidth="true" hidden="false" outlineLevel="0" max="3" min="3" style="206" width="8.79"/>
    <col collapsed="false" customWidth="false" hidden="false" outlineLevel="0" max="5" min="4" style="5" width="7.79"/>
    <col collapsed="false" customWidth="true" hidden="false" outlineLevel="0" max="6" min="6" style="207" width="13.5"/>
    <col collapsed="false" customWidth="true" hidden="false" outlineLevel="0" max="7" min="7" style="5" width="4.36"/>
    <col collapsed="false" customWidth="true" hidden="false" outlineLevel="0" max="8" min="8" style="158" width="3.71"/>
    <col collapsed="false" customWidth="true" hidden="false" outlineLevel="0" max="9" min="9" style="168" width="9"/>
    <col collapsed="false" customWidth="true" hidden="false" outlineLevel="0" max="10" min="10" style="168" width="4.71"/>
    <col collapsed="false" customWidth="true" hidden="false" outlineLevel="0" max="11" min="11" style="5" width="14.35"/>
    <col collapsed="false" customWidth="false" hidden="false" outlineLevel="0" max="13" min="12" style="5" width="7.79"/>
    <col collapsed="false" customWidth="true" hidden="false" outlineLevel="0" max="14" min="14" style="171" width="8.79"/>
    <col collapsed="false" customWidth="false" hidden="false" outlineLevel="0" max="15" min="15" style="208" width="7.79"/>
    <col collapsed="false" customWidth="false" hidden="false" outlineLevel="0" max="1023" min="16" style="116" width="7.79"/>
    <col collapsed="false" customWidth="true" hidden="false" outlineLevel="0" max="1024" min="1024" style="116" width="7.5"/>
  </cols>
  <sheetData>
    <row r="1" s="217" customFormat="true" ht="40.5" hidden="false" customHeight="true" outlineLevel="0" collapsed="false">
      <c r="A1" s="209"/>
      <c r="B1" s="210" t="s">
        <v>0</v>
      </c>
      <c r="C1" s="211" t="s">
        <v>1</v>
      </c>
      <c r="D1" s="210" t="s">
        <v>4101</v>
      </c>
      <c r="E1" s="210" t="s">
        <v>3</v>
      </c>
      <c r="F1" s="212" t="s">
        <v>4</v>
      </c>
      <c r="G1" s="210" t="s">
        <v>5</v>
      </c>
      <c r="H1" s="213" t="s">
        <v>4102</v>
      </c>
      <c r="I1" s="214" t="s">
        <v>9</v>
      </c>
      <c r="J1" s="214" t="s">
        <v>4103</v>
      </c>
      <c r="K1" s="210" t="s">
        <v>15</v>
      </c>
      <c r="L1" s="210" t="s">
        <v>18</v>
      </c>
      <c r="M1" s="210" t="s">
        <v>19</v>
      </c>
      <c r="N1" s="215" t="s">
        <v>20</v>
      </c>
      <c r="O1" s="216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</row>
    <row r="2" customFormat="false" ht="12.8" hidden="false" customHeight="false" outlineLevel="0" collapsed="false">
      <c r="B2" s="2" t="n">
        <v>1867</v>
      </c>
      <c r="C2" s="206" t="n">
        <v>43139</v>
      </c>
      <c r="D2" s="5" t="s">
        <v>22</v>
      </c>
      <c r="E2" s="165" t="s">
        <v>343</v>
      </c>
      <c r="F2" s="157" t="s">
        <v>392</v>
      </c>
      <c r="G2" s="5" t="s">
        <v>4104</v>
      </c>
      <c r="H2" s="165"/>
      <c r="I2" s="199" t="n">
        <v>29000</v>
      </c>
      <c r="J2" s="158"/>
      <c r="K2" s="158" t="s">
        <v>4105</v>
      </c>
      <c r="L2" s="35" t="s">
        <v>30</v>
      </c>
      <c r="M2" s="164" t="s">
        <v>31</v>
      </c>
      <c r="N2" s="164" t="n">
        <v>43234</v>
      </c>
    </row>
    <row r="3" customFormat="false" ht="12.8" hidden="false" customHeight="false" outlineLevel="0" collapsed="false">
      <c r="B3" s="2" t="n">
        <v>1577</v>
      </c>
      <c r="C3" s="206" t="n">
        <v>43137</v>
      </c>
      <c r="D3" s="5" t="s">
        <v>22</v>
      </c>
      <c r="E3" s="5" t="s">
        <v>350</v>
      </c>
      <c r="F3" s="157" t="s">
        <v>323</v>
      </c>
      <c r="G3" s="5" t="s">
        <v>715</v>
      </c>
      <c r="H3" s="165"/>
      <c r="I3" s="199" t="n">
        <v>26000</v>
      </c>
      <c r="J3" s="158"/>
      <c r="K3" s="158" t="s">
        <v>4106</v>
      </c>
      <c r="L3" s="35" t="s">
        <v>30</v>
      </c>
      <c r="M3" s="164" t="s">
        <v>31</v>
      </c>
      <c r="N3" s="164" t="n">
        <v>43234</v>
      </c>
    </row>
    <row r="4" customFormat="false" ht="12.8" hidden="false" customHeight="false" outlineLevel="0" collapsed="false">
      <c r="B4" s="2" t="n">
        <v>236</v>
      </c>
      <c r="C4" s="206" t="n">
        <v>43138</v>
      </c>
      <c r="D4" s="5" t="s">
        <v>22</v>
      </c>
      <c r="E4" s="165" t="s">
        <v>129</v>
      </c>
      <c r="F4" s="157" t="s">
        <v>209</v>
      </c>
      <c r="G4" s="5" t="s">
        <v>26</v>
      </c>
      <c r="H4" s="165"/>
      <c r="I4" s="199" t="n">
        <v>30000</v>
      </c>
      <c r="J4" s="158"/>
      <c r="K4" s="158" t="s">
        <v>3203</v>
      </c>
      <c r="L4" s="35" t="s">
        <v>30</v>
      </c>
      <c r="M4" s="164" t="s">
        <v>31</v>
      </c>
      <c r="N4" s="164" t="n">
        <v>43234</v>
      </c>
    </row>
    <row r="5" customFormat="false" ht="23.85" hidden="false" customHeight="false" outlineLevel="0" collapsed="false">
      <c r="B5" s="2" t="n">
        <v>1554</v>
      </c>
      <c r="C5" s="206" t="n">
        <v>43133</v>
      </c>
      <c r="D5" s="5" t="s">
        <v>22</v>
      </c>
      <c r="E5" s="165" t="s">
        <v>93</v>
      </c>
      <c r="F5" s="157" t="s">
        <v>195</v>
      </c>
      <c r="G5" s="5" t="s">
        <v>241</v>
      </c>
      <c r="H5" s="165"/>
      <c r="I5" s="199" t="n">
        <v>75500</v>
      </c>
      <c r="J5" s="158"/>
      <c r="K5" s="158" t="s">
        <v>4107</v>
      </c>
      <c r="L5" s="35" t="s">
        <v>30</v>
      </c>
      <c r="M5" s="164" t="s">
        <v>31</v>
      </c>
      <c r="N5" s="164" t="n">
        <v>43234</v>
      </c>
    </row>
    <row r="6" customFormat="false" ht="23.85" hidden="false" customHeight="false" outlineLevel="0" collapsed="false">
      <c r="B6" s="2" t="n">
        <v>1541</v>
      </c>
      <c r="C6" s="206" t="n">
        <v>43133</v>
      </c>
      <c r="D6" s="5" t="s">
        <v>22</v>
      </c>
      <c r="E6" s="165" t="s">
        <v>93</v>
      </c>
      <c r="F6" s="157" t="s">
        <v>195</v>
      </c>
      <c r="G6" s="5" t="s">
        <v>241</v>
      </c>
      <c r="H6" s="165"/>
      <c r="I6" s="199" t="n">
        <v>97500</v>
      </c>
      <c r="J6" s="158"/>
      <c r="K6" s="158" t="s">
        <v>4108</v>
      </c>
      <c r="L6" s="35" t="s">
        <v>30</v>
      </c>
      <c r="M6" s="164" t="s">
        <v>31</v>
      </c>
      <c r="N6" s="164" t="n">
        <v>43234</v>
      </c>
    </row>
    <row r="7" customFormat="false" ht="23.85" hidden="false" customHeight="false" outlineLevel="0" collapsed="false">
      <c r="B7" s="2" t="n">
        <v>1015</v>
      </c>
      <c r="C7" s="206" t="n">
        <v>43132</v>
      </c>
      <c r="D7" s="5" t="s">
        <v>22</v>
      </c>
      <c r="E7" s="165" t="s">
        <v>93</v>
      </c>
      <c r="F7" s="157" t="s">
        <v>195</v>
      </c>
      <c r="G7" s="5" t="s">
        <v>241</v>
      </c>
      <c r="H7" s="165"/>
      <c r="I7" s="199" t="n">
        <v>39000</v>
      </c>
      <c r="J7" s="158"/>
      <c r="K7" s="158" t="s">
        <v>4109</v>
      </c>
      <c r="L7" s="35" t="s">
        <v>30</v>
      </c>
      <c r="M7" s="164" t="s">
        <v>31</v>
      </c>
      <c r="N7" s="164" t="n">
        <v>43234</v>
      </c>
    </row>
    <row r="8" customFormat="false" ht="23.85" hidden="false" customHeight="false" outlineLevel="0" collapsed="false">
      <c r="B8" s="2" t="n">
        <v>1038</v>
      </c>
      <c r="C8" s="206" t="n">
        <v>43132</v>
      </c>
      <c r="D8" s="5" t="s">
        <v>22</v>
      </c>
      <c r="E8" s="165" t="s">
        <v>93</v>
      </c>
      <c r="F8" s="157" t="s">
        <v>195</v>
      </c>
      <c r="G8" s="5" t="s">
        <v>241</v>
      </c>
      <c r="H8" s="165"/>
      <c r="I8" s="199" t="n">
        <v>38500</v>
      </c>
      <c r="J8" s="158"/>
      <c r="K8" s="158" t="s">
        <v>4110</v>
      </c>
      <c r="L8" s="35" t="s">
        <v>30</v>
      </c>
      <c r="M8" s="164" t="s">
        <v>31</v>
      </c>
      <c r="N8" s="164" t="n">
        <v>43234</v>
      </c>
    </row>
    <row r="9" customFormat="false" ht="23.85" hidden="false" customHeight="false" outlineLevel="0" collapsed="false">
      <c r="B9" s="2" t="n">
        <v>926</v>
      </c>
      <c r="C9" s="206" t="n">
        <v>43131</v>
      </c>
      <c r="D9" s="5" t="s">
        <v>22</v>
      </c>
      <c r="E9" s="165" t="s">
        <v>93</v>
      </c>
      <c r="F9" s="157" t="s">
        <v>195</v>
      </c>
      <c r="G9" s="5" t="s">
        <v>241</v>
      </c>
      <c r="H9" s="165"/>
      <c r="I9" s="199" t="n">
        <v>39500</v>
      </c>
      <c r="J9" s="158"/>
      <c r="K9" s="158" t="s">
        <v>4111</v>
      </c>
      <c r="L9" s="35" t="s">
        <v>30</v>
      </c>
      <c r="M9" s="164" t="s">
        <v>31</v>
      </c>
      <c r="N9" s="164" t="n">
        <v>43234</v>
      </c>
    </row>
    <row r="10" customFormat="false" ht="23.85" hidden="false" customHeight="false" outlineLevel="0" collapsed="false">
      <c r="B10" s="2" t="n">
        <v>1066</v>
      </c>
      <c r="C10" s="206" t="n">
        <v>43132</v>
      </c>
      <c r="D10" s="5" t="s">
        <v>22</v>
      </c>
      <c r="E10" s="165" t="s">
        <v>93</v>
      </c>
      <c r="F10" s="157" t="s">
        <v>195</v>
      </c>
      <c r="G10" s="5" t="s">
        <v>241</v>
      </c>
      <c r="H10" s="165"/>
      <c r="I10" s="199" t="n">
        <v>38500</v>
      </c>
      <c r="J10" s="158"/>
      <c r="K10" s="158" t="s">
        <v>2194</v>
      </c>
      <c r="L10" s="35" t="s">
        <v>30</v>
      </c>
      <c r="M10" s="164" t="s">
        <v>31</v>
      </c>
      <c r="N10" s="164" t="n">
        <v>43234</v>
      </c>
    </row>
    <row r="11" customFormat="false" ht="12.8" hidden="false" customHeight="false" outlineLevel="0" collapsed="false">
      <c r="B11" s="2" t="n">
        <v>915</v>
      </c>
      <c r="C11" s="206" t="n">
        <v>43129</v>
      </c>
      <c r="D11" s="5" t="s">
        <v>22</v>
      </c>
      <c r="E11" s="165" t="s">
        <v>80</v>
      </c>
      <c r="F11" s="157" t="s">
        <v>162</v>
      </c>
      <c r="G11" s="5" t="s">
        <v>36</v>
      </c>
      <c r="H11" s="165"/>
      <c r="I11" s="199" t="n">
        <v>68000</v>
      </c>
      <c r="J11" s="158"/>
      <c r="K11" s="158" t="s">
        <v>4112</v>
      </c>
      <c r="L11" s="35" t="s">
        <v>30</v>
      </c>
      <c r="M11" s="164" t="s">
        <v>31</v>
      </c>
      <c r="N11" s="164" t="n">
        <v>43234</v>
      </c>
    </row>
    <row r="12" customFormat="false" ht="12.8" hidden="false" customHeight="false" outlineLevel="0" collapsed="false">
      <c r="B12" s="2" t="n">
        <v>4293</v>
      </c>
      <c r="C12" s="206" t="n">
        <v>43137</v>
      </c>
      <c r="D12" s="5" t="s">
        <v>22</v>
      </c>
      <c r="E12" s="165" t="s">
        <v>113</v>
      </c>
      <c r="F12" s="157" t="s">
        <v>851</v>
      </c>
      <c r="G12" s="5" t="s">
        <v>25</v>
      </c>
      <c r="H12" s="165"/>
      <c r="I12" s="199" t="n">
        <v>19500</v>
      </c>
      <c r="J12" s="158"/>
      <c r="K12" s="158" t="s">
        <v>4113</v>
      </c>
      <c r="L12" s="35" t="s">
        <v>30</v>
      </c>
      <c r="M12" s="164" t="s">
        <v>31</v>
      </c>
      <c r="N12" s="164" t="n">
        <v>43234</v>
      </c>
    </row>
    <row r="13" customFormat="false" ht="12.8" hidden="false" customHeight="false" outlineLevel="0" collapsed="false">
      <c r="B13" s="2" t="n">
        <v>2010</v>
      </c>
      <c r="C13" s="206" t="n">
        <v>43143</v>
      </c>
      <c r="D13" s="5" t="s">
        <v>22</v>
      </c>
      <c r="E13" s="5" t="s">
        <v>350</v>
      </c>
      <c r="F13" s="157" t="s">
        <v>323</v>
      </c>
      <c r="G13" s="5" t="s">
        <v>4114</v>
      </c>
      <c r="H13" s="165"/>
      <c r="I13" s="199" t="n">
        <v>32000</v>
      </c>
      <c r="J13" s="158"/>
      <c r="K13" s="158" t="s">
        <v>4115</v>
      </c>
      <c r="L13" s="35" t="s">
        <v>30</v>
      </c>
      <c r="M13" s="164" t="s">
        <v>31</v>
      </c>
      <c r="N13" s="164" t="n">
        <v>43234</v>
      </c>
    </row>
    <row r="14" customFormat="false" ht="12.8" hidden="false" customHeight="false" outlineLevel="0" collapsed="false">
      <c r="B14" s="2" t="n">
        <v>6159</v>
      </c>
      <c r="C14" s="206" t="n">
        <v>43151</v>
      </c>
      <c r="D14" s="5" t="s">
        <v>22</v>
      </c>
      <c r="E14" s="165" t="s">
        <v>522</v>
      </c>
      <c r="F14" s="157" t="s">
        <v>1400</v>
      </c>
      <c r="G14" s="5" t="s">
        <v>82</v>
      </c>
      <c r="H14" s="165"/>
      <c r="I14" s="199" t="n">
        <v>30000</v>
      </c>
      <c r="J14" s="158"/>
      <c r="K14" s="158" t="s">
        <v>4116</v>
      </c>
      <c r="L14" s="35" t="s">
        <v>30</v>
      </c>
      <c r="M14" s="164" t="s">
        <v>31</v>
      </c>
      <c r="N14" s="164" t="n">
        <v>43234</v>
      </c>
    </row>
    <row r="15" customFormat="false" ht="12.8" hidden="false" customHeight="false" outlineLevel="0" collapsed="false">
      <c r="A15" s="1" t="s">
        <v>4117</v>
      </c>
      <c r="B15" s="2" t="n">
        <v>1390</v>
      </c>
      <c r="C15" s="206" t="n">
        <v>43157</v>
      </c>
      <c r="D15" s="5" t="s">
        <v>22</v>
      </c>
      <c r="E15" s="165" t="s">
        <v>572</v>
      </c>
      <c r="F15" s="157" t="s">
        <v>809</v>
      </c>
      <c r="G15" s="5" t="s">
        <v>27</v>
      </c>
      <c r="H15" s="165"/>
      <c r="I15" s="199" t="n">
        <v>27921</v>
      </c>
      <c r="J15" s="158"/>
      <c r="K15" s="158" t="s">
        <v>4118</v>
      </c>
      <c r="L15" s="35" t="s">
        <v>30</v>
      </c>
      <c r="M15" s="164" t="s">
        <v>31</v>
      </c>
      <c r="N15" s="164" t="n">
        <v>43234</v>
      </c>
    </row>
    <row r="16" customFormat="false" ht="12.8" hidden="false" customHeight="false" outlineLevel="0" collapsed="false">
      <c r="B16" s="2" t="n">
        <v>747</v>
      </c>
      <c r="C16" s="206" t="n">
        <v>43160</v>
      </c>
      <c r="D16" s="5" t="s">
        <v>22</v>
      </c>
      <c r="E16" s="165" t="s">
        <v>644</v>
      </c>
      <c r="F16" s="157" t="s">
        <v>404</v>
      </c>
      <c r="G16" s="5" t="s">
        <v>4119</v>
      </c>
      <c r="H16" s="158" t="n">
        <v>17</v>
      </c>
      <c r="I16" s="199" t="n">
        <v>27000</v>
      </c>
      <c r="J16" s="158"/>
      <c r="K16" s="158" t="s">
        <v>4120</v>
      </c>
      <c r="L16" s="35" t="s">
        <v>30</v>
      </c>
      <c r="M16" s="164" t="s">
        <v>31</v>
      </c>
      <c r="N16" s="164" t="n">
        <v>43234</v>
      </c>
    </row>
    <row r="17" customFormat="false" ht="12.8" hidden="false" customHeight="false" outlineLevel="0" collapsed="false">
      <c r="B17" s="2" t="n">
        <v>7797</v>
      </c>
      <c r="C17" s="206" t="n">
        <v>43164</v>
      </c>
      <c r="D17" s="5" t="s">
        <v>22</v>
      </c>
      <c r="E17" s="165" t="s">
        <v>203</v>
      </c>
      <c r="F17" s="157" t="s">
        <v>625</v>
      </c>
      <c r="G17" s="5" t="s">
        <v>36</v>
      </c>
      <c r="H17" s="165"/>
      <c r="I17" s="199" t="n">
        <v>37000</v>
      </c>
      <c r="J17" s="158"/>
      <c r="K17" s="158" t="s">
        <v>4121</v>
      </c>
      <c r="L17" s="35" t="s">
        <v>30</v>
      </c>
      <c r="M17" s="164" t="s">
        <v>31</v>
      </c>
      <c r="N17" s="164" t="n">
        <v>43234</v>
      </c>
    </row>
    <row r="18" customFormat="false" ht="12.8" hidden="false" customHeight="false" outlineLevel="0" collapsed="false">
      <c r="B18" s="2" t="n">
        <v>10340</v>
      </c>
      <c r="C18" s="206" t="n">
        <v>43167</v>
      </c>
      <c r="D18" s="5" t="s">
        <v>22</v>
      </c>
      <c r="E18" s="165" t="s">
        <v>322</v>
      </c>
      <c r="F18" s="157" t="s">
        <v>323</v>
      </c>
      <c r="G18" s="5" t="s">
        <v>1245</v>
      </c>
      <c r="H18" s="165"/>
      <c r="I18" s="199" t="n">
        <v>31999.68</v>
      </c>
      <c r="J18" s="158"/>
      <c r="K18" s="158" t="s">
        <v>4122</v>
      </c>
      <c r="L18" s="35" t="s">
        <v>30</v>
      </c>
      <c r="M18" s="164" t="s">
        <v>31</v>
      </c>
      <c r="N18" s="164" t="n">
        <v>43234</v>
      </c>
    </row>
    <row r="19" customFormat="false" ht="12.8" hidden="false" customHeight="false" outlineLevel="0" collapsed="false">
      <c r="B19" s="2" t="n">
        <v>2066</v>
      </c>
      <c r="C19" s="206" t="n">
        <v>43171</v>
      </c>
      <c r="D19" s="5" t="s">
        <v>22</v>
      </c>
      <c r="E19" s="165" t="s">
        <v>206</v>
      </c>
      <c r="F19" s="157" t="s">
        <v>191</v>
      </c>
      <c r="G19" s="5" t="s">
        <v>101</v>
      </c>
      <c r="H19" s="165"/>
      <c r="I19" s="199" t="n">
        <v>37000</v>
      </c>
      <c r="J19" s="158"/>
      <c r="K19" s="158" t="s">
        <v>4123</v>
      </c>
      <c r="L19" s="35" t="s">
        <v>30</v>
      </c>
      <c r="M19" s="164" t="s">
        <v>31</v>
      </c>
      <c r="N19" s="164" t="n">
        <v>43234</v>
      </c>
    </row>
    <row r="20" customFormat="false" ht="12.8" hidden="false" customHeight="false" outlineLevel="0" collapsed="false">
      <c r="B20" s="2" t="n">
        <v>2213</v>
      </c>
      <c r="C20" s="206" t="n">
        <v>43167</v>
      </c>
      <c r="D20" s="5" t="s">
        <v>22</v>
      </c>
      <c r="E20" s="165" t="s">
        <v>118</v>
      </c>
      <c r="F20" s="157" t="s">
        <v>119</v>
      </c>
      <c r="G20" s="5" t="s">
        <v>25</v>
      </c>
      <c r="H20" s="165"/>
      <c r="I20" s="199" t="n">
        <v>23000</v>
      </c>
      <c r="J20" s="158"/>
      <c r="K20" s="158" t="s">
        <v>4124</v>
      </c>
      <c r="L20" s="35" t="s">
        <v>30</v>
      </c>
      <c r="M20" s="164" t="s">
        <v>31</v>
      </c>
      <c r="N20" s="164" t="n">
        <v>43234</v>
      </c>
    </row>
    <row r="21" customFormat="false" ht="12.8" hidden="false" customHeight="false" outlineLevel="0" collapsed="false">
      <c r="B21" s="2" t="n">
        <v>5446</v>
      </c>
      <c r="C21" s="206" t="n">
        <v>43174</v>
      </c>
      <c r="D21" s="5" t="s">
        <v>22</v>
      </c>
      <c r="E21" s="165" t="s">
        <v>206</v>
      </c>
      <c r="F21" s="157" t="s">
        <v>1423</v>
      </c>
      <c r="G21" s="5" t="s">
        <v>112</v>
      </c>
      <c r="H21" s="165"/>
      <c r="I21" s="199" t="n">
        <v>36900</v>
      </c>
      <c r="J21" s="158"/>
      <c r="K21" s="158" t="s">
        <v>4125</v>
      </c>
      <c r="L21" s="35" t="s">
        <v>30</v>
      </c>
      <c r="M21" s="164" t="s">
        <v>31</v>
      </c>
      <c r="N21" s="164" t="n">
        <v>43234</v>
      </c>
    </row>
    <row r="22" customFormat="false" ht="23.85" hidden="false" customHeight="false" outlineLevel="0" collapsed="false">
      <c r="B22" s="2" t="n">
        <v>534</v>
      </c>
      <c r="C22" s="206" t="n">
        <v>43112</v>
      </c>
      <c r="D22" s="5" t="s">
        <v>22</v>
      </c>
      <c r="E22" s="165" t="s">
        <v>156</v>
      </c>
      <c r="F22" s="157" t="s">
        <v>4126</v>
      </c>
      <c r="G22" s="5" t="s">
        <v>26</v>
      </c>
      <c r="H22" s="165"/>
      <c r="I22" s="199" t="n">
        <v>28000</v>
      </c>
      <c r="J22" s="158"/>
      <c r="K22" s="158" t="s">
        <v>4127</v>
      </c>
      <c r="L22" s="35" t="s">
        <v>30</v>
      </c>
      <c r="M22" s="164" t="s">
        <v>31</v>
      </c>
      <c r="N22" s="164" t="n">
        <v>43234</v>
      </c>
    </row>
    <row r="23" customFormat="false" ht="12.8" hidden="false" customHeight="false" outlineLevel="0" collapsed="false">
      <c r="B23" s="2" t="n">
        <v>57</v>
      </c>
      <c r="C23" s="206" t="n">
        <v>43110</v>
      </c>
      <c r="D23" s="5" t="s">
        <v>22</v>
      </c>
      <c r="E23" s="165" t="s">
        <v>171</v>
      </c>
      <c r="F23" s="157" t="s">
        <v>172</v>
      </c>
      <c r="G23" s="5" t="s">
        <v>36</v>
      </c>
      <c r="H23" s="165"/>
      <c r="I23" s="199" t="n">
        <v>32000</v>
      </c>
      <c r="J23" s="158"/>
      <c r="K23" s="158" t="s">
        <v>4128</v>
      </c>
      <c r="L23" s="35" t="s">
        <v>30</v>
      </c>
      <c r="M23" s="164" t="s">
        <v>31</v>
      </c>
      <c r="N23" s="164" t="n">
        <v>43234</v>
      </c>
    </row>
    <row r="24" customFormat="false" ht="12.8" hidden="false" customHeight="false" outlineLevel="0" collapsed="false">
      <c r="A24" s="1" t="n">
        <v>104114</v>
      </c>
      <c r="B24" s="2" t="n">
        <v>8396</v>
      </c>
      <c r="C24" s="206" t="n">
        <v>43228</v>
      </c>
      <c r="D24" s="5" t="s">
        <v>22</v>
      </c>
      <c r="E24" s="165" t="s">
        <v>171</v>
      </c>
      <c r="F24" s="157" t="s">
        <v>172</v>
      </c>
      <c r="G24" s="5" t="s">
        <v>36</v>
      </c>
      <c r="H24" s="165"/>
      <c r="I24" s="199" t="n">
        <v>22000</v>
      </c>
      <c r="J24" s="158"/>
      <c r="K24" s="199" t="s">
        <v>4129</v>
      </c>
      <c r="L24" s="35" t="s">
        <v>30</v>
      </c>
      <c r="M24" s="164" t="s">
        <v>31</v>
      </c>
      <c r="N24" s="164" t="n">
        <v>43343</v>
      </c>
    </row>
    <row r="25" customFormat="false" ht="12.8" hidden="false" customHeight="false" outlineLevel="0" collapsed="false">
      <c r="A25" s="1" t="n">
        <v>104052</v>
      </c>
      <c r="B25" s="2" t="n">
        <v>3058</v>
      </c>
      <c r="C25" s="206" t="n">
        <v>43235</v>
      </c>
      <c r="D25" s="5" t="s">
        <v>22</v>
      </c>
      <c r="E25" s="5" t="s">
        <v>572</v>
      </c>
      <c r="F25" s="157" t="s">
        <v>809</v>
      </c>
      <c r="G25" s="5" t="s">
        <v>27</v>
      </c>
      <c r="H25" s="165"/>
      <c r="I25" s="199" t="n">
        <v>27921</v>
      </c>
      <c r="J25" s="158"/>
      <c r="K25" s="199" t="s">
        <v>2203</v>
      </c>
      <c r="L25" s="35" t="s">
        <v>30</v>
      </c>
      <c r="M25" s="164" t="s">
        <v>31</v>
      </c>
      <c r="N25" s="164" t="n">
        <v>43343</v>
      </c>
    </row>
    <row r="26" customFormat="false" ht="12.8" hidden="false" customHeight="false" outlineLevel="0" collapsed="false">
      <c r="A26" s="1" t="n">
        <v>103934</v>
      </c>
      <c r="B26" s="2" t="n">
        <v>1052</v>
      </c>
      <c r="C26" s="206" t="n">
        <v>43217</v>
      </c>
      <c r="D26" s="5" t="s">
        <v>22</v>
      </c>
      <c r="E26" s="5" t="s">
        <v>906</v>
      </c>
      <c r="F26" s="157" t="s">
        <v>4057</v>
      </c>
      <c r="G26" s="5" t="s">
        <v>181</v>
      </c>
      <c r="H26" s="165"/>
      <c r="I26" s="199" t="n">
        <v>32000</v>
      </c>
      <c r="J26" s="158"/>
      <c r="K26" s="199" t="s">
        <v>4130</v>
      </c>
      <c r="L26" s="35" t="s">
        <v>30</v>
      </c>
      <c r="M26" s="164" t="s">
        <v>31</v>
      </c>
      <c r="N26" s="164" t="n">
        <v>43343</v>
      </c>
    </row>
    <row r="27" customFormat="false" ht="12.8" hidden="false" customHeight="false" outlineLevel="0" collapsed="false">
      <c r="A27" s="1" t="n">
        <v>103631</v>
      </c>
      <c r="B27" s="2" t="n">
        <v>2206</v>
      </c>
      <c r="C27" s="206" t="n">
        <v>43210</v>
      </c>
      <c r="D27" s="5" t="s">
        <v>22</v>
      </c>
      <c r="E27" s="5" t="s">
        <v>354</v>
      </c>
      <c r="F27" s="157" t="s">
        <v>565</v>
      </c>
      <c r="G27" s="5" t="s">
        <v>274</v>
      </c>
      <c r="H27" s="165"/>
      <c r="I27" s="199" t="n">
        <v>50000</v>
      </c>
      <c r="J27" s="158"/>
      <c r="K27" s="199" t="s">
        <v>4131</v>
      </c>
      <c r="L27" s="35" t="s">
        <v>30</v>
      </c>
      <c r="M27" s="164" t="s">
        <v>31</v>
      </c>
      <c r="N27" s="164" t="n">
        <v>43343</v>
      </c>
    </row>
    <row r="28" customFormat="false" ht="12.8" hidden="false" customHeight="false" outlineLevel="0" collapsed="false">
      <c r="A28" s="1" t="n">
        <v>103233</v>
      </c>
      <c r="B28" s="2" t="n">
        <v>7545</v>
      </c>
      <c r="C28" s="206" t="n">
        <v>43208</v>
      </c>
      <c r="D28" s="5" t="s">
        <v>22</v>
      </c>
      <c r="E28" s="5" t="s">
        <v>206</v>
      </c>
      <c r="F28" s="157" t="s">
        <v>1423</v>
      </c>
      <c r="G28" s="5" t="s">
        <v>112</v>
      </c>
      <c r="H28" s="165"/>
      <c r="I28" s="199" t="n">
        <v>25000</v>
      </c>
      <c r="J28" s="158"/>
      <c r="K28" s="199" t="s">
        <v>4132</v>
      </c>
      <c r="L28" s="35" t="s">
        <v>30</v>
      </c>
      <c r="M28" s="164" t="s">
        <v>31</v>
      </c>
      <c r="N28" s="164" t="n">
        <v>43343</v>
      </c>
    </row>
    <row r="29" customFormat="false" ht="12.8" hidden="false" customHeight="false" outlineLevel="0" collapsed="false">
      <c r="A29" s="1" t="n">
        <v>95041</v>
      </c>
      <c r="B29" s="2" t="n">
        <v>6509</v>
      </c>
      <c r="C29" s="206" t="n">
        <v>43255</v>
      </c>
      <c r="D29" s="5" t="s">
        <v>22</v>
      </c>
      <c r="E29" s="5" t="s">
        <v>129</v>
      </c>
      <c r="F29" s="157" t="s">
        <v>130</v>
      </c>
      <c r="G29" s="5" t="s">
        <v>126</v>
      </c>
      <c r="H29" s="165"/>
      <c r="I29" s="199" t="n">
        <v>20000</v>
      </c>
      <c r="J29" s="158"/>
      <c r="K29" s="199" t="s">
        <v>4133</v>
      </c>
      <c r="L29" s="35" t="s">
        <v>30</v>
      </c>
      <c r="M29" s="164" t="s">
        <v>31</v>
      </c>
      <c r="N29" s="164" t="n">
        <v>43343</v>
      </c>
    </row>
    <row r="30" customFormat="false" ht="12.8" hidden="false" customHeight="false" outlineLevel="0" collapsed="false">
      <c r="A30" s="1" t="n">
        <v>92159</v>
      </c>
      <c r="B30" s="2" t="n">
        <v>4777</v>
      </c>
      <c r="C30" s="206" t="n">
        <v>43180</v>
      </c>
      <c r="D30" s="5" t="s">
        <v>22</v>
      </c>
      <c r="E30" s="5" t="s">
        <v>122</v>
      </c>
      <c r="F30" s="157" t="s">
        <v>805</v>
      </c>
      <c r="G30" s="5" t="s">
        <v>473</v>
      </c>
      <c r="H30" s="165"/>
      <c r="I30" s="199" t="n">
        <v>31000</v>
      </c>
      <c r="J30" s="158"/>
      <c r="K30" s="199" t="s">
        <v>4134</v>
      </c>
      <c r="L30" s="35" t="s">
        <v>30</v>
      </c>
      <c r="M30" s="164" t="s">
        <v>31</v>
      </c>
      <c r="N30" s="164" t="n">
        <v>43343</v>
      </c>
    </row>
    <row r="31" customFormat="false" ht="12.8" hidden="false" customHeight="false" outlineLevel="0" collapsed="false">
      <c r="A31" s="1" t="n">
        <v>92535</v>
      </c>
      <c r="B31" s="2" t="n">
        <v>680</v>
      </c>
      <c r="C31" s="206" t="n">
        <v>43182</v>
      </c>
      <c r="D31" s="5" t="s">
        <v>22</v>
      </c>
      <c r="E31" s="5" t="s">
        <v>433</v>
      </c>
      <c r="F31" s="157" t="s">
        <v>434</v>
      </c>
      <c r="G31" s="5" t="s">
        <v>82</v>
      </c>
      <c r="H31" s="165"/>
      <c r="I31" s="199" t="n">
        <v>35000</v>
      </c>
      <c r="J31" s="158"/>
      <c r="K31" s="199" t="s">
        <v>4135</v>
      </c>
      <c r="L31" s="35" t="s">
        <v>30</v>
      </c>
      <c r="M31" s="164" t="s">
        <v>31</v>
      </c>
      <c r="N31" s="164" t="n">
        <v>43343</v>
      </c>
    </row>
    <row r="32" customFormat="false" ht="12.8" hidden="false" customHeight="false" outlineLevel="0" collapsed="false">
      <c r="A32" s="1" t="n">
        <v>92331</v>
      </c>
      <c r="B32" s="2" t="n">
        <v>1434</v>
      </c>
      <c r="C32" s="206" t="n">
        <v>43178</v>
      </c>
      <c r="D32" s="5" t="s">
        <v>22</v>
      </c>
      <c r="E32" s="5" t="s">
        <v>372</v>
      </c>
      <c r="F32" s="157" t="s">
        <v>272</v>
      </c>
      <c r="G32" s="5" t="s">
        <v>217</v>
      </c>
      <c r="H32" s="165"/>
      <c r="I32" s="199" t="n">
        <v>40000</v>
      </c>
      <c r="J32" s="158"/>
      <c r="K32" s="158" t="s">
        <v>4136</v>
      </c>
      <c r="L32" s="35" t="s">
        <v>30</v>
      </c>
      <c r="M32" s="164" t="s">
        <v>31</v>
      </c>
      <c r="N32" s="164" t="n">
        <v>43343</v>
      </c>
    </row>
    <row r="33" customFormat="false" ht="12.8" hidden="false" customHeight="false" outlineLevel="0" collapsed="false">
      <c r="A33" s="1" t="n">
        <v>94031</v>
      </c>
      <c r="B33" s="2" t="n">
        <v>10455</v>
      </c>
      <c r="C33" s="206" t="n">
        <v>43259</v>
      </c>
      <c r="D33" s="5" t="s">
        <v>22</v>
      </c>
      <c r="E33" s="5" t="s">
        <v>350</v>
      </c>
      <c r="F33" s="157" t="s">
        <v>323</v>
      </c>
      <c r="G33" s="5" t="s">
        <v>4064</v>
      </c>
      <c r="H33" s="165"/>
      <c r="I33" s="199" t="n">
        <v>32000</v>
      </c>
      <c r="J33" s="158"/>
      <c r="K33" s="199" t="s">
        <v>4137</v>
      </c>
      <c r="L33" s="35" t="s">
        <v>30</v>
      </c>
      <c r="M33" s="164" t="s">
        <v>31</v>
      </c>
      <c r="N33" s="164" t="n">
        <v>43343</v>
      </c>
    </row>
    <row r="34" customFormat="false" ht="12.8" hidden="false" customHeight="false" outlineLevel="0" collapsed="false">
      <c r="B34" s="5" t="s">
        <v>4138</v>
      </c>
      <c r="C34" s="206" t="n">
        <v>43420</v>
      </c>
      <c r="D34" s="5" t="s">
        <v>22</v>
      </c>
      <c r="E34" s="5" t="s">
        <v>4139</v>
      </c>
      <c r="F34" s="207" t="s">
        <v>2240</v>
      </c>
      <c r="G34" s="5" t="s">
        <v>464</v>
      </c>
      <c r="I34" s="168" t="n">
        <v>23781</v>
      </c>
      <c r="K34" s="5" t="s">
        <v>4140</v>
      </c>
      <c r="L34" s="35" t="s">
        <v>30</v>
      </c>
      <c r="M34" s="164" t="s">
        <v>31</v>
      </c>
      <c r="N34" s="171" t="n">
        <v>43514</v>
      </c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8" hidden="false" customHeight="false" outlineLevel="0" collapsed="false">
      <c r="B35" s="5" t="s">
        <v>4141</v>
      </c>
      <c r="C35" s="206" t="n">
        <v>43418</v>
      </c>
      <c r="D35" s="5" t="s">
        <v>22</v>
      </c>
      <c r="E35" s="5" t="s">
        <v>350</v>
      </c>
      <c r="F35" s="207" t="s">
        <v>351</v>
      </c>
      <c r="G35" s="5" t="s">
        <v>158</v>
      </c>
      <c r="I35" s="168" t="n">
        <v>26000</v>
      </c>
      <c r="K35" s="5" t="s">
        <v>4142</v>
      </c>
      <c r="L35" s="35" t="s">
        <v>30</v>
      </c>
      <c r="M35" s="164" t="s">
        <v>31</v>
      </c>
      <c r="N35" s="171" t="n">
        <v>43514</v>
      </c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8" hidden="false" customHeight="false" outlineLevel="0" collapsed="false">
      <c r="B36" s="5" t="s">
        <v>4143</v>
      </c>
      <c r="C36" s="206" t="n">
        <v>43411</v>
      </c>
      <c r="D36" s="5" t="s">
        <v>22</v>
      </c>
      <c r="E36" s="5" t="s">
        <v>4139</v>
      </c>
      <c r="F36" s="207" t="s">
        <v>4144</v>
      </c>
      <c r="G36" s="5" t="s">
        <v>217</v>
      </c>
      <c r="I36" s="168" t="n">
        <v>12339</v>
      </c>
      <c r="K36" s="5" t="s">
        <v>4145</v>
      </c>
      <c r="L36" s="35" t="s">
        <v>30</v>
      </c>
      <c r="M36" s="164" t="s">
        <v>31</v>
      </c>
      <c r="N36" s="171" t="n">
        <v>43514</v>
      </c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8" hidden="false" customHeight="false" outlineLevel="0" collapsed="false">
      <c r="B37" s="5" t="s">
        <v>4146</v>
      </c>
      <c r="C37" s="206" t="n">
        <v>43420</v>
      </c>
      <c r="D37" s="5" t="s">
        <v>22</v>
      </c>
      <c r="E37" s="5" t="s">
        <v>350</v>
      </c>
      <c r="F37" s="207" t="s">
        <v>351</v>
      </c>
      <c r="G37" s="5" t="s">
        <v>274</v>
      </c>
      <c r="I37" s="168" t="n">
        <v>25000</v>
      </c>
      <c r="K37" s="5" t="s">
        <v>4147</v>
      </c>
      <c r="L37" s="35" t="s">
        <v>30</v>
      </c>
      <c r="M37" s="164" t="s">
        <v>31</v>
      </c>
      <c r="N37" s="171" t="n">
        <v>43514</v>
      </c>
    </row>
    <row r="38" customFormat="false" ht="12.8" hidden="false" customHeight="false" outlineLevel="0" collapsed="false">
      <c r="B38" s="5" t="s">
        <v>4148</v>
      </c>
      <c r="C38" s="206" t="n">
        <v>43421</v>
      </c>
      <c r="D38" s="5" t="s">
        <v>22</v>
      </c>
      <c r="E38" s="5" t="s">
        <v>407</v>
      </c>
      <c r="F38" s="207" t="s">
        <v>230</v>
      </c>
      <c r="G38" s="5" t="s">
        <v>408</v>
      </c>
      <c r="I38" s="168" t="n">
        <v>31000</v>
      </c>
      <c r="K38" s="5" t="s">
        <v>4149</v>
      </c>
      <c r="L38" s="35" t="s">
        <v>30</v>
      </c>
      <c r="M38" s="164" t="s">
        <v>31</v>
      </c>
      <c r="N38" s="171" t="n">
        <v>43514</v>
      </c>
    </row>
    <row r="39" customFormat="false" ht="12.8" hidden="false" customHeight="false" outlineLevel="0" collapsed="false">
      <c r="B39" s="5" t="s">
        <v>4150</v>
      </c>
      <c r="C39" s="206" t="n">
        <v>43417</v>
      </c>
      <c r="D39" s="5" t="s">
        <v>22</v>
      </c>
      <c r="E39" s="5" t="s">
        <v>4139</v>
      </c>
      <c r="F39" s="207" t="s">
        <v>1365</v>
      </c>
      <c r="G39" s="5" t="s">
        <v>464</v>
      </c>
      <c r="I39" s="168" t="n">
        <v>28400</v>
      </c>
      <c r="K39" s="5" t="s">
        <v>4151</v>
      </c>
      <c r="L39" s="35" t="s">
        <v>30</v>
      </c>
      <c r="M39" s="164" t="s">
        <v>31</v>
      </c>
      <c r="N39" s="171" t="n">
        <v>43514</v>
      </c>
    </row>
    <row r="40" customFormat="false" ht="12.8" hidden="false" customHeight="false" outlineLevel="0" collapsed="false">
      <c r="B40" s="5" t="s">
        <v>4152</v>
      </c>
      <c r="C40" s="206" t="n">
        <v>43432</v>
      </c>
      <c r="D40" s="5" t="s">
        <v>22</v>
      </c>
      <c r="E40" s="5" t="s">
        <v>527</v>
      </c>
      <c r="F40" s="207" t="s">
        <v>240</v>
      </c>
      <c r="G40" s="5" t="s">
        <v>4153</v>
      </c>
      <c r="I40" s="168" t="n">
        <v>80000</v>
      </c>
      <c r="K40" s="5" t="s">
        <v>4154</v>
      </c>
      <c r="L40" s="35" t="s">
        <v>30</v>
      </c>
      <c r="M40" s="164" t="s">
        <v>31</v>
      </c>
      <c r="N40" s="171" t="n">
        <v>43514</v>
      </c>
    </row>
    <row r="41" customFormat="false" ht="12.8" hidden="false" customHeight="false" outlineLevel="0" collapsed="false">
      <c r="B41" s="5" t="s">
        <v>4155</v>
      </c>
      <c r="C41" s="206" t="n">
        <v>43432</v>
      </c>
      <c r="D41" s="5" t="s">
        <v>22</v>
      </c>
      <c r="E41" s="5" t="s">
        <v>527</v>
      </c>
      <c r="F41" s="207" t="s">
        <v>240</v>
      </c>
      <c r="G41" s="5" t="s">
        <v>4153</v>
      </c>
      <c r="I41" s="168" t="n">
        <v>40000</v>
      </c>
      <c r="K41" s="5" t="s">
        <v>4156</v>
      </c>
      <c r="L41" s="35" t="s">
        <v>30</v>
      </c>
      <c r="M41" s="164" t="s">
        <v>31</v>
      </c>
      <c r="N41" s="171" t="n">
        <v>43514</v>
      </c>
    </row>
    <row r="42" customFormat="false" ht="12.8" hidden="false" customHeight="false" outlineLevel="0" collapsed="false">
      <c r="B42" s="2" t="n">
        <v>8187</v>
      </c>
      <c r="C42" s="218" t="n">
        <v>43378</v>
      </c>
      <c r="D42" s="5" t="s">
        <v>22</v>
      </c>
      <c r="E42" s="5" t="s">
        <v>372</v>
      </c>
      <c r="F42" s="207" t="s">
        <v>272</v>
      </c>
      <c r="G42" s="5" t="s">
        <v>3113</v>
      </c>
      <c r="I42" s="163" t="n">
        <v>5000</v>
      </c>
      <c r="K42" s="5" t="s">
        <v>4157</v>
      </c>
      <c r="L42" s="35" t="s">
        <v>1915</v>
      </c>
      <c r="M42" s="164" t="s">
        <v>31</v>
      </c>
      <c r="N42" s="171" t="n">
        <v>43514</v>
      </c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8" hidden="false" customHeight="false" outlineLevel="0" collapsed="false">
      <c r="B43" s="2" t="n">
        <v>7946</v>
      </c>
      <c r="C43" s="218" t="n">
        <v>43375</v>
      </c>
      <c r="D43" s="5" t="s">
        <v>22</v>
      </c>
      <c r="E43" s="5" t="s">
        <v>350</v>
      </c>
      <c r="F43" s="157" t="s">
        <v>323</v>
      </c>
      <c r="G43" s="5" t="s">
        <v>26</v>
      </c>
      <c r="I43" s="163" t="n">
        <v>25</v>
      </c>
      <c r="K43" s="5" t="s">
        <v>4158</v>
      </c>
      <c r="L43" s="35" t="s">
        <v>30</v>
      </c>
      <c r="M43" s="164" t="s">
        <v>31</v>
      </c>
      <c r="N43" s="171" t="n">
        <v>43514</v>
      </c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8" hidden="false" customHeight="false" outlineLevel="0" collapsed="false">
      <c r="B44" s="2" t="n">
        <v>17843</v>
      </c>
      <c r="C44" s="218" t="n">
        <v>43381</v>
      </c>
      <c r="D44" s="5" t="s">
        <v>22</v>
      </c>
      <c r="E44" s="5" t="s">
        <v>206</v>
      </c>
      <c r="F44" s="207" t="s">
        <v>1423</v>
      </c>
      <c r="G44" s="5" t="s">
        <v>112</v>
      </c>
      <c r="I44" s="163" t="n">
        <v>16500</v>
      </c>
      <c r="K44" s="5" t="s">
        <v>4159</v>
      </c>
      <c r="L44" s="35" t="s">
        <v>30</v>
      </c>
      <c r="M44" s="164" t="s">
        <v>31</v>
      </c>
      <c r="N44" s="171" t="n">
        <v>43514</v>
      </c>
    </row>
    <row r="45" customFormat="false" ht="12.8" hidden="false" customHeight="false" outlineLevel="0" collapsed="false">
      <c r="B45" s="5" t="s">
        <v>4160</v>
      </c>
      <c r="C45" s="206" t="n">
        <v>43377</v>
      </c>
      <c r="D45" s="5" t="s">
        <v>22</v>
      </c>
      <c r="E45" s="5" t="s">
        <v>372</v>
      </c>
      <c r="F45" s="207" t="s">
        <v>272</v>
      </c>
      <c r="G45" s="5" t="s">
        <v>3113</v>
      </c>
      <c r="I45" s="163" t="n">
        <v>15000</v>
      </c>
      <c r="K45" s="5" t="s">
        <v>4161</v>
      </c>
      <c r="L45" s="35" t="s">
        <v>30</v>
      </c>
      <c r="M45" s="164" t="s">
        <v>31</v>
      </c>
      <c r="N45" s="171" t="n">
        <v>43514</v>
      </c>
    </row>
    <row r="46" customFormat="false" ht="12.8" hidden="false" customHeight="false" outlineLevel="0" collapsed="false">
      <c r="B46" s="5" t="s">
        <v>4162</v>
      </c>
      <c r="C46" s="218" t="n">
        <v>43375</v>
      </c>
      <c r="D46" s="5" t="s">
        <v>22</v>
      </c>
      <c r="E46" s="5" t="s">
        <v>372</v>
      </c>
      <c r="F46" s="207" t="s">
        <v>272</v>
      </c>
      <c r="G46" s="5" t="s">
        <v>3113</v>
      </c>
      <c r="I46" s="163" t="n">
        <v>35000</v>
      </c>
      <c r="K46" s="5" t="s">
        <v>4163</v>
      </c>
      <c r="L46" s="35" t="s">
        <v>30</v>
      </c>
      <c r="M46" s="164" t="s">
        <v>31</v>
      </c>
      <c r="N46" s="171" t="n">
        <v>43514</v>
      </c>
    </row>
    <row r="47" customFormat="false" ht="12.8" hidden="false" customHeight="false" outlineLevel="0" collapsed="false">
      <c r="B47" s="5" t="s">
        <v>4164</v>
      </c>
      <c r="C47" s="206" t="n">
        <v>43364</v>
      </c>
      <c r="D47" s="5" t="s">
        <v>22</v>
      </c>
      <c r="E47" s="5" t="s">
        <v>322</v>
      </c>
      <c r="F47" s="207" t="s">
        <v>351</v>
      </c>
      <c r="G47" s="5" t="s">
        <v>1156</v>
      </c>
      <c r="I47" s="163" t="n">
        <v>4560</v>
      </c>
      <c r="K47" s="5" t="s">
        <v>4165</v>
      </c>
      <c r="L47" s="35" t="s">
        <v>30</v>
      </c>
      <c r="M47" s="164" t="s">
        <v>31</v>
      </c>
      <c r="N47" s="171" t="n">
        <v>43514</v>
      </c>
    </row>
    <row r="48" customFormat="false" ht="12.8" hidden="false" customHeight="false" outlineLevel="0" collapsed="false">
      <c r="B48" s="2" t="n">
        <v>3983</v>
      </c>
      <c r="C48" s="218" t="n">
        <v>43375</v>
      </c>
      <c r="D48" s="5" t="s">
        <v>22</v>
      </c>
      <c r="E48" s="5" t="s">
        <v>75</v>
      </c>
      <c r="F48" s="207" t="s">
        <v>528</v>
      </c>
      <c r="G48" s="5" t="s">
        <v>464</v>
      </c>
      <c r="I48" s="163" t="n">
        <v>1</v>
      </c>
      <c r="K48" s="5" t="s">
        <v>4166</v>
      </c>
      <c r="L48" s="35" t="s">
        <v>30</v>
      </c>
      <c r="M48" s="164" t="s">
        <v>31</v>
      </c>
      <c r="N48" s="171" t="n">
        <v>43514</v>
      </c>
    </row>
    <row r="49" customFormat="false" ht="12.8" hidden="false" customHeight="false" outlineLevel="0" collapsed="false">
      <c r="B49" s="2" t="n">
        <v>7740</v>
      </c>
      <c r="C49" s="218" t="n">
        <v>43369</v>
      </c>
      <c r="D49" s="5" t="s">
        <v>22</v>
      </c>
      <c r="E49" s="5" t="s">
        <v>433</v>
      </c>
      <c r="F49" s="157" t="s">
        <v>434</v>
      </c>
      <c r="G49" s="5" t="s">
        <v>82</v>
      </c>
      <c r="I49" s="163" t="n">
        <v>30000</v>
      </c>
      <c r="K49" s="5" t="s">
        <v>4167</v>
      </c>
      <c r="L49" s="35" t="s">
        <v>30</v>
      </c>
      <c r="M49" s="164" t="s">
        <v>31</v>
      </c>
      <c r="N49" s="171" t="n">
        <v>43514</v>
      </c>
    </row>
    <row r="50" customFormat="false" ht="12.8" hidden="false" customHeight="false" outlineLevel="0" collapsed="false">
      <c r="B50" s="5" t="s">
        <v>4168</v>
      </c>
      <c r="C50" s="218" t="n">
        <v>43369</v>
      </c>
      <c r="D50" s="5" t="s">
        <v>22</v>
      </c>
      <c r="E50" s="5" t="s">
        <v>433</v>
      </c>
      <c r="F50" s="157" t="s">
        <v>434</v>
      </c>
      <c r="G50" s="5" t="s">
        <v>82</v>
      </c>
      <c r="I50" s="163" t="n">
        <v>28500</v>
      </c>
      <c r="K50" s="5" t="s">
        <v>4169</v>
      </c>
      <c r="L50" s="35" t="s">
        <v>30</v>
      </c>
      <c r="M50" s="164" t="s">
        <v>31</v>
      </c>
      <c r="N50" s="171" t="n">
        <v>43514</v>
      </c>
    </row>
    <row r="51" customFormat="false" ht="12.8" hidden="false" customHeight="false" outlineLevel="0" collapsed="false">
      <c r="B51" s="5" t="s">
        <v>4170</v>
      </c>
      <c r="C51" s="206" t="n">
        <v>43362</v>
      </c>
      <c r="D51" s="5" t="s">
        <v>22</v>
      </c>
      <c r="E51" s="5" t="s">
        <v>372</v>
      </c>
      <c r="F51" s="207" t="s">
        <v>272</v>
      </c>
      <c r="G51" s="5" t="s">
        <v>3113</v>
      </c>
      <c r="I51" s="163" t="n">
        <v>9920</v>
      </c>
      <c r="K51" s="5" t="s">
        <v>4171</v>
      </c>
      <c r="L51" s="35" t="s">
        <v>30</v>
      </c>
      <c r="M51" s="164" t="s">
        <v>31</v>
      </c>
      <c r="N51" s="171" t="n">
        <v>43514</v>
      </c>
    </row>
    <row r="52" customFormat="false" ht="12.8" hidden="false" customHeight="false" outlineLevel="0" collapsed="false">
      <c r="B52" s="2" t="n">
        <v>4011</v>
      </c>
      <c r="C52" s="218" t="n">
        <v>43375</v>
      </c>
      <c r="D52" s="5" t="s">
        <v>22</v>
      </c>
      <c r="E52" s="5" t="s">
        <v>75</v>
      </c>
      <c r="F52" s="207" t="s">
        <v>528</v>
      </c>
      <c r="G52" s="5" t="s">
        <v>464</v>
      </c>
      <c r="I52" s="163" t="n">
        <v>26806</v>
      </c>
      <c r="K52" s="5" t="s">
        <v>4158</v>
      </c>
      <c r="L52" s="35" t="s">
        <v>30</v>
      </c>
      <c r="M52" s="164" t="s">
        <v>31</v>
      </c>
      <c r="N52" s="171" t="n">
        <v>43514</v>
      </c>
    </row>
    <row r="53" customFormat="false" ht="12.8" hidden="false" customHeight="false" outlineLevel="0" collapsed="false">
      <c r="B53" s="2" t="n">
        <v>3990</v>
      </c>
      <c r="C53" s="218" t="n">
        <v>43375</v>
      </c>
      <c r="D53" s="5" t="s">
        <v>22</v>
      </c>
      <c r="E53" s="5" t="s">
        <v>75</v>
      </c>
      <c r="F53" s="207" t="s">
        <v>528</v>
      </c>
      <c r="G53" s="5" t="s">
        <v>464</v>
      </c>
      <c r="I53" s="163" t="n">
        <v>20330.08</v>
      </c>
      <c r="K53" s="5" t="s">
        <v>4172</v>
      </c>
      <c r="L53" s="35" t="s">
        <v>30</v>
      </c>
      <c r="M53" s="164" t="s">
        <v>31</v>
      </c>
      <c r="N53" s="171" t="n">
        <v>43514</v>
      </c>
    </row>
    <row r="54" customFormat="false" ht="12.8" hidden="false" customHeight="false" outlineLevel="0" collapsed="false">
      <c r="B54" s="2" t="n">
        <v>4956</v>
      </c>
      <c r="C54" s="218" t="n">
        <v>43371</v>
      </c>
      <c r="D54" s="5" t="s">
        <v>22</v>
      </c>
      <c r="E54" s="5" t="s">
        <v>517</v>
      </c>
      <c r="F54" s="207" t="s">
        <v>592</v>
      </c>
      <c r="G54" s="5" t="s">
        <v>112</v>
      </c>
      <c r="I54" s="163" t="n">
        <v>30000</v>
      </c>
      <c r="K54" s="5" t="s">
        <v>4173</v>
      </c>
      <c r="L54" s="35" t="s">
        <v>30</v>
      </c>
      <c r="M54" s="164" t="s">
        <v>31</v>
      </c>
      <c r="N54" s="171" t="n">
        <v>43514</v>
      </c>
    </row>
    <row r="55" customFormat="false" ht="12.8" hidden="false" customHeight="false" outlineLevel="0" collapsed="false">
      <c r="B55" s="5" t="s">
        <v>4174</v>
      </c>
      <c r="C55" s="206" t="n">
        <v>43369</v>
      </c>
      <c r="D55" s="5" t="s">
        <v>22</v>
      </c>
      <c r="E55" s="5" t="s">
        <v>433</v>
      </c>
      <c r="F55" s="207" t="s">
        <v>434</v>
      </c>
      <c r="G55" s="5" t="s">
        <v>82</v>
      </c>
      <c r="I55" s="163" t="n">
        <v>30000</v>
      </c>
      <c r="K55" s="5" t="s">
        <v>4167</v>
      </c>
      <c r="L55" s="35" t="s">
        <v>30</v>
      </c>
      <c r="M55" s="164" t="s">
        <v>31</v>
      </c>
      <c r="N55" s="171" t="n">
        <v>43514</v>
      </c>
    </row>
    <row r="56" customFormat="false" ht="12.8" hidden="false" customHeight="false" outlineLevel="0" collapsed="false">
      <c r="B56" s="5" t="s">
        <v>4168</v>
      </c>
      <c r="C56" s="206" t="n">
        <v>43369</v>
      </c>
      <c r="D56" s="5" t="s">
        <v>22</v>
      </c>
      <c r="E56" s="5" t="s">
        <v>433</v>
      </c>
      <c r="F56" s="207" t="s">
        <v>434</v>
      </c>
      <c r="G56" s="5" t="s">
        <v>82</v>
      </c>
      <c r="I56" s="163" t="n">
        <v>28500</v>
      </c>
      <c r="K56" s="5" t="s">
        <v>4169</v>
      </c>
      <c r="L56" s="35" t="s">
        <v>30</v>
      </c>
      <c r="M56" s="164" t="s">
        <v>31</v>
      </c>
      <c r="N56" s="171" t="n">
        <v>43514</v>
      </c>
    </row>
    <row r="57" customFormat="false" ht="12.8" hidden="false" customHeight="false" outlineLevel="0" collapsed="false">
      <c r="B57" s="5" t="s">
        <v>4175</v>
      </c>
      <c r="C57" s="206" t="n">
        <v>43375</v>
      </c>
      <c r="D57" s="5" t="s">
        <v>22</v>
      </c>
      <c r="E57" s="5" t="s">
        <v>2540</v>
      </c>
      <c r="F57" s="207" t="s">
        <v>1594</v>
      </c>
      <c r="G57" s="5" t="s">
        <v>464</v>
      </c>
      <c r="I57" s="163" t="n">
        <v>26806</v>
      </c>
      <c r="K57" s="5" t="s">
        <v>940</v>
      </c>
      <c r="L57" s="35" t="s">
        <v>30</v>
      </c>
      <c r="M57" s="164" t="s">
        <v>31</v>
      </c>
      <c r="N57" s="171" t="n">
        <v>43514</v>
      </c>
    </row>
    <row r="58" customFormat="false" ht="12.8" hidden="false" customHeight="false" outlineLevel="0" collapsed="false">
      <c r="B58" s="5" t="s">
        <v>4176</v>
      </c>
      <c r="C58" s="206" t="n">
        <v>43378</v>
      </c>
      <c r="D58" s="5" t="s">
        <v>22</v>
      </c>
      <c r="E58" s="5" t="s">
        <v>372</v>
      </c>
      <c r="F58" s="207" t="s">
        <v>272</v>
      </c>
      <c r="G58" s="5" t="s">
        <v>3113</v>
      </c>
      <c r="I58" s="168" t="n">
        <v>5000</v>
      </c>
      <c r="K58" s="73" t="s">
        <v>4177</v>
      </c>
      <c r="L58" s="35" t="s">
        <v>1915</v>
      </c>
      <c r="M58" s="164" t="s">
        <v>31</v>
      </c>
      <c r="N58" s="171" t="n">
        <v>43514</v>
      </c>
    </row>
    <row r="59" customFormat="false" ht="12.8" hidden="false" customHeight="false" outlineLevel="0" collapsed="false">
      <c r="B59" s="5" t="s">
        <v>4178</v>
      </c>
      <c r="C59" s="206" t="n">
        <v>43376</v>
      </c>
      <c r="D59" s="5" t="s">
        <v>22</v>
      </c>
      <c r="E59" s="5" t="s">
        <v>350</v>
      </c>
      <c r="F59" s="207" t="s">
        <v>351</v>
      </c>
      <c r="G59" s="5" t="s">
        <v>26</v>
      </c>
      <c r="I59" s="168" t="n">
        <v>50002</v>
      </c>
      <c r="K59" s="168"/>
      <c r="L59" s="35" t="s">
        <v>1915</v>
      </c>
      <c r="M59" s="164" t="s">
        <v>31</v>
      </c>
      <c r="N59" s="171" t="n">
        <v>43514</v>
      </c>
    </row>
    <row r="60" customFormat="false" ht="12.8" hidden="false" customHeight="false" outlineLevel="0" collapsed="false">
      <c r="B60" s="5" t="s">
        <v>4179</v>
      </c>
      <c r="C60" s="206" t="n">
        <v>43378</v>
      </c>
      <c r="D60" s="5" t="s">
        <v>22</v>
      </c>
      <c r="E60" s="5" t="s">
        <v>372</v>
      </c>
      <c r="F60" s="207" t="s">
        <v>272</v>
      </c>
      <c r="G60" s="5" t="s">
        <v>3113</v>
      </c>
      <c r="I60" s="168" t="n">
        <v>12035</v>
      </c>
      <c r="K60" s="168" t="s">
        <v>4180</v>
      </c>
      <c r="L60" s="35" t="s">
        <v>1915</v>
      </c>
      <c r="M60" s="164" t="s">
        <v>31</v>
      </c>
      <c r="N60" s="171" t="n">
        <v>43514</v>
      </c>
    </row>
    <row r="61" customFormat="false" ht="12.8" hidden="false" customHeight="false" outlineLevel="0" collapsed="false">
      <c r="B61" s="5" t="s">
        <v>4181</v>
      </c>
      <c r="C61" s="206" t="n">
        <v>43374</v>
      </c>
      <c r="D61" s="5" t="s">
        <v>22</v>
      </c>
      <c r="E61" s="5" t="s">
        <v>372</v>
      </c>
      <c r="F61" s="207" t="s">
        <v>272</v>
      </c>
      <c r="G61" s="5" t="s">
        <v>3113</v>
      </c>
      <c r="K61" s="168" t="s">
        <v>4182</v>
      </c>
      <c r="L61" s="35" t="s">
        <v>1915</v>
      </c>
      <c r="M61" s="164" t="s">
        <v>31</v>
      </c>
      <c r="N61" s="171" t="n">
        <v>43514</v>
      </c>
    </row>
    <row r="62" customFormat="false" ht="12.8" hidden="false" customHeight="false" outlineLevel="0" collapsed="false">
      <c r="B62" s="73" t="s">
        <v>4183</v>
      </c>
      <c r="C62" s="219" t="n">
        <v>43381</v>
      </c>
      <c r="D62" s="73" t="s">
        <v>22</v>
      </c>
      <c r="E62" s="73" t="s">
        <v>206</v>
      </c>
      <c r="F62" s="220" t="s">
        <v>1423</v>
      </c>
      <c r="G62" s="73" t="s">
        <v>112</v>
      </c>
      <c r="H62" s="74"/>
      <c r="I62" s="78" t="n">
        <v>16500</v>
      </c>
      <c r="J62" s="33"/>
      <c r="K62" s="78"/>
      <c r="L62" s="35" t="s">
        <v>1915</v>
      </c>
      <c r="M62" s="36" t="s">
        <v>31</v>
      </c>
      <c r="N62" s="171" t="n">
        <v>43514</v>
      </c>
    </row>
    <row r="63" customFormat="false" ht="12.8" hidden="false" customHeight="false" outlineLevel="0" collapsed="false">
      <c r="B63" s="5" t="s">
        <v>4184</v>
      </c>
      <c r="C63" s="206" t="n">
        <v>43378</v>
      </c>
      <c r="D63" s="5" t="s">
        <v>22</v>
      </c>
      <c r="E63" s="5" t="s">
        <v>372</v>
      </c>
      <c r="F63" s="207" t="s">
        <v>272</v>
      </c>
      <c r="G63" s="5" t="s">
        <v>3113</v>
      </c>
      <c r="I63" s="168" t="n">
        <v>21910</v>
      </c>
      <c r="K63" s="168" t="s">
        <v>4185</v>
      </c>
      <c r="L63" s="35" t="s">
        <v>1915</v>
      </c>
      <c r="M63" s="164" t="s">
        <v>31</v>
      </c>
      <c r="N63" s="171" t="n">
        <v>43514</v>
      </c>
    </row>
    <row r="64" customFormat="false" ht="12.8" hidden="false" customHeight="false" outlineLevel="0" collapsed="false">
      <c r="B64" s="5" t="s">
        <v>4186</v>
      </c>
      <c r="C64" s="206" t="n">
        <v>43382</v>
      </c>
      <c r="D64" s="5" t="s">
        <v>22</v>
      </c>
      <c r="E64" s="5" t="s">
        <v>206</v>
      </c>
      <c r="F64" s="207" t="s">
        <v>4187</v>
      </c>
      <c r="G64" s="5" t="s">
        <v>112</v>
      </c>
      <c r="I64" s="168" t="n">
        <v>20000</v>
      </c>
      <c r="K64" s="5" t="s">
        <v>4188</v>
      </c>
      <c r="L64" s="35" t="s">
        <v>1915</v>
      </c>
      <c r="M64" s="164" t="s">
        <v>31</v>
      </c>
      <c r="N64" s="171" t="n">
        <v>43514</v>
      </c>
    </row>
    <row r="65" customFormat="false" ht="12.8" hidden="false" customHeight="false" outlineLevel="0" collapsed="false">
      <c r="B65" s="5" t="s">
        <v>4189</v>
      </c>
      <c r="C65" s="206" t="n">
        <v>43384</v>
      </c>
      <c r="D65" s="5" t="s">
        <v>22</v>
      </c>
      <c r="E65" s="5" t="s">
        <v>125</v>
      </c>
      <c r="F65" s="207" t="s">
        <v>335</v>
      </c>
      <c r="G65" s="5" t="s">
        <v>210</v>
      </c>
      <c r="I65" s="168" t="n">
        <v>43956</v>
      </c>
      <c r="K65" s="5" t="s">
        <v>4190</v>
      </c>
      <c r="L65" s="35" t="s">
        <v>1915</v>
      </c>
      <c r="M65" s="164" t="s">
        <v>31</v>
      </c>
      <c r="N65" s="171" t="n">
        <v>43514</v>
      </c>
    </row>
    <row r="66" customFormat="false" ht="12.8" hidden="false" customHeight="false" outlineLevel="0" collapsed="false">
      <c r="B66" s="5" t="s">
        <v>112</v>
      </c>
      <c r="C66" s="206" t="n">
        <v>43374</v>
      </c>
      <c r="D66" s="5" t="s">
        <v>22</v>
      </c>
      <c r="E66" s="5" t="s">
        <v>350</v>
      </c>
      <c r="F66" s="207" t="s">
        <v>351</v>
      </c>
      <c r="G66" s="5" t="s">
        <v>1156</v>
      </c>
      <c r="I66" s="168" t="n">
        <v>70000</v>
      </c>
      <c r="K66" s="5" t="s">
        <v>4191</v>
      </c>
      <c r="L66" s="35" t="s">
        <v>1915</v>
      </c>
      <c r="M66" s="164" t="s">
        <v>31</v>
      </c>
      <c r="N66" s="171" t="n">
        <v>43514</v>
      </c>
    </row>
    <row r="67" customFormat="false" ht="12.8" hidden="false" customHeight="false" outlineLevel="0" collapsed="false">
      <c r="B67" s="5" t="s">
        <v>4192</v>
      </c>
      <c r="C67" s="206" t="n">
        <v>43383</v>
      </c>
      <c r="D67" s="5" t="s">
        <v>22</v>
      </c>
      <c r="E67" s="5" t="s">
        <v>331</v>
      </c>
      <c r="F67" s="207" t="s">
        <v>4193</v>
      </c>
      <c r="G67" s="5" t="s">
        <v>49</v>
      </c>
      <c r="H67" s="158" t="n">
        <v>242.85</v>
      </c>
      <c r="I67" s="168" t="n">
        <v>177120</v>
      </c>
      <c r="K67" s="5" t="s">
        <v>4194</v>
      </c>
      <c r="L67" s="35" t="s">
        <v>1915</v>
      </c>
      <c r="M67" s="164" t="s">
        <v>31</v>
      </c>
      <c r="N67" s="171" t="n">
        <v>43514</v>
      </c>
    </row>
    <row r="68" customFormat="false" ht="12.8" hidden="false" customHeight="false" outlineLevel="0" collapsed="false">
      <c r="B68" s="5" t="s">
        <v>4195</v>
      </c>
      <c r="C68" s="206" t="n">
        <v>43395</v>
      </c>
      <c r="D68" s="5" t="s">
        <v>22</v>
      </c>
      <c r="E68" s="5" t="s">
        <v>350</v>
      </c>
      <c r="F68" s="207" t="s">
        <v>323</v>
      </c>
      <c r="G68" s="5" t="s">
        <v>4196</v>
      </c>
      <c r="I68" s="168" t="n">
        <v>37999.62</v>
      </c>
      <c r="K68" s="168" t="s">
        <v>4197</v>
      </c>
      <c r="L68" s="35" t="s">
        <v>1915</v>
      </c>
      <c r="M68" s="164" t="s">
        <v>31</v>
      </c>
      <c r="N68" s="171" t="n">
        <v>43514</v>
      </c>
    </row>
    <row r="69" customFormat="false" ht="12.8" hidden="false" customHeight="false" outlineLevel="0" collapsed="false">
      <c r="B69" s="5" t="s">
        <v>4198</v>
      </c>
      <c r="C69" s="206" t="n">
        <v>43381</v>
      </c>
      <c r="D69" s="5" t="s">
        <v>22</v>
      </c>
      <c r="E69" s="5" t="s">
        <v>129</v>
      </c>
      <c r="F69" s="207" t="s">
        <v>1493</v>
      </c>
      <c r="G69" s="5" t="s">
        <v>223</v>
      </c>
      <c r="I69" s="168" t="n">
        <v>36000</v>
      </c>
      <c r="K69" s="5" t="s">
        <v>3444</v>
      </c>
      <c r="L69" s="35" t="s">
        <v>30</v>
      </c>
      <c r="M69" s="164" t="s">
        <v>31</v>
      </c>
      <c r="N69" s="171" t="n">
        <v>43514</v>
      </c>
    </row>
    <row r="70" customFormat="false" ht="12.8" hidden="false" customHeight="false" outlineLevel="0" collapsed="false">
      <c r="B70" s="5" t="s">
        <v>4199</v>
      </c>
      <c r="C70" s="206" t="n">
        <v>43378</v>
      </c>
      <c r="D70" s="5" t="s">
        <v>22</v>
      </c>
      <c r="E70" s="5" t="s">
        <v>118</v>
      </c>
      <c r="F70" s="207" t="s">
        <v>119</v>
      </c>
      <c r="G70" s="5" t="s">
        <v>25</v>
      </c>
      <c r="I70" s="168" t="n">
        <v>18000</v>
      </c>
      <c r="K70" s="5" t="s">
        <v>4136</v>
      </c>
      <c r="L70" s="35" t="s">
        <v>30</v>
      </c>
      <c r="M70" s="164" t="s">
        <v>31</v>
      </c>
      <c r="N70" s="171" t="n">
        <v>43514</v>
      </c>
    </row>
    <row r="71" customFormat="false" ht="12.8" hidden="false" customHeight="false" outlineLevel="0" collapsed="false">
      <c r="B71" s="5" t="s">
        <v>4200</v>
      </c>
      <c r="C71" s="206" t="n">
        <v>43389</v>
      </c>
      <c r="D71" s="5" t="s">
        <v>22</v>
      </c>
      <c r="E71" s="5" t="s">
        <v>652</v>
      </c>
      <c r="F71" s="207" t="s">
        <v>46</v>
      </c>
      <c r="G71" s="5" t="s">
        <v>3480</v>
      </c>
      <c r="I71" s="168" t="n">
        <v>26000</v>
      </c>
      <c r="K71" s="5" t="s">
        <v>4201</v>
      </c>
      <c r="L71" s="35" t="s">
        <v>30</v>
      </c>
      <c r="M71" s="164" t="s">
        <v>31</v>
      </c>
      <c r="N71" s="171" t="n">
        <v>43514</v>
      </c>
    </row>
    <row r="72" customFormat="false" ht="12.8" hidden="false" customHeight="false" outlineLevel="0" collapsed="false">
      <c r="B72" s="5" t="s">
        <v>4202</v>
      </c>
      <c r="C72" s="206" t="n">
        <v>43388</v>
      </c>
      <c r="D72" s="5" t="s">
        <v>22</v>
      </c>
      <c r="E72" s="5" t="s">
        <v>644</v>
      </c>
      <c r="F72" s="207" t="s">
        <v>485</v>
      </c>
      <c r="G72" s="5" t="s">
        <v>413</v>
      </c>
      <c r="I72" s="168" t="n">
        <v>65000</v>
      </c>
      <c r="K72" s="5" t="s">
        <v>2125</v>
      </c>
      <c r="L72" s="35" t="s">
        <v>30</v>
      </c>
      <c r="M72" s="164" t="s">
        <v>31</v>
      </c>
      <c r="N72" s="171" t="n">
        <v>43514</v>
      </c>
    </row>
    <row r="73" customFormat="false" ht="12.8" hidden="false" customHeight="false" outlineLevel="0" collapsed="false">
      <c r="B73" s="5" t="s">
        <v>4203</v>
      </c>
      <c r="C73" s="206" t="n">
        <v>43396</v>
      </c>
      <c r="D73" s="5" t="s">
        <v>22</v>
      </c>
      <c r="E73" s="5" t="s">
        <v>129</v>
      </c>
      <c r="F73" s="207" t="s">
        <v>1072</v>
      </c>
      <c r="G73" s="5" t="s">
        <v>602</v>
      </c>
      <c r="H73" s="158" t="n">
        <v>15.8</v>
      </c>
      <c r="I73" s="168" t="n">
        <v>30000</v>
      </c>
      <c r="K73" s="5" t="s">
        <v>4204</v>
      </c>
      <c r="L73" s="35" t="s">
        <v>30</v>
      </c>
      <c r="M73" s="164" t="s">
        <v>31</v>
      </c>
      <c r="N73" s="171" t="n">
        <v>43514</v>
      </c>
    </row>
    <row r="74" customFormat="false" ht="12.8" hidden="false" customHeight="false" outlineLevel="0" collapsed="false">
      <c r="B74" s="5" t="s">
        <v>4205</v>
      </c>
      <c r="C74" s="206" t="n">
        <v>43403</v>
      </c>
      <c r="D74" s="5" t="s">
        <v>22</v>
      </c>
      <c r="E74" s="5" t="s">
        <v>343</v>
      </c>
      <c r="F74" s="207" t="s">
        <v>392</v>
      </c>
      <c r="G74" s="5" t="s">
        <v>778</v>
      </c>
      <c r="I74" s="168" t="n">
        <v>15000</v>
      </c>
      <c r="K74" s="5" t="s">
        <v>4206</v>
      </c>
      <c r="L74" s="35" t="s">
        <v>30</v>
      </c>
      <c r="M74" s="164" t="s">
        <v>31</v>
      </c>
      <c r="N74" s="171" t="n">
        <v>43514</v>
      </c>
    </row>
    <row r="75" customFormat="false" ht="12.8" hidden="false" customHeight="false" outlineLevel="0" collapsed="false">
      <c r="B75" s="5" t="s">
        <v>4207</v>
      </c>
      <c r="C75" s="206" t="n">
        <v>43385</v>
      </c>
      <c r="D75" s="5" t="s">
        <v>22</v>
      </c>
      <c r="E75" s="5" t="s">
        <v>350</v>
      </c>
      <c r="F75" s="207" t="s">
        <v>323</v>
      </c>
      <c r="G75" s="5" t="s">
        <v>1245</v>
      </c>
      <c r="I75" s="168" t="n">
        <v>26000</v>
      </c>
      <c r="K75" s="5" t="s">
        <v>4208</v>
      </c>
      <c r="L75" s="35" t="s">
        <v>30</v>
      </c>
      <c r="M75" s="164" t="s">
        <v>31</v>
      </c>
      <c r="N75" s="171" t="n">
        <v>43514</v>
      </c>
    </row>
    <row r="76" customFormat="false" ht="12.8" hidden="false" customHeight="false" outlineLevel="0" collapsed="false">
      <c r="B76" s="5" t="s">
        <v>4209</v>
      </c>
      <c r="C76" s="206" t="n">
        <v>43391</v>
      </c>
      <c r="D76" s="5" t="s">
        <v>22</v>
      </c>
      <c r="E76" s="5" t="s">
        <v>652</v>
      </c>
      <c r="F76" s="207" t="s">
        <v>46</v>
      </c>
      <c r="G76" s="5" t="s">
        <v>3480</v>
      </c>
      <c r="I76" s="168" t="n">
        <v>50000</v>
      </c>
      <c r="K76" s="5" t="s">
        <v>987</v>
      </c>
      <c r="L76" s="35" t="s">
        <v>1915</v>
      </c>
      <c r="M76" s="164" t="s">
        <v>31</v>
      </c>
      <c r="N76" s="171" t="n">
        <v>43514</v>
      </c>
    </row>
    <row r="77" s="221" customFormat="true" ht="12.8" hidden="false" customHeight="false" outlineLevel="0" collapsed="false">
      <c r="B77" s="222" t="s">
        <v>4210</v>
      </c>
      <c r="C77" s="223" t="n">
        <v>43404</v>
      </c>
      <c r="D77" s="222" t="s">
        <v>22</v>
      </c>
      <c r="E77" s="222" t="s">
        <v>433</v>
      </c>
      <c r="F77" s="224" t="s">
        <v>434</v>
      </c>
      <c r="G77" s="222" t="s">
        <v>82</v>
      </c>
      <c r="H77" s="225"/>
      <c r="I77" s="226" t="n">
        <v>32000</v>
      </c>
      <c r="J77" s="226"/>
      <c r="K77" s="222" t="s">
        <v>2447</v>
      </c>
      <c r="L77" s="227" t="s">
        <v>1915</v>
      </c>
      <c r="M77" s="164" t="s">
        <v>31</v>
      </c>
      <c r="N77" s="228" t="n">
        <v>43598</v>
      </c>
      <c r="O77" s="229"/>
    </row>
    <row r="78" customFormat="false" ht="12.8" hidden="false" customHeight="false" outlineLevel="0" collapsed="false">
      <c r="B78" s="5" t="s">
        <v>4211</v>
      </c>
      <c r="C78" s="206" t="n">
        <v>43404</v>
      </c>
      <c r="D78" s="5" t="s">
        <v>22</v>
      </c>
      <c r="E78" s="5" t="s">
        <v>433</v>
      </c>
      <c r="F78" s="207" t="s">
        <v>434</v>
      </c>
      <c r="G78" s="5" t="s">
        <v>82</v>
      </c>
      <c r="I78" s="168" t="n">
        <v>31000</v>
      </c>
      <c r="K78" s="5" t="s">
        <v>4212</v>
      </c>
      <c r="L78" s="35" t="s">
        <v>1915</v>
      </c>
      <c r="M78" s="164" t="s">
        <v>31</v>
      </c>
      <c r="N78" s="171" t="n">
        <v>43598</v>
      </c>
    </row>
    <row r="79" customFormat="false" ht="12.8" hidden="false" customHeight="false" outlineLevel="0" collapsed="false">
      <c r="B79" s="5" t="s">
        <v>4213</v>
      </c>
      <c r="C79" s="206" t="n">
        <v>43397</v>
      </c>
      <c r="D79" s="5" t="s">
        <v>22</v>
      </c>
      <c r="E79" s="222" t="s">
        <v>433</v>
      </c>
      <c r="F79" s="207" t="s">
        <v>434</v>
      </c>
      <c r="G79" s="5" t="s">
        <v>49</v>
      </c>
      <c r="I79" s="168" t="n">
        <v>32000</v>
      </c>
      <c r="K79" s="168" t="s">
        <v>4214</v>
      </c>
      <c r="L79" s="35" t="s">
        <v>1915</v>
      </c>
      <c r="M79" s="164" t="s">
        <v>31</v>
      </c>
      <c r="N79" s="171" t="n">
        <v>43598</v>
      </c>
    </row>
    <row r="80" customFormat="false" ht="12.8" hidden="false" customHeight="false" outlineLevel="0" collapsed="false">
      <c r="B80" s="5" t="s">
        <v>4215</v>
      </c>
      <c r="C80" s="206" t="n">
        <v>43397</v>
      </c>
      <c r="D80" s="5" t="s">
        <v>22</v>
      </c>
      <c r="E80" s="5" t="s">
        <v>433</v>
      </c>
      <c r="F80" s="207" t="s">
        <v>434</v>
      </c>
      <c r="G80" s="5" t="s">
        <v>82</v>
      </c>
      <c r="I80" s="168" t="n">
        <v>10000</v>
      </c>
      <c r="K80" s="168" t="s">
        <v>4216</v>
      </c>
      <c r="L80" s="35" t="s">
        <v>1915</v>
      </c>
      <c r="M80" s="164" t="s">
        <v>31</v>
      </c>
      <c r="N80" s="171" t="n">
        <v>43598</v>
      </c>
    </row>
    <row r="81" customFormat="false" ht="12.8" hidden="false" customHeight="false" outlineLevel="0" collapsed="false">
      <c r="B81" s="5" t="s">
        <v>4217</v>
      </c>
      <c r="C81" s="206" t="n">
        <v>43403</v>
      </c>
      <c r="D81" s="5" t="s">
        <v>22</v>
      </c>
      <c r="E81" s="222" t="s">
        <v>433</v>
      </c>
      <c r="F81" s="207" t="s">
        <v>434</v>
      </c>
      <c r="G81" s="5" t="s">
        <v>82</v>
      </c>
      <c r="I81" s="168" t="n">
        <v>30000</v>
      </c>
      <c r="K81" s="168" t="s">
        <v>4218</v>
      </c>
      <c r="L81" s="35" t="s">
        <v>1915</v>
      </c>
      <c r="M81" s="164" t="s">
        <v>31</v>
      </c>
      <c r="N81" s="171" t="n">
        <v>43598</v>
      </c>
    </row>
    <row r="82" customFormat="false" ht="12.8" hidden="false" customHeight="false" outlineLevel="0" collapsed="false">
      <c r="B82" s="5" t="s">
        <v>4219</v>
      </c>
      <c r="C82" s="206" t="n">
        <v>43403</v>
      </c>
      <c r="D82" s="5" t="s">
        <v>22</v>
      </c>
      <c r="E82" s="5" t="s">
        <v>75</v>
      </c>
      <c r="F82" s="207" t="s">
        <v>1209</v>
      </c>
      <c r="G82" s="5" t="s">
        <v>464</v>
      </c>
      <c r="I82" s="168" t="n">
        <v>36996</v>
      </c>
      <c r="K82" s="5" t="s">
        <v>2394</v>
      </c>
      <c r="L82" s="35" t="s">
        <v>1915</v>
      </c>
      <c r="M82" s="164" t="s">
        <v>31</v>
      </c>
      <c r="N82" s="171" t="n">
        <v>43598</v>
      </c>
    </row>
    <row r="83" customFormat="false" ht="12.8" hidden="false" customHeight="false" outlineLevel="0" collapsed="false">
      <c r="B83" s="5" t="s">
        <v>4220</v>
      </c>
      <c r="C83" s="206" t="n">
        <v>43403</v>
      </c>
      <c r="D83" s="5" t="s">
        <v>22</v>
      </c>
      <c r="E83" s="5" t="s">
        <v>198</v>
      </c>
      <c r="F83" s="207" t="s">
        <v>199</v>
      </c>
      <c r="G83" s="5" t="s">
        <v>384</v>
      </c>
      <c r="I83" s="168" t="n">
        <v>29800</v>
      </c>
      <c r="K83" s="168" t="s">
        <v>4221</v>
      </c>
      <c r="L83" s="35" t="s">
        <v>1915</v>
      </c>
      <c r="M83" s="164" t="s">
        <v>31</v>
      </c>
      <c r="N83" s="171" t="n">
        <v>43598</v>
      </c>
    </row>
    <row r="84" customFormat="false" ht="12.8" hidden="false" customHeight="false" outlineLevel="0" collapsed="false">
      <c r="B84" s="5" t="s">
        <v>4222</v>
      </c>
      <c r="C84" s="206" t="n">
        <v>43391</v>
      </c>
      <c r="D84" s="5" t="s">
        <v>22</v>
      </c>
      <c r="E84" s="5" t="s">
        <v>623</v>
      </c>
      <c r="F84" s="207" t="s">
        <v>272</v>
      </c>
      <c r="G84" s="5" t="s">
        <v>3113</v>
      </c>
      <c r="I84" s="168" t="n">
        <v>5000</v>
      </c>
      <c r="K84" s="168" t="s">
        <v>4223</v>
      </c>
      <c r="L84" s="35" t="s">
        <v>1915</v>
      </c>
      <c r="M84" s="164" t="s">
        <v>31</v>
      </c>
      <c r="N84" s="171" t="n">
        <v>43598</v>
      </c>
    </row>
    <row r="85" customFormat="false" ht="12.8" hidden="false" customHeight="false" outlineLevel="0" collapsed="false">
      <c r="B85" s="5" t="s">
        <v>4224</v>
      </c>
      <c r="C85" s="206" t="n">
        <v>43403</v>
      </c>
      <c r="D85" s="5" t="s">
        <v>22</v>
      </c>
      <c r="E85" s="5" t="s">
        <v>433</v>
      </c>
      <c r="F85" s="207" t="s">
        <v>434</v>
      </c>
      <c r="G85" s="5" t="s">
        <v>82</v>
      </c>
      <c r="I85" s="168" t="n">
        <v>20000</v>
      </c>
      <c r="K85" s="5" t="s">
        <v>4225</v>
      </c>
      <c r="L85" s="35" t="s">
        <v>1915</v>
      </c>
      <c r="M85" s="164" t="s">
        <v>31</v>
      </c>
      <c r="N85" s="171" t="n">
        <v>43598</v>
      </c>
    </row>
    <row r="86" customFormat="false" ht="12.8" hidden="false" customHeight="false" outlineLevel="0" collapsed="false">
      <c r="B86" s="5" t="s">
        <v>4226</v>
      </c>
      <c r="C86" s="206" t="n">
        <v>43397</v>
      </c>
      <c r="D86" s="5" t="s">
        <v>22</v>
      </c>
      <c r="E86" s="5" t="s">
        <v>623</v>
      </c>
      <c r="F86" s="207" t="s">
        <v>272</v>
      </c>
      <c r="G86" s="5" t="s">
        <v>3113</v>
      </c>
      <c r="I86" s="168" t="n">
        <v>10000</v>
      </c>
      <c r="K86" s="5" t="s">
        <v>4227</v>
      </c>
      <c r="L86" s="35" t="s">
        <v>1915</v>
      </c>
      <c r="M86" s="164" t="s">
        <v>31</v>
      </c>
      <c r="N86" s="171" t="n">
        <v>43598</v>
      </c>
    </row>
    <row r="87" customFormat="false" ht="12.8" hidden="false" customHeight="false" outlineLevel="0" collapsed="false">
      <c r="B87" s="5" t="s">
        <v>4228</v>
      </c>
      <c r="C87" s="206" t="n">
        <v>43388</v>
      </c>
      <c r="D87" s="5" t="s">
        <v>22</v>
      </c>
      <c r="E87" s="5" t="s">
        <v>623</v>
      </c>
      <c r="F87" s="207" t="s">
        <v>272</v>
      </c>
      <c r="G87" s="5" t="s">
        <v>3113</v>
      </c>
      <c r="I87" s="168" t="n">
        <v>16000</v>
      </c>
      <c r="K87" s="5" t="s">
        <v>4229</v>
      </c>
      <c r="L87" s="35" t="s">
        <v>1915</v>
      </c>
      <c r="M87" s="164" t="s">
        <v>31</v>
      </c>
      <c r="N87" s="171" t="n">
        <v>43598</v>
      </c>
    </row>
    <row r="88" customFormat="false" ht="12.8" hidden="false" customHeight="false" outlineLevel="0" collapsed="false">
      <c r="B88" s="5" t="s">
        <v>4230</v>
      </c>
      <c r="C88" s="206" t="n">
        <v>43412</v>
      </c>
      <c r="D88" s="5" t="s">
        <v>22</v>
      </c>
      <c r="E88" s="5" t="s">
        <v>623</v>
      </c>
      <c r="F88" s="207" t="s">
        <v>272</v>
      </c>
      <c r="G88" s="5" t="s">
        <v>3113</v>
      </c>
      <c r="I88" s="168" t="n">
        <v>25000</v>
      </c>
      <c r="K88" s="5" t="s">
        <v>4231</v>
      </c>
      <c r="L88" s="35" t="s">
        <v>1915</v>
      </c>
      <c r="M88" s="164" t="s">
        <v>31</v>
      </c>
      <c r="N88" s="171" t="n">
        <v>43598</v>
      </c>
    </row>
    <row r="89" s="221" customFormat="true" ht="13.8" hidden="false" customHeight="false" outlineLevel="0" collapsed="false">
      <c r="B89" s="144" t="s">
        <v>4232</v>
      </c>
      <c r="C89" s="223" t="n">
        <v>43454</v>
      </c>
      <c r="D89" s="222" t="s">
        <v>22</v>
      </c>
      <c r="E89" s="222" t="s">
        <v>522</v>
      </c>
      <c r="F89" s="224" t="s">
        <v>523</v>
      </c>
      <c r="G89" s="222" t="s">
        <v>146</v>
      </c>
      <c r="H89" s="225"/>
      <c r="I89" s="226" t="n">
        <v>100000</v>
      </c>
      <c r="J89" s="226"/>
      <c r="K89" s="226" t="s">
        <v>4233</v>
      </c>
      <c r="L89" s="227" t="s">
        <v>1915</v>
      </c>
      <c r="M89" s="164" t="s">
        <v>31</v>
      </c>
      <c r="N89" s="228" t="n">
        <v>43689</v>
      </c>
      <c r="O89" s="229"/>
    </row>
    <row r="90" customFormat="false" ht="12.8" hidden="false" customHeight="false" outlineLevel="0" collapsed="false">
      <c r="B90" s="5" t="s">
        <v>4234</v>
      </c>
      <c r="C90" s="206" t="n">
        <v>43454</v>
      </c>
      <c r="D90" s="5" t="s">
        <v>22</v>
      </c>
      <c r="E90" s="5" t="s">
        <v>522</v>
      </c>
      <c r="F90" s="207" t="s">
        <v>523</v>
      </c>
      <c r="G90" s="5" t="s">
        <v>143</v>
      </c>
      <c r="I90" s="168" t="n">
        <v>160000</v>
      </c>
      <c r="K90" s="5" t="s">
        <v>4235</v>
      </c>
      <c r="L90" s="35" t="s">
        <v>1915</v>
      </c>
      <c r="M90" s="164" t="s">
        <v>31</v>
      </c>
      <c r="N90" s="171" t="n">
        <v>43689</v>
      </c>
    </row>
    <row r="91" customFormat="false" ht="12.8" hidden="false" customHeight="false" outlineLevel="0" collapsed="false">
      <c r="B91" s="5" t="s">
        <v>4236</v>
      </c>
      <c r="C91" s="206" t="n">
        <v>43446</v>
      </c>
      <c r="D91" s="5" t="s">
        <v>22</v>
      </c>
      <c r="E91" s="5" t="s">
        <v>350</v>
      </c>
      <c r="F91" s="207" t="s">
        <v>351</v>
      </c>
      <c r="G91" s="5" t="s">
        <v>1156</v>
      </c>
      <c r="H91" s="158" t="n">
        <v>11.5</v>
      </c>
      <c r="I91" s="168" t="n">
        <v>30000</v>
      </c>
      <c r="K91" s="5" t="s">
        <v>4237</v>
      </c>
      <c r="L91" s="35" t="s">
        <v>1915</v>
      </c>
      <c r="M91" s="164" t="s">
        <v>31</v>
      </c>
      <c r="N91" s="171" t="n">
        <v>43689</v>
      </c>
    </row>
    <row r="92" customFormat="false" ht="12.8" hidden="false" customHeight="false" outlineLevel="0" collapsed="false">
      <c r="B92" s="5" t="s">
        <v>4238</v>
      </c>
      <c r="C92" s="206" t="n">
        <v>43453</v>
      </c>
      <c r="D92" s="5" t="s">
        <v>22</v>
      </c>
      <c r="E92" s="5" t="s">
        <v>140</v>
      </c>
      <c r="F92" s="207" t="s">
        <v>138</v>
      </c>
      <c r="G92" s="5" t="s">
        <v>4239</v>
      </c>
      <c r="I92" s="168" t="n">
        <v>35000</v>
      </c>
      <c r="K92" s="5" t="s">
        <v>4240</v>
      </c>
      <c r="L92" s="35" t="s">
        <v>1915</v>
      </c>
      <c r="M92" s="164" t="s">
        <v>31</v>
      </c>
      <c r="N92" s="171" t="n">
        <v>43689</v>
      </c>
    </row>
    <row r="93" customFormat="false" ht="12.8" hidden="false" customHeight="false" outlineLevel="0" collapsed="false">
      <c r="B93" s="5" t="s">
        <v>4241</v>
      </c>
      <c r="C93" s="206" t="n">
        <v>43453</v>
      </c>
      <c r="D93" s="5" t="s">
        <v>22</v>
      </c>
      <c r="E93" s="5" t="s">
        <v>140</v>
      </c>
      <c r="F93" s="207" t="s">
        <v>138</v>
      </c>
      <c r="G93" s="5" t="s">
        <v>4239</v>
      </c>
      <c r="I93" s="168" t="n">
        <v>37000</v>
      </c>
      <c r="K93" s="5" t="s">
        <v>2435</v>
      </c>
      <c r="L93" s="35" t="s">
        <v>1915</v>
      </c>
      <c r="M93" s="164" t="s">
        <v>31</v>
      </c>
      <c r="N93" s="171" t="n">
        <v>43689</v>
      </c>
    </row>
    <row r="94" customFormat="false" ht="12.8" hidden="false" customHeight="false" outlineLevel="0" collapsed="false">
      <c r="B94" s="5" t="s">
        <v>4242</v>
      </c>
      <c r="C94" s="206" t="n">
        <v>43451</v>
      </c>
      <c r="D94" s="5" t="s">
        <v>22</v>
      </c>
      <c r="E94" s="5" t="s">
        <v>623</v>
      </c>
      <c r="F94" s="207" t="s">
        <v>272</v>
      </c>
      <c r="G94" s="5" t="s">
        <v>3300</v>
      </c>
      <c r="I94" s="168" t="n">
        <v>32000</v>
      </c>
      <c r="K94" s="5" t="s">
        <v>3560</v>
      </c>
      <c r="L94" s="35" t="s">
        <v>1915</v>
      </c>
      <c r="M94" s="164" t="s">
        <v>31</v>
      </c>
      <c r="N94" s="171" t="n">
        <v>43689</v>
      </c>
    </row>
    <row r="95" customFormat="false" ht="12.8" hidden="false" customHeight="false" outlineLevel="0" collapsed="false">
      <c r="B95" s="5" t="s">
        <v>4243</v>
      </c>
      <c r="C95" s="206" t="n">
        <v>43453</v>
      </c>
      <c r="D95" s="5" t="s">
        <v>22</v>
      </c>
      <c r="E95" s="5" t="s">
        <v>623</v>
      </c>
      <c r="F95" s="207" t="s">
        <v>272</v>
      </c>
      <c r="G95" s="5" t="s">
        <v>3113</v>
      </c>
      <c r="I95" s="168" t="n">
        <v>35500</v>
      </c>
      <c r="K95" s="5" t="s">
        <v>4244</v>
      </c>
      <c r="L95" s="35" t="s">
        <v>1915</v>
      </c>
      <c r="M95" s="164" t="s">
        <v>31</v>
      </c>
      <c r="N95" s="171" t="n">
        <v>43689</v>
      </c>
    </row>
    <row r="96" customFormat="false" ht="12.8" hidden="false" customHeight="false" outlineLevel="0" collapsed="false">
      <c r="B96" s="5" t="s">
        <v>4245</v>
      </c>
      <c r="C96" s="206" t="n">
        <v>43452</v>
      </c>
      <c r="D96" s="5" t="s">
        <v>22</v>
      </c>
      <c r="E96" s="5" t="s">
        <v>350</v>
      </c>
      <c r="F96" s="207" t="s">
        <v>351</v>
      </c>
      <c r="G96" s="5" t="s">
        <v>26</v>
      </c>
      <c r="I96" s="168" t="n">
        <v>30000</v>
      </c>
      <c r="K96" s="5" t="s">
        <v>4246</v>
      </c>
      <c r="L96" s="35" t="s">
        <v>1915</v>
      </c>
      <c r="M96" s="164" t="s">
        <v>31</v>
      </c>
      <c r="N96" s="171" t="n">
        <v>43689</v>
      </c>
    </row>
    <row r="97" customFormat="false" ht="12.8" hidden="false" customHeight="false" outlineLevel="0" collapsed="false">
      <c r="B97" s="5" t="s">
        <v>4247</v>
      </c>
      <c r="C97" s="206" t="n">
        <v>43446</v>
      </c>
      <c r="D97" s="5" t="s">
        <v>22</v>
      </c>
      <c r="E97" s="5" t="s">
        <v>522</v>
      </c>
      <c r="F97" s="207" t="s">
        <v>523</v>
      </c>
      <c r="G97" s="5" t="s">
        <v>146</v>
      </c>
      <c r="I97" s="168" t="n">
        <v>22140</v>
      </c>
      <c r="K97" s="5" t="s">
        <v>4248</v>
      </c>
      <c r="L97" s="35" t="s">
        <v>1915</v>
      </c>
      <c r="M97" s="164" t="s">
        <v>31</v>
      </c>
      <c r="N97" s="171" t="n">
        <v>43689</v>
      </c>
    </row>
    <row r="98" customFormat="false" ht="12.8" hidden="false" customHeight="false" outlineLevel="0" collapsed="false">
      <c r="B98" s="5" t="s">
        <v>4249</v>
      </c>
      <c r="C98" s="206" t="n">
        <v>43447</v>
      </c>
      <c r="D98" s="5" t="s">
        <v>22</v>
      </c>
      <c r="E98" s="5" t="s">
        <v>433</v>
      </c>
      <c r="F98" s="207" t="s">
        <v>434</v>
      </c>
      <c r="G98" s="5" t="s">
        <v>82</v>
      </c>
      <c r="I98" s="168" t="n">
        <v>37744</v>
      </c>
      <c r="K98" s="5" t="s">
        <v>4250</v>
      </c>
      <c r="L98" s="35" t="s">
        <v>1915</v>
      </c>
      <c r="M98" s="164" t="s">
        <v>31</v>
      </c>
      <c r="N98" s="171" t="n">
        <v>43689</v>
      </c>
    </row>
    <row r="99" customFormat="false" ht="12.8" hidden="false" customHeight="false" outlineLevel="0" collapsed="false">
      <c r="B99" s="5" t="s">
        <v>4251</v>
      </c>
      <c r="C99" s="206" t="n">
        <v>43451</v>
      </c>
      <c r="D99" s="5" t="s">
        <v>22</v>
      </c>
      <c r="E99" s="5" t="s">
        <v>623</v>
      </c>
      <c r="F99" s="207" t="s">
        <v>272</v>
      </c>
      <c r="G99" s="5" t="s">
        <v>3113</v>
      </c>
      <c r="I99" s="168" t="n">
        <v>22000</v>
      </c>
      <c r="K99" s="5" t="s">
        <v>4252</v>
      </c>
      <c r="L99" s="35" t="s">
        <v>1915</v>
      </c>
      <c r="M99" s="164" t="s">
        <v>31</v>
      </c>
      <c r="N99" s="171" t="n">
        <v>43689</v>
      </c>
    </row>
    <row r="100" customFormat="false" ht="12.8" hidden="false" customHeight="false" outlineLevel="0" collapsed="false">
      <c r="B100" s="5" t="s">
        <v>4253</v>
      </c>
      <c r="C100" s="206" t="n">
        <v>43455</v>
      </c>
      <c r="D100" s="5" t="s">
        <v>22</v>
      </c>
      <c r="E100" s="5" t="s">
        <v>522</v>
      </c>
      <c r="F100" s="207" t="s">
        <v>523</v>
      </c>
      <c r="G100" s="5" t="s">
        <v>143</v>
      </c>
      <c r="I100" s="168" t="n">
        <v>20000</v>
      </c>
      <c r="K100" s="5" t="s">
        <v>4254</v>
      </c>
      <c r="L100" s="35" t="s">
        <v>1915</v>
      </c>
      <c r="M100" s="164" t="s">
        <v>31</v>
      </c>
      <c r="N100" s="171" t="n">
        <v>43689</v>
      </c>
    </row>
    <row r="101" customFormat="false" ht="12.8" hidden="false" customHeight="false" outlineLevel="0" collapsed="false">
      <c r="B101" s="5" t="s">
        <v>4255</v>
      </c>
      <c r="C101" s="206" t="n">
        <v>43452</v>
      </c>
      <c r="D101" s="5" t="s">
        <v>22</v>
      </c>
      <c r="F101" s="207" t="s">
        <v>157</v>
      </c>
      <c r="G101" s="5" t="s">
        <v>26</v>
      </c>
      <c r="I101" s="168" t="n">
        <v>14760</v>
      </c>
      <c r="K101" s="5" t="s">
        <v>4256</v>
      </c>
      <c r="L101" s="35" t="s">
        <v>1915</v>
      </c>
      <c r="M101" s="164" t="s">
        <v>31</v>
      </c>
      <c r="N101" s="171" t="n">
        <v>43690</v>
      </c>
    </row>
    <row r="102" customFormat="false" ht="12.8" hidden="false" customHeight="false" outlineLevel="0" collapsed="false">
      <c r="B102" s="5" t="s">
        <v>4257</v>
      </c>
      <c r="C102" s="206" t="n">
        <v>43446</v>
      </c>
      <c r="D102" s="5" t="s">
        <v>22</v>
      </c>
      <c r="E102" s="5" t="s">
        <v>206</v>
      </c>
      <c r="F102" s="207" t="s">
        <v>1423</v>
      </c>
      <c r="G102" s="5" t="s">
        <v>112</v>
      </c>
      <c r="I102" s="168" t="n">
        <v>84000</v>
      </c>
      <c r="K102" s="5" t="s">
        <v>4258</v>
      </c>
      <c r="L102" s="35" t="s">
        <v>1915</v>
      </c>
      <c r="M102" s="164" t="s">
        <v>31</v>
      </c>
      <c r="N102" s="171" t="n">
        <v>43690</v>
      </c>
    </row>
    <row r="103" customFormat="false" ht="12.8" hidden="false" customHeight="false" outlineLevel="0" collapsed="false">
      <c r="B103" s="5" t="s">
        <v>4259</v>
      </c>
      <c r="C103" s="206" t="n">
        <v>43452</v>
      </c>
      <c r="D103" s="5" t="s">
        <v>22</v>
      </c>
      <c r="E103" s="5" t="s">
        <v>171</v>
      </c>
      <c r="F103" s="207" t="s">
        <v>172</v>
      </c>
      <c r="G103" s="5" t="s">
        <v>36</v>
      </c>
      <c r="I103" s="168" t="n">
        <v>22000</v>
      </c>
      <c r="K103" s="5" t="s">
        <v>4260</v>
      </c>
      <c r="L103" s="35" t="s">
        <v>1915</v>
      </c>
      <c r="M103" s="164" t="s">
        <v>31</v>
      </c>
      <c r="N103" s="171" t="n">
        <v>43690</v>
      </c>
    </row>
    <row r="104" customFormat="false" ht="12.8" hidden="false" customHeight="false" outlineLevel="0" collapsed="false">
      <c r="B104" s="5" t="s">
        <v>4261</v>
      </c>
      <c r="C104" s="206" t="n">
        <v>43462</v>
      </c>
      <c r="D104" s="5" t="s">
        <v>22</v>
      </c>
      <c r="E104" s="5" t="s">
        <v>206</v>
      </c>
      <c r="F104" s="207" t="s">
        <v>320</v>
      </c>
      <c r="G104" s="5" t="s">
        <v>146</v>
      </c>
      <c r="I104" s="168" t="n">
        <v>40000</v>
      </c>
      <c r="K104" s="168" t="s">
        <v>4262</v>
      </c>
      <c r="L104" s="35" t="s">
        <v>30</v>
      </c>
      <c r="M104" s="164" t="s">
        <v>31</v>
      </c>
      <c r="N104" s="171" t="n">
        <v>43690</v>
      </c>
    </row>
    <row r="105" customFormat="false" ht="12.8" hidden="false" customHeight="false" outlineLevel="0" collapsed="false">
      <c r="B105" s="5" t="s">
        <v>4263</v>
      </c>
      <c r="C105" s="206" t="n">
        <v>43454</v>
      </c>
      <c r="D105" s="5" t="s">
        <v>22</v>
      </c>
      <c r="E105" s="5" t="s">
        <v>171</v>
      </c>
      <c r="F105" s="207" t="s">
        <v>172</v>
      </c>
      <c r="G105" s="5" t="s">
        <v>36</v>
      </c>
      <c r="I105" s="168" t="n">
        <v>15000</v>
      </c>
      <c r="K105" s="168" t="s">
        <v>4264</v>
      </c>
      <c r="L105" s="35" t="s">
        <v>1915</v>
      </c>
      <c r="M105" s="164" t="s">
        <v>31</v>
      </c>
      <c r="N105" s="171" t="n">
        <v>43691</v>
      </c>
    </row>
    <row r="106" customFormat="false" ht="12.8" hidden="false" customHeight="false" outlineLevel="0" collapsed="false">
      <c r="B106" s="5" t="s">
        <v>4265</v>
      </c>
      <c r="C106" s="206" t="n">
        <v>43455</v>
      </c>
      <c r="D106" s="5" t="s">
        <v>22</v>
      </c>
      <c r="E106" s="5" t="s">
        <v>322</v>
      </c>
      <c r="F106" s="207" t="s">
        <v>323</v>
      </c>
      <c r="G106" s="5" t="s">
        <v>4196</v>
      </c>
      <c r="I106" s="168" t="n">
        <v>29999.7</v>
      </c>
      <c r="K106" s="168" t="s">
        <v>3203</v>
      </c>
      <c r="L106" s="35" t="s">
        <v>1915</v>
      </c>
      <c r="M106" s="164" t="s">
        <v>31</v>
      </c>
      <c r="N106" s="171" t="n">
        <v>43691</v>
      </c>
    </row>
    <row r="107" customFormat="false" ht="12.8" hidden="false" customHeight="false" outlineLevel="0" collapsed="false">
      <c r="B107" s="5" t="s">
        <v>27</v>
      </c>
      <c r="C107" s="206" t="n">
        <v>43468</v>
      </c>
      <c r="D107" s="5" t="s">
        <v>22</v>
      </c>
      <c r="E107" s="5" t="s">
        <v>623</v>
      </c>
      <c r="F107" s="207" t="s">
        <v>272</v>
      </c>
      <c r="G107" s="5" t="s">
        <v>3113</v>
      </c>
      <c r="I107" s="168" t="n">
        <v>46000</v>
      </c>
      <c r="K107" s="5" t="s">
        <v>4266</v>
      </c>
      <c r="L107" s="35" t="s">
        <v>1915</v>
      </c>
      <c r="M107" s="164" t="s">
        <v>31</v>
      </c>
      <c r="N107" s="171" t="n">
        <v>43691</v>
      </c>
    </row>
    <row r="108" customFormat="false" ht="12.8" hidden="false" customHeight="false" outlineLevel="0" collapsed="false">
      <c r="B108" s="5" t="s">
        <v>259</v>
      </c>
      <c r="C108" s="206" t="n">
        <v>43469</v>
      </c>
      <c r="D108" s="5" t="s">
        <v>22</v>
      </c>
      <c r="E108" s="5" t="s">
        <v>140</v>
      </c>
      <c r="F108" s="207" t="s">
        <v>138</v>
      </c>
      <c r="G108" s="5" t="s">
        <v>4239</v>
      </c>
      <c r="I108" s="168" t="n">
        <v>44000</v>
      </c>
      <c r="K108" s="5" t="s">
        <v>987</v>
      </c>
      <c r="L108" s="35" t="s">
        <v>30</v>
      </c>
      <c r="M108" s="164" t="s">
        <v>31</v>
      </c>
      <c r="N108" s="171" t="n">
        <v>43328</v>
      </c>
    </row>
    <row r="109" customFormat="false" ht="12.8" hidden="false" customHeight="false" outlineLevel="0" collapsed="false">
      <c r="B109" s="5" t="s">
        <v>4267</v>
      </c>
      <c r="C109" s="206" t="n">
        <v>43480</v>
      </c>
      <c r="D109" s="5" t="s">
        <v>22</v>
      </c>
      <c r="E109" s="5" t="s">
        <v>75</v>
      </c>
      <c r="F109" s="207" t="s">
        <v>528</v>
      </c>
      <c r="G109" s="5" t="s">
        <v>464</v>
      </c>
      <c r="I109" s="168" t="n">
        <v>34998.72</v>
      </c>
      <c r="K109" s="5" t="s">
        <v>4268</v>
      </c>
      <c r="L109" s="35" t="s">
        <v>1915</v>
      </c>
      <c r="M109" s="164" t="s">
        <v>31</v>
      </c>
      <c r="N109" s="171" t="n">
        <v>43693</v>
      </c>
    </row>
    <row r="110" customFormat="false" ht="12.8" hidden="false" customHeight="false" outlineLevel="0" collapsed="false">
      <c r="B110" s="5" t="s">
        <v>4269</v>
      </c>
      <c r="C110" s="206" t="n">
        <v>43447</v>
      </c>
      <c r="D110" s="5" t="s">
        <v>22</v>
      </c>
      <c r="E110" s="5" t="s">
        <v>652</v>
      </c>
      <c r="F110" s="207" t="s">
        <v>653</v>
      </c>
      <c r="G110" s="5" t="s">
        <v>654</v>
      </c>
      <c r="I110" s="168" t="n">
        <v>37000</v>
      </c>
      <c r="K110" s="5" t="s">
        <v>4270</v>
      </c>
      <c r="L110" s="35" t="s">
        <v>1915</v>
      </c>
      <c r="M110" s="164" t="s">
        <v>31</v>
      </c>
      <c r="N110" s="171" t="n">
        <v>43693</v>
      </c>
    </row>
    <row r="111" customFormat="false" ht="12.8" hidden="false" customHeight="false" outlineLevel="0" collapsed="false">
      <c r="B111" s="5" t="s">
        <v>610</v>
      </c>
      <c r="C111" s="206" t="n">
        <v>43475</v>
      </c>
      <c r="D111" s="5" t="s">
        <v>22</v>
      </c>
      <c r="E111" s="5" t="s">
        <v>4271</v>
      </c>
      <c r="F111" s="207" t="s">
        <v>1278</v>
      </c>
      <c r="G111" s="5" t="s">
        <v>36</v>
      </c>
      <c r="I111" s="168" t="n">
        <v>24500</v>
      </c>
      <c r="K111" s="5" t="s">
        <v>987</v>
      </c>
      <c r="L111" s="35" t="s">
        <v>30</v>
      </c>
      <c r="M111" s="164" t="s">
        <v>31</v>
      </c>
      <c r="N111" s="171" t="n">
        <v>43693</v>
      </c>
    </row>
    <row r="112" customFormat="false" ht="12.8" hidden="false" customHeight="false" outlineLevel="0" collapsed="false">
      <c r="B112" s="5" t="s">
        <v>4272</v>
      </c>
      <c r="C112" s="206" t="n">
        <v>43462</v>
      </c>
      <c r="D112" s="5" t="s">
        <v>22</v>
      </c>
      <c r="E112" s="5" t="s">
        <v>140</v>
      </c>
      <c r="F112" s="207" t="s">
        <v>138</v>
      </c>
      <c r="G112" s="5" t="s">
        <v>4239</v>
      </c>
      <c r="I112" s="168" t="n">
        <v>84300</v>
      </c>
      <c r="K112" s="168" t="s">
        <v>4273</v>
      </c>
      <c r="L112" s="35" t="s">
        <v>1915</v>
      </c>
      <c r="M112" s="164" t="s">
        <v>31</v>
      </c>
      <c r="N112" s="171" t="n">
        <v>43693</v>
      </c>
    </row>
    <row r="113" customFormat="false" ht="12.8" hidden="false" customHeight="false" outlineLevel="0" collapsed="false">
      <c r="B113" s="5" t="s">
        <v>210</v>
      </c>
      <c r="C113" s="206" t="n">
        <v>43469</v>
      </c>
      <c r="D113" s="5" t="s">
        <v>22</v>
      </c>
      <c r="E113" s="5" t="s">
        <v>140</v>
      </c>
      <c r="F113" s="207" t="s">
        <v>138</v>
      </c>
      <c r="G113" s="5" t="s">
        <v>4239</v>
      </c>
      <c r="I113" s="168" t="n">
        <v>35000</v>
      </c>
      <c r="K113" s="168" t="s">
        <v>4274</v>
      </c>
      <c r="L113" s="35" t="s">
        <v>1915</v>
      </c>
      <c r="M113" s="164" t="s">
        <v>31</v>
      </c>
      <c r="N113" s="171" t="n">
        <v>43693</v>
      </c>
    </row>
    <row r="114" customFormat="false" ht="12.8" hidden="false" customHeight="false" outlineLevel="0" collapsed="false">
      <c r="B114" s="5" t="s">
        <v>776</v>
      </c>
      <c r="C114" s="206" t="n">
        <v>43474</v>
      </c>
      <c r="D114" s="5" t="s">
        <v>22</v>
      </c>
      <c r="E114" s="5" t="s">
        <v>140</v>
      </c>
      <c r="F114" s="207" t="s">
        <v>138</v>
      </c>
      <c r="G114" s="5" t="s">
        <v>4239</v>
      </c>
      <c r="I114" s="168" t="n">
        <v>37000</v>
      </c>
      <c r="K114" s="5" t="s">
        <v>4275</v>
      </c>
      <c r="L114" s="35" t="s">
        <v>1915</v>
      </c>
      <c r="M114" s="164" t="s">
        <v>31</v>
      </c>
      <c r="N114" s="171" t="n">
        <v>43693</v>
      </c>
    </row>
    <row r="115" customFormat="false" ht="12.8" hidden="false" customHeight="false" outlineLevel="0" collapsed="false">
      <c r="B115" s="5" t="s">
        <v>495</v>
      </c>
      <c r="C115" s="206" t="n">
        <v>43474</v>
      </c>
      <c r="D115" s="5" t="s">
        <v>22</v>
      </c>
      <c r="E115" s="5" t="s">
        <v>140</v>
      </c>
      <c r="F115" s="207" t="s">
        <v>138</v>
      </c>
      <c r="G115" s="5" t="s">
        <v>4239</v>
      </c>
      <c r="I115" s="168" t="n">
        <v>47015</v>
      </c>
      <c r="K115" s="5" t="s">
        <v>4276</v>
      </c>
      <c r="L115" s="35" t="s">
        <v>1915</v>
      </c>
      <c r="M115" s="164" t="s">
        <v>31</v>
      </c>
      <c r="N115" s="171" t="n">
        <v>43693</v>
      </c>
    </row>
    <row r="116" customFormat="false" ht="12.8" hidden="false" customHeight="false" outlineLevel="0" collapsed="false">
      <c r="B116" s="5" t="s">
        <v>4277</v>
      </c>
      <c r="C116" s="206" t="n">
        <v>43462</v>
      </c>
      <c r="D116" s="5" t="s">
        <v>22</v>
      </c>
      <c r="E116" s="5" t="s">
        <v>140</v>
      </c>
      <c r="F116" s="207" t="s">
        <v>138</v>
      </c>
      <c r="G116" s="5" t="s">
        <v>4239</v>
      </c>
      <c r="I116" s="168" t="n">
        <v>35000</v>
      </c>
      <c r="K116" s="168" t="s">
        <v>4278</v>
      </c>
      <c r="L116" s="35" t="s">
        <v>1915</v>
      </c>
      <c r="M116" s="164" t="s">
        <v>31</v>
      </c>
      <c r="N116" s="171" t="n">
        <v>43693</v>
      </c>
    </row>
    <row r="117" customFormat="false" ht="12.8" hidden="false" customHeight="false" outlineLevel="0" collapsed="false">
      <c r="B117" s="5" t="s">
        <v>67</v>
      </c>
      <c r="C117" s="206" t="n">
        <v>43469</v>
      </c>
      <c r="D117" s="5" t="s">
        <v>22</v>
      </c>
      <c r="E117" s="5" t="s">
        <v>140</v>
      </c>
      <c r="F117" s="207" t="s">
        <v>138</v>
      </c>
      <c r="G117" s="5" t="s">
        <v>4239</v>
      </c>
      <c r="I117" s="168" t="n">
        <v>35000</v>
      </c>
      <c r="K117" s="168" t="s">
        <v>4279</v>
      </c>
      <c r="L117" s="35" t="s">
        <v>1915</v>
      </c>
      <c r="M117" s="164" t="s">
        <v>31</v>
      </c>
      <c r="N117" s="171" t="n">
        <v>43693</v>
      </c>
    </row>
    <row r="118" customFormat="false" ht="12.8" hidden="false" customHeight="false" outlineLevel="0" collapsed="false">
      <c r="B118" s="5" t="s">
        <v>2769</v>
      </c>
      <c r="C118" s="206" t="n">
        <v>43474</v>
      </c>
      <c r="D118" s="5" t="s">
        <v>22</v>
      </c>
      <c r="E118" s="5" t="s">
        <v>140</v>
      </c>
      <c r="F118" s="207" t="s">
        <v>138</v>
      </c>
      <c r="G118" s="5" t="s">
        <v>4239</v>
      </c>
      <c r="I118" s="168" t="n">
        <v>35000</v>
      </c>
      <c r="K118" s="5" t="s">
        <v>4137</v>
      </c>
      <c r="L118" s="35" t="s">
        <v>1915</v>
      </c>
      <c r="M118" s="164" t="s">
        <v>31</v>
      </c>
      <c r="N118" s="171" t="n">
        <v>43693</v>
      </c>
    </row>
    <row r="119" customFormat="false" ht="12.8" hidden="false" customHeight="false" outlineLevel="0" collapsed="false">
      <c r="B119" s="5" t="s">
        <v>197</v>
      </c>
      <c r="C119" s="206" t="n">
        <v>43475</v>
      </c>
      <c r="D119" s="5" t="s">
        <v>22</v>
      </c>
      <c r="E119" s="5" t="s">
        <v>75</v>
      </c>
      <c r="F119" s="207" t="s">
        <v>2240</v>
      </c>
      <c r="G119" s="5" t="s">
        <v>464</v>
      </c>
      <c r="I119" s="168" t="n">
        <v>6000</v>
      </c>
      <c r="K119" s="5" t="s">
        <v>2226</v>
      </c>
      <c r="L119" s="35" t="s">
        <v>1915</v>
      </c>
      <c r="M119" s="164" t="s">
        <v>31</v>
      </c>
      <c r="N119" s="171" t="n">
        <v>43693</v>
      </c>
    </row>
    <row r="120" customFormat="false" ht="12.8" hidden="false" customHeight="false" outlineLevel="0" collapsed="false">
      <c r="B120" s="5" t="s">
        <v>618</v>
      </c>
      <c r="C120" s="206" t="n">
        <v>43469</v>
      </c>
      <c r="D120" s="5" t="s">
        <v>22</v>
      </c>
      <c r="E120" s="5" t="s">
        <v>140</v>
      </c>
      <c r="F120" s="207" t="s">
        <v>138</v>
      </c>
      <c r="G120" s="5" t="s">
        <v>4239</v>
      </c>
      <c r="I120" s="168" t="n">
        <v>87500</v>
      </c>
      <c r="K120" s="5" t="s">
        <v>4280</v>
      </c>
      <c r="L120" s="35" t="s">
        <v>1915</v>
      </c>
      <c r="M120" s="164" t="s">
        <v>31</v>
      </c>
      <c r="N120" s="171" t="n">
        <v>43696</v>
      </c>
    </row>
    <row r="121" customFormat="false" ht="12.8" hidden="false" customHeight="false" outlineLevel="0" collapsed="false">
      <c r="B121" s="5" t="s">
        <v>74</v>
      </c>
      <c r="C121" s="206" t="n">
        <v>43469</v>
      </c>
      <c r="D121" s="5" t="s">
        <v>22</v>
      </c>
      <c r="E121" s="5" t="s">
        <v>140</v>
      </c>
      <c r="F121" s="207" t="s">
        <v>138</v>
      </c>
      <c r="G121" s="5" t="s">
        <v>4239</v>
      </c>
      <c r="I121" s="168" t="n">
        <v>35000</v>
      </c>
      <c r="K121" s="5" t="s">
        <v>4281</v>
      </c>
      <c r="L121" s="35" t="s">
        <v>1915</v>
      </c>
      <c r="M121" s="164" t="s">
        <v>31</v>
      </c>
      <c r="N121" s="171" t="n">
        <v>43696</v>
      </c>
    </row>
    <row r="122" customFormat="false" ht="12.8" hidden="false" customHeight="false" outlineLevel="0" collapsed="false">
      <c r="B122" s="5" t="s">
        <v>515</v>
      </c>
      <c r="C122" s="206" t="n">
        <v>43469</v>
      </c>
      <c r="D122" s="5" t="s">
        <v>22</v>
      </c>
      <c r="E122" s="5" t="s">
        <v>140</v>
      </c>
      <c r="F122" s="207" t="s">
        <v>138</v>
      </c>
      <c r="G122" s="5" t="s">
        <v>4239</v>
      </c>
      <c r="I122" s="168" t="n">
        <v>72000</v>
      </c>
      <c r="K122" s="5" t="s">
        <v>4282</v>
      </c>
      <c r="L122" s="35" t="s">
        <v>1915</v>
      </c>
      <c r="M122" s="164" t="s">
        <v>31</v>
      </c>
      <c r="N122" s="171" t="n">
        <v>43696</v>
      </c>
    </row>
    <row r="123" customFormat="false" ht="12.8" hidden="false" customHeight="false" outlineLevel="0" collapsed="false">
      <c r="B123" s="5" t="s">
        <v>39</v>
      </c>
      <c r="C123" s="206" t="n">
        <v>43474</v>
      </c>
      <c r="D123" s="5" t="s">
        <v>22</v>
      </c>
      <c r="E123" s="5" t="s">
        <v>140</v>
      </c>
      <c r="F123" s="207" t="s">
        <v>138</v>
      </c>
      <c r="G123" s="5" t="s">
        <v>4239</v>
      </c>
      <c r="I123" s="168" t="n">
        <v>35000</v>
      </c>
      <c r="K123" s="5" t="s">
        <v>4283</v>
      </c>
      <c r="L123" s="35" t="s">
        <v>1915</v>
      </c>
      <c r="M123" s="164" t="s">
        <v>31</v>
      </c>
      <c r="N123" s="171" t="n">
        <v>43696</v>
      </c>
    </row>
    <row r="124" customFormat="false" ht="12.8" hidden="false" customHeight="false" outlineLevel="0" collapsed="false">
      <c r="B124" s="5" t="s">
        <v>4284</v>
      </c>
      <c r="C124" s="206" t="n">
        <v>43481</v>
      </c>
      <c r="D124" s="5" t="s">
        <v>22</v>
      </c>
      <c r="E124" s="5" t="s">
        <v>350</v>
      </c>
      <c r="F124" s="207" t="s">
        <v>351</v>
      </c>
      <c r="G124" s="5" t="s">
        <v>1156</v>
      </c>
      <c r="I124" s="168" t="n">
        <v>30000</v>
      </c>
      <c r="K124" s="168"/>
      <c r="L124" s="35" t="s">
        <v>30</v>
      </c>
      <c r="M124" s="164" t="s">
        <v>31</v>
      </c>
      <c r="N124" s="171" t="n">
        <v>43697</v>
      </c>
    </row>
    <row r="125" customFormat="false" ht="12.8" hidden="false" customHeight="false" outlineLevel="0" collapsed="false">
      <c r="B125" s="5" t="s">
        <v>4285</v>
      </c>
      <c r="C125" s="206" t="n">
        <v>43827</v>
      </c>
      <c r="D125" s="5" t="s">
        <v>22</v>
      </c>
      <c r="E125" s="5" t="s">
        <v>140</v>
      </c>
      <c r="F125" s="207" t="s">
        <v>138</v>
      </c>
      <c r="G125" s="5" t="s">
        <v>4239</v>
      </c>
      <c r="I125" s="168" t="n">
        <v>35000</v>
      </c>
      <c r="K125" s="168" t="s">
        <v>4109</v>
      </c>
      <c r="L125" s="35" t="s">
        <v>1915</v>
      </c>
      <c r="M125" s="164" t="s">
        <v>31</v>
      </c>
      <c r="N125" s="171" t="n">
        <v>43697</v>
      </c>
    </row>
    <row r="126" customFormat="false" ht="12.8" hidden="false" customHeight="false" outlineLevel="0" collapsed="false">
      <c r="B126" s="5" t="s">
        <v>4286</v>
      </c>
      <c r="C126" s="206" t="n">
        <v>43483</v>
      </c>
      <c r="D126" s="5" t="s">
        <v>22</v>
      </c>
      <c r="E126" s="5" t="s">
        <v>665</v>
      </c>
      <c r="F126" s="207" t="s">
        <v>1131</v>
      </c>
      <c r="G126" s="5" t="s">
        <v>101</v>
      </c>
      <c r="I126" s="168" t="n">
        <v>48000</v>
      </c>
      <c r="K126" s="168" t="s">
        <v>4287</v>
      </c>
      <c r="L126" s="35" t="s">
        <v>30</v>
      </c>
      <c r="M126" s="164" t="s">
        <v>31</v>
      </c>
      <c r="N126" s="171" t="n">
        <v>43697</v>
      </c>
    </row>
    <row r="127" customFormat="false" ht="12.8" hidden="false" customHeight="false" outlineLevel="0" collapsed="false">
      <c r="B127" s="5" t="s">
        <v>154</v>
      </c>
      <c r="C127" s="206" t="n">
        <v>43469</v>
      </c>
      <c r="D127" s="5" t="s">
        <v>22</v>
      </c>
      <c r="E127" s="5" t="s">
        <v>140</v>
      </c>
      <c r="F127" s="207" t="s">
        <v>138</v>
      </c>
      <c r="G127" s="5" t="s">
        <v>4239</v>
      </c>
      <c r="I127" s="168" t="n">
        <v>35000</v>
      </c>
      <c r="K127" s="168" t="s">
        <v>4288</v>
      </c>
      <c r="L127" s="35" t="s">
        <v>1915</v>
      </c>
      <c r="M127" s="164" t="s">
        <v>31</v>
      </c>
      <c r="N127" s="171" t="n">
        <v>43697</v>
      </c>
    </row>
    <row r="128" customFormat="false" ht="12.8" hidden="false" customHeight="false" outlineLevel="0" collapsed="false">
      <c r="B128" s="5" t="s">
        <v>4289</v>
      </c>
      <c r="C128" s="206" t="n">
        <v>43496</v>
      </c>
      <c r="D128" s="5" t="s">
        <v>22</v>
      </c>
      <c r="E128" s="5" t="s">
        <v>522</v>
      </c>
      <c r="F128" s="207" t="s">
        <v>523</v>
      </c>
      <c r="G128" s="5" t="s">
        <v>143</v>
      </c>
      <c r="I128" s="168" t="n">
        <v>40000</v>
      </c>
      <c r="K128" s="168" t="s">
        <v>4290</v>
      </c>
      <c r="L128" s="35" t="s">
        <v>1915</v>
      </c>
      <c r="M128" s="164" t="s">
        <v>31</v>
      </c>
      <c r="N128" s="171" t="n">
        <v>43697</v>
      </c>
    </row>
    <row r="129" customFormat="false" ht="12.8" hidden="false" customHeight="false" outlineLevel="0" collapsed="false">
      <c r="B129" s="5" t="s">
        <v>4291</v>
      </c>
      <c r="C129" s="206" t="n">
        <v>43481</v>
      </c>
      <c r="D129" s="5" t="s">
        <v>22</v>
      </c>
      <c r="E129" s="5" t="s">
        <v>4292</v>
      </c>
      <c r="F129" s="207" t="s">
        <v>4193</v>
      </c>
      <c r="G129" s="5" t="s">
        <v>95</v>
      </c>
      <c r="I129" s="168" t="n">
        <v>36000</v>
      </c>
      <c r="K129" s="168" t="s">
        <v>987</v>
      </c>
      <c r="L129" s="35" t="s">
        <v>1915</v>
      </c>
      <c r="M129" s="164" t="s">
        <v>31</v>
      </c>
      <c r="N129" s="171" t="n">
        <v>43697</v>
      </c>
    </row>
    <row r="130" customFormat="false" ht="12.8" hidden="false" customHeight="false" outlineLevel="0" collapsed="false">
      <c r="B130" s="5" t="s">
        <v>314</v>
      </c>
      <c r="C130" s="206" t="n">
        <v>43483</v>
      </c>
      <c r="D130" s="5" t="s">
        <v>22</v>
      </c>
      <c r="E130" s="5" t="s">
        <v>140</v>
      </c>
      <c r="F130" s="207" t="s">
        <v>138</v>
      </c>
      <c r="G130" s="5" t="s">
        <v>4239</v>
      </c>
      <c r="I130" s="168" t="n">
        <v>47900</v>
      </c>
      <c r="K130" s="168" t="s">
        <v>4293</v>
      </c>
      <c r="L130" s="35" t="s">
        <v>1915</v>
      </c>
      <c r="M130" s="164" t="s">
        <v>31</v>
      </c>
      <c r="N130" s="171" t="n">
        <v>43697</v>
      </c>
    </row>
    <row r="131" customFormat="false" ht="12.8" hidden="false" customHeight="false" outlineLevel="0" collapsed="false">
      <c r="B131" s="5" t="s">
        <v>4294</v>
      </c>
      <c r="C131" s="206" t="n">
        <v>43489</v>
      </c>
      <c r="D131" s="5" t="s">
        <v>22</v>
      </c>
      <c r="E131" s="5" t="s">
        <v>65</v>
      </c>
      <c r="F131" s="207" t="s">
        <v>4295</v>
      </c>
      <c r="G131" s="5" t="s">
        <v>116</v>
      </c>
      <c r="I131" s="168" t="n">
        <v>33000</v>
      </c>
      <c r="K131" s="168" t="s">
        <v>4296</v>
      </c>
      <c r="L131" s="35" t="s">
        <v>30</v>
      </c>
      <c r="M131" s="164" t="s">
        <v>31</v>
      </c>
      <c r="N131" s="171" t="n">
        <v>43697</v>
      </c>
    </row>
    <row r="132" customFormat="false" ht="12.8" hidden="false" customHeight="false" outlineLevel="0" collapsed="false">
      <c r="B132" s="5" t="s">
        <v>4297</v>
      </c>
      <c r="C132" s="206" t="n">
        <v>43483</v>
      </c>
      <c r="D132" s="5" t="s">
        <v>22</v>
      </c>
      <c r="E132" s="5" t="s">
        <v>140</v>
      </c>
      <c r="F132" s="207" t="s">
        <v>138</v>
      </c>
      <c r="G132" s="5" t="s">
        <v>4239</v>
      </c>
      <c r="I132" s="168" t="n">
        <v>49015</v>
      </c>
      <c r="K132" s="168" t="s">
        <v>4298</v>
      </c>
      <c r="L132" s="35" t="s">
        <v>1915</v>
      </c>
      <c r="M132" s="164" t="s">
        <v>31</v>
      </c>
      <c r="N132" s="171" t="n">
        <v>43697</v>
      </c>
    </row>
    <row r="133" customFormat="false" ht="12.8" hidden="false" customHeight="false" outlineLevel="0" collapsed="false">
      <c r="B133" s="5" t="s">
        <v>4299</v>
      </c>
      <c r="C133" s="206" t="n">
        <v>43131</v>
      </c>
      <c r="D133" s="5" t="s">
        <v>22</v>
      </c>
      <c r="E133" s="5" t="s">
        <v>75</v>
      </c>
      <c r="F133" s="207" t="s">
        <v>528</v>
      </c>
      <c r="G133" s="5" t="s">
        <v>464</v>
      </c>
      <c r="I133" s="168" t="n">
        <v>33700</v>
      </c>
      <c r="K133" s="168" t="s">
        <v>4274</v>
      </c>
      <c r="L133" s="35" t="s">
        <v>1915</v>
      </c>
      <c r="M133" s="164" t="s">
        <v>31</v>
      </c>
      <c r="N133" s="171" t="n">
        <v>43697</v>
      </c>
    </row>
    <row r="134" customFormat="false" ht="12.8" hidden="false" customHeight="false" outlineLevel="0" collapsed="false">
      <c r="B134" s="5" t="s">
        <v>4300</v>
      </c>
      <c r="C134" s="206" t="n">
        <v>43495</v>
      </c>
      <c r="D134" s="5" t="s">
        <v>22</v>
      </c>
      <c r="E134" s="5" t="s">
        <v>522</v>
      </c>
      <c r="F134" s="207" t="s">
        <v>523</v>
      </c>
      <c r="G134" s="5" t="s">
        <v>143</v>
      </c>
      <c r="I134" s="168" t="n">
        <v>20000</v>
      </c>
      <c r="K134" s="168" t="s">
        <v>4301</v>
      </c>
      <c r="L134" s="35" t="s">
        <v>1915</v>
      </c>
      <c r="M134" s="164" t="s">
        <v>31</v>
      </c>
      <c r="N134" s="171" t="n">
        <v>43697</v>
      </c>
    </row>
    <row r="135" customFormat="false" ht="12.8" hidden="false" customHeight="false" outlineLevel="0" collapsed="false">
      <c r="B135" s="5" t="s">
        <v>4302</v>
      </c>
      <c r="C135" s="206" t="n">
        <v>43488</v>
      </c>
      <c r="D135" s="5" t="s">
        <v>22</v>
      </c>
      <c r="E135" s="5" t="s">
        <v>4292</v>
      </c>
      <c r="F135" s="207" t="s">
        <v>4193</v>
      </c>
      <c r="G135" s="5" t="s">
        <v>141</v>
      </c>
      <c r="I135" s="168" t="n">
        <v>44280</v>
      </c>
      <c r="K135" s="168" t="s">
        <v>4303</v>
      </c>
      <c r="L135" s="35" t="s">
        <v>1915</v>
      </c>
      <c r="M135" s="164" t="s">
        <v>31</v>
      </c>
      <c r="N135" s="171" t="n">
        <v>43697</v>
      </c>
    </row>
    <row r="136" customFormat="false" ht="12.8" hidden="false" customHeight="false" outlineLevel="0" collapsed="false">
      <c r="B136" s="5" t="s">
        <v>4304</v>
      </c>
      <c r="C136" s="206" t="n">
        <v>43496</v>
      </c>
      <c r="D136" s="5" t="s">
        <v>22</v>
      </c>
      <c r="E136" s="5" t="s">
        <v>522</v>
      </c>
      <c r="F136" s="207" t="s">
        <v>523</v>
      </c>
      <c r="G136" s="5" t="s">
        <v>143</v>
      </c>
      <c r="I136" s="168" t="n">
        <v>22300</v>
      </c>
      <c r="K136" s="168" t="s">
        <v>4305</v>
      </c>
      <c r="L136" s="35" t="s">
        <v>1915</v>
      </c>
      <c r="M136" s="164" t="s">
        <v>31</v>
      </c>
      <c r="N136" s="171" t="n">
        <v>43697</v>
      </c>
    </row>
    <row r="137" customFormat="false" ht="12.8" hidden="false" customHeight="false" outlineLevel="0" collapsed="false">
      <c r="B137" s="5" t="s">
        <v>4306</v>
      </c>
      <c r="C137" s="206" t="n">
        <v>43483</v>
      </c>
      <c r="D137" s="5" t="s">
        <v>22</v>
      </c>
      <c r="E137" s="5" t="s">
        <v>140</v>
      </c>
      <c r="F137" s="207" t="s">
        <v>138</v>
      </c>
      <c r="G137" s="5" t="s">
        <v>4239</v>
      </c>
      <c r="I137" s="168" t="n">
        <v>35000</v>
      </c>
      <c r="K137" s="168" t="s">
        <v>4137</v>
      </c>
      <c r="L137" s="35" t="s">
        <v>1915</v>
      </c>
      <c r="M137" s="164" t="s">
        <v>31</v>
      </c>
      <c r="N137" s="171" t="n">
        <v>43697</v>
      </c>
    </row>
    <row r="138" customFormat="false" ht="12.8" hidden="false" customHeight="false" outlineLevel="0" collapsed="false">
      <c r="B138" s="5" t="s">
        <v>4307</v>
      </c>
      <c r="C138" s="206" t="n">
        <v>43488</v>
      </c>
      <c r="D138" s="5" t="s">
        <v>22</v>
      </c>
      <c r="E138" s="5" t="s">
        <v>4292</v>
      </c>
      <c r="F138" s="207" t="s">
        <v>4193</v>
      </c>
      <c r="G138" s="5" t="s">
        <v>126</v>
      </c>
      <c r="I138" s="168" t="n">
        <v>44280</v>
      </c>
      <c r="K138" s="168" t="s">
        <v>4308</v>
      </c>
      <c r="L138" s="35" t="s">
        <v>1915</v>
      </c>
      <c r="M138" s="164" t="s">
        <v>31</v>
      </c>
      <c r="N138" s="171" t="n">
        <v>43697</v>
      </c>
    </row>
    <row r="139" customFormat="false" ht="12.8" hidden="false" customHeight="false" outlineLevel="0" collapsed="false">
      <c r="B139" s="5" t="s">
        <v>4309</v>
      </c>
      <c r="C139" s="206" t="n">
        <v>43493</v>
      </c>
      <c r="D139" s="5" t="s">
        <v>22</v>
      </c>
      <c r="E139" s="5" t="s">
        <v>652</v>
      </c>
      <c r="F139" s="207" t="s">
        <v>46</v>
      </c>
      <c r="G139" s="5" t="s">
        <v>3480</v>
      </c>
      <c r="I139" s="168" t="n">
        <v>20000</v>
      </c>
      <c r="K139" s="5" t="s">
        <v>3461</v>
      </c>
      <c r="L139" s="35" t="s">
        <v>30</v>
      </c>
      <c r="M139" s="164" t="s">
        <v>31</v>
      </c>
      <c r="N139" s="171" t="n">
        <v>43697</v>
      </c>
    </row>
    <row r="140" customFormat="false" ht="12.8" hidden="false" customHeight="false" outlineLevel="0" collapsed="false">
      <c r="B140" s="5" t="s">
        <v>775</v>
      </c>
      <c r="C140" s="206" t="n">
        <v>43477</v>
      </c>
      <c r="D140" s="5" t="s">
        <v>22</v>
      </c>
      <c r="E140" s="5" t="s">
        <v>140</v>
      </c>
      <c r="F140" s="207" t="s">
        <v>138</v>
      </c>
      <c r="G140" s="5" t="s">
        <v>4239</v>
      </c>
      <c r="I140" s="168" t="n">
        <v>81925</v>
      </c>
      <c r="K140" s="5" t="s">
        <v>4310</v>
      </c>
      <c r="L140" s="35" t="s">
        <v>1915</v>
      </c>
      <c r="M140" s="164" t="s">
        <v>31</v>
      </c>
      <c r="N140" s="171" t="n">
        <v>43697</v>
      </c>
    </row>
    <row r="141" customFormat="false" ht="12.8" hidden="false" customHeight="false" outlineLevel="0" collapsed="false">
      <c r="B141" s="5" t="s">
        <v>4311</v>
      </c>
      <c r="C141" s="206" t="n">
        <v>43496</v>
      </c>
      <c r="D141" s="5" t="s">
        <v>22</v>
      </c>
      <c r="E141" s="5" t="s">
        <v>522</v>
      </c>
      <c r="F141" s="207" t="s">
        <v>523</v>
      </c>
      <c r="G141" s="5" t="s">
        <v>143</v>
      </c>
      <c r="I141" s="168" t="n">
        <v>38000</v>
      </c>
      <c r="K141" s="5" t="s">
        <v>4312</v>
      </c>
      <c r="L141" s="35" t="s">
        <v>1915</v>
      </c>
      <c r="M141" s="164" t="s">
        <v>31</v>
      </c>
      <c r="N141" s="171" t="n">
        <v>43697</v>
      </c>
    </row>
    <row r="142" customFormat="false" ht="12.8" hidden="false" customHeight="false" outlineLevel="0" collapsed="false">
      <c r="B142" s="5" t="s">
        <v>4313</v>
      </c>
      <c r="C142" s="206" t="n">
        <v>43501</v>
      </c>
      <c r="D142" s="5" t="s">
        <v>22</v>
      </c>
      <c r="E142" s="5" t="s">
        <v>4292</v>
      </c>
      <c r="F142" s="207" t="s">
        <v>4193</v>
      </c>
      <c r="G142" s="5" t="s">
        <v>200</v>
      </c>
      <c r="I142" s="168" t="n">
        <v>44280</v>
      </c>
      <c r="K142" s="5" t="s">
        <v>4314</v>
      </c>
      <c r="L142" s="35" t="s">
        <v>1915</v>
      </c>
      <c r="M142" s="164" t="s">
        <v>31</v>
      </c>
      <c r="N142" s="171" t="n">
        <v>43698</v>
      </c>
    </row>
    <row r="143" customFormat="false" ht="12.8" hidden="false" customHeight="false" outlineLevel="0" collapsed="false">
      <c r="B143" s="5" t="s">
        <v>4315</v>
      </c>
      <c r="C143" s="206" t="n">
        <v>43495</v>
      </c>
      <c r="D143" s="5" t="s">
        <v>22</v>
      </c>
      <c r="E143" s="5" t="s">
        <v>350</v>
      </c>
      <c r="F143" s="207" t="s">
        <v>351</v>
      </c>
      <c r="G143" s="5" t="s">
        <v>283</v>
      </c>
      <c r="I143" s="168" t="n">
        <v>65000</v>
      </c>
      <c r="K143" s="5" t="s">
        <v>4316</v>
      </c>
      <c r="L143" s="35" t="s">
        <v>1915</v>
      </c>
      <c r="M143" s="164" t="s">
        <v>31</v>
      </c>
      <c r="N143" s="171" t="n">
        <v>43698</v>
      </c>
    </row>
    <row r="144" customFormat="false" ht="12.8" hidden="false" customHeight="false" outlineLevel="0" collapsed="false">
      <c r="B144" s="5" t="s">
        <v>4317</v>
      </c>
      <c r="C144" s="206" t="n">
        <v>43504</v>
      </c>
      <c r="D144" s="5" t="s">
        <v>22</v>
      </c>
      <c r="E144" s="5" t="s">
        <v>623</v>
      </c>
      <c r="F144" s="207" t="s">
        <v>272</v>
      </c>
      <c r="G144" s="5" t="s">
        <v>635</v>
      </c>
      <c r="I144" s="168" t="n">
        <v>9000</v>
      </c>
      <c r="K144" s="5" t="s">
        <v>4318</v>
      </c>
      <c r="L144" s="35" t="s">
        <v>30</v>
      </c>
      <c r="M144" s="164" t="s">
        <v>31</v>
      </c>
      <c r="N144" s="171" t="n">
        <v>43698</v>
      </c>
    </row>
    <row r="145" customFormat="false" ht="12.8" hidden="false" customHeight="false" outlineLevel="0" collapsed="false">
      <c r="B145" s="5" t="s">
        <v>4319</v>
      </c>
      <c r="C145" s="206" t="n">
        <v>43507</v>
      </c>
      <c r="D145" s="5" t="s">
        <v>22</v>
      </c>
      <c r="E145" s="5" t="s">
        <v>75</v>
      </c>
      <c r="F145" s="207" t="s">
        <v>2240</v>
      </c>
      <c r="G145" s="5" t="s">
        <v>464</v>
      </c>
      <c r="I145" s="168" t="n">
        <v>30000</v>
      </c>
      <c r="K145" s="5" t="s">
        <v>2490</v>
      </c>
      <c r="L145" s="35" t="s">
        <v>1915</v>
      </c>
      <c r="M145" s="164" t="s">
        <v>31</v>
      </c>
      <c r="N145" s="171" t="n">
        <v>43698</v>
      </c>
    </row>
    <row r="146" customFormat="false" ht="12.8" hidden="false" customHeight="false" outlineLevel="0" collapsed="false">
      <c r="B146" s="5" t="s">
        <v>4320</v>
      </c>
      <c r="C146" s="206" t="n">
        <v>43503</v>
      </c>
      <c r="D146" s="5" t="s">
        <v>22</v>
      </c>
      <c r="E146" s="5" t="s">
        <v>4292</v>
      </c>
      <c r="F146" s="207" t="s">
        <v>4193</v>
      </c>
      <c r="G146" s="5" t="s">
        <v>26</v>
      </c>
      <c r="I146" s="168" t="n">
        <v>22140</v>
      </c>
      <c r="K146" s="5" t="s">
        <v>987</v>
      </c>
      <c r="L146" s="35" t="s">
        <v>1915</v>
      </c>
      <c r="M146" s="164" t="s">
        <v>31</v>
      </c>
      <c r="N146" s="171" t="n">
        <v>43698</v>
      </c>
    </row>
    <row r="147" customFormat="false" ht="12.8" hidden="false" customHeight="false" outlineLevel="0" collapsed="false">
      <c r="B147" s="5" t="s">
        <v>4321</v>
      </c>
      <c r="C147" s="206" t="n">
        <v>43507</v>
      </c>
      <c r="D147" s="5" t="s">
        <v>22</v>
      </c>
      <c r="E147" s="5" t="s">
        <v>75</v>
      </c>
      <c r="F147" s="207" t="s">
        <v>2240</v>
      </c>
      <c r="G147" s="5" t="s">
        <v>217</v>
      </c>
      <c r="I147" s="168" t="n">
        <v>41980</v>
      </c>
      <c r="K147" s="5" t="s">
        <v>4214</v>
      </c>
      <c r="L147" s="35" t="s">
        <v>1915</v>
      </c>
      <c r="M147" s="164" t="s">
        <v>31</v>
      </c>
      <c r="N147" s="171" t="n">
        <v>43698</v>
      </c>
    </row>
    <row r="148" customFormat="false" ht="12.8" hidden="false" customHeight="false" outlineLevel="0" collapsed="false">
      <c r="B148" s="5" t="s">
        <v>4322</v>
      </c>
      <c r="C148" s="206" t="n">
        <v>43497</v>
      </c>
      <c r="D148" s="5" t="s">
        <v>22</v>
      </c>
      <c r="E148" s="5" t="s">
        <v>140</v>
      </c>
      <c r="F148" s="207" t="s">
        <v>138</v>
      </c>
      <c r="G148" s="5" t="s">
        <v>4239</v>
      </c>
      <c r="I148" s="168" t="n">
        <v>35000</v>
      </c>
      <c r="K148" s="5" t="s">
        <v>4270</v>
      </c>
      <c r="L148" s="35" t="s">
        <v>1915</v>
      </c>
      <c r="M148" s="164" t="s">
        <v>31</v>
      </c>
      <c r="N148" s="171" t="n">
        <v>43698</v>
      </c>
    </row>
    <row r="149" customFormat="false" ht="12.8" hidden="false" customHeight="false" outlineLevel="0" collapsed="false">
      <c r="B149" s="5" t="s">
        <v>426</v>
      </c>
      <c r="C149" s="206" t="n">
        <v>43496</v>
      </c>
      <c r="D149" s="5" t="s">
        <v>22</v>
      </c>
      <c r="E149" s="5" t="s">
        <v>522</v>
      </c>
      <c r="F149" s="207" t="s">
        <v>523</v>
      </c>
      <c r="G149" s="5" t="s">
        <v>4323</v>
      </c>
      <c r="I149" s="168" t="n">
        <v>37000</v>
      </c>
      <c r="K149" s="5" t="s">
        <v>4324</v>
      </c>
      <c r="L149" s="35" t="s">
        <v>30</v>
      </c>
      <c r="M149" s="164" t="s">
        <v>31</v>
      </c>
      <c r="N149" s="171" t="n">
        <v>43698</v>
      </c>
    </row>
    <row r="150" customFormat="false" ht="12.8" hidden="false" customHeight="false" outlineLevel="0" collapsed="false">
      <c r="B150" s="5" t="s">
        <v>394</v>
      </c>
      <c r="C150" s="206" t="n">
        <v>43503</v>
      </c>
      <c r="D150" s="5" t="s">
        <v>22</v>
      </c>
      <c r="E150" s="5" t="s">
        <v>198</v>
      </c>
      <c r="F150" s="207" t="s">
        <v>199</v>
      </c>
      <c r="G150" s="5" t="s">
        <v>384</v>
      </c>
      <c r="I150" s="168" t="n">
        <v>29500</v>
      </c>
      <c r="K150" s="5" t="s">
        <v>4325</v>
      </c>
      <c r="L150" s="35" t="s">
        <v>30</v>
      </c>
      <c r="M150" s="164" t="s">
        <v>31</v>
      </c>
      <c r="N150" s="171" t="n">
        <v>43698</v>
      </c>
    </row>
    <row r="151" customFormat="false" ht="12.8" hidden="false" customHeight="false" outlineLevel="0" collapsed="false">
      <c r="B151" s="5" t="s">
        <v>4326</v>
      </c>
      <c r="C151" s="206" t="n">
        <v>43517</v>
      </c>
      <c r="D151" s="5" t="s">
        <v>22</v>
      </c>
      <c r="E151" s="5" t="s">
        <v>140</v>
      </c>
      <c r="F151" s="207" t="s">
        <v>138</v>
      </c>
      <c r="G151" s="5" t="s">
        <v>4239</v>
      </c>
      <c r="I151" s="168" t="n">
        <f aca="false">37000+12015</f>
        <v>49015</v>
      </c>
      <c r="K151" s="5" t="s">
        <v>4327</v>
      </c>
      <c r="L151" s="35" t="s">
        <v>1915</v>
      </c>
      <c r="M151" s="164" t="s">
        <v>31</v>
      </c>
      <c r="N151" s="171" t="n">
        <v>43698</v>
      </c>
    </row>
    <row r="152" customFormat="false" ht="12.8" hidden="false" customHeight="false" outlineLevel="0" collapsed="false">
      <c r="B152" s="5" t="s">
        <v>4328</v>
      </c>
      <c r="C152" s="206" t="n">
        <v>43522</v>
      </c>
      <c r="D152" s="5" t="s">
        <v>22</v>
      </c>
      <c r="E152" s="5" t="s">
        <v>4292</v>
      </c>
      <c r="F152" s="207" t="s">
        <v>4193</v>
      </c>
      <c r="G152" s="5" t="s">
        <v>57</v>
      </c>
      <c r="I152" s="168" t="n">
        <v>44280</v>
      </c>
      <c r="K152" s="5" t="s">
        <v>4329</v>
      </c>
      <c r="L152" s="35" t="s">
        <v>1915</v>
      </c>
      <c r="M152" s="164" t="s">
        <v>31</v>
      </c>
      <c r="N152" s="171" t="n">
        <v>43698</v>
      </c>
    </row>
    <row r="153" customFormat="false" ht="12.8" hidden="false" customHeight="false" outlineLevel="0" collapsed="false">
      <c r="B153" s="5" t="s">
        <v>4330</v>
      </c>
      <c r="C153" s="206" t="n">
        <v>43521</v>
      </c>
      <c r="D153" s="5" t="s">
        <v>22</v>
      </c>
      <c r="E153" s="5" t="s">
        <v>1714</v>
      </c>
      <c r="F153" s="207" t="s">
        <v>518</v>
      </c>
      <c r="G153" s="5" t="s">
        <v>36</v>
      </c>
      <c r="I153" s="168" t="n">
        <v>20000</v>
      </c>
      <c r="K153" s="5" t="s">
        <v>4331</v>
      </c>
      <c r="L153" s="35" t="s">
        <v>30</v>
      </c>
      <c r="M153" s="164" t="s">
        <v>31</v>
      </c>
      <c r="N153" s="171" t="n">
        <v>43698</v>
      </c>
    </row>
    <row r="154" customFormat="false" ht="12.8" hidden="false" customHeight="false" outlineLevel="0" collapsed="false">
      <c r="B154" s="5" t="s">
        <v>4332</v>
      </c>
      <c r="C154" s="206" t="n">
        <v>43508</v>
      </c>
      <c r="D154" s="5" t="s">
        <v>22</v>
      </c>
      <c r="E154" s="5" t="s">
        <v>4292</v>
      </c>
      <c r="F154" s="207" t="s">
        <v>4193</v>
      </c>
      <c r="G154" s="5" t="s">
        <v>26</v>
      </c>
      <c r="I154" s="168" t="n">
        <v>75030</v>
      </c>
      <c r="K154" s="5" t="s">
        <v>987</v>
      </c>
      <c r="L154" s="35" t="s">
        <v>1915</v>
      </c>
      <c r="M154" s="164" t="s">
        <v>31</v>
      </c>
      <c r="N154" s="171" t="n">
        <v>43699</v>
      </c>
    </row>
    <row r="155" customFormat="false" ht="12.8" hidden="false" customHeight="false" outlineLevel="0" collapsed="false">
      <c r="B155" s="5" t="s">
        <v>4333</v>
      </c>
      <c r="C155" s="206" t="n">
        <v>43510</v>
      </c>
      <c r="D155" s="5" t="s">
        <v>22</v>
      </c>
      <c r="E155" s="5" t="s">
        <v>4292</v>
      </c>
      <c r="F155" s="207" t="s">
        <v>4193</v>
      </c>
      <c r="G155" s="5" t="s">
        <v>135</v>
      </c>
      <c r="I155" s="168" t="n">
        <v>60000</v>
      </c>
      <c r="K155" s="5" t="s">
        <v>4316</v>
      </c>
      <c r="L155" s="35" t="s">
        <v>1915</v>
      </c>
      <c r="M155" s="164" t="s">
        <v>31</v>
      </c>
      <c r="N155" s="171" t="n">
        <v>43699</v>
      </c>
    </row>
    <row r="156" customFormat="false" ht="12.8" hidden="false" customHeight="false" outlineLevel="0" collapsed="false">
      <c r="B156" s="5" t="s">
        <v>4334</v>
      </c>
      <c r="C156" s="206" t="n">
        <v>43522</v>
      </c>
      <c r="D156" s="5" t="s">
        <v>22</v>
      </c>
      <c r="E156" s="5" t="s">
        <v>4292</v>
      </c>
      <c r="F156" s="207" t="s">
        <v>4193</v>
      </c>
      <c r="G156" s="5" t="s">
        <v>95</v>
      </c>
      <c r="I156" s="168" t="n">
        <v>44280</v>
      </c>
      <c r="K156" s="5" t="s">
        <v>987</v>
      </c>
      <c r="L156" s="35" t="s">
        <v>1915</v>
      </c>
      <c r="M156" s="164" t="s">
        <v>31</v>
      </c>
      <c r="N156" s="171" t="n">
        <v>43699</v>
      </c>
    </row>
    <row r="157" customFormat="false" ht="12.8" hidden="false" customHeight="false" outlineLevel="0" collapsed="false">
      <c r="B157" s="5" t="s">
        <v>4335</v>
      </c>
      <c r="C157" s="206" t="n">
        <v>43524</v>
      </c>
      <c r="D157" s="5" t="s">
        <v>22</v>
      </c>
      <c r="E157" s="5" t="s">
        <v>1714</v>
      </c>
      <c r="F157" s="207" t="s">
        <v>392</v>
      </c>
      <c r="G157" s="5" t="s">
        <v>778</v>
      </c>
      <c r="I157" s="168" t="n">
        <v>14760</v>
      </c>
      <c r="K157" s="5" t="s">
        <v>4336</v>
      </c>
      <c r="L157" s="35" t="s">
        <v>1915</v>
      </c>
      <c r="M157" s="164" t="s">
        <v>31</v>
      </c>
      <c r="N157" s="171" t="n">
        <v>43699</v>
      </c>
    </row>
    <row r="158" customFormat="false" ht="12.8" hidden="false" customHeight="false" outlineLevel="0" collapsed="false">
      <c r="B158" s="5" t="s">
        <v>4337</v>
      </c>
      <c r="C158" s="206" t="n">
        <v>43524</v>
      </c>
      <c r="D158" s="5" t="s">
        <v>22</v>
      </c>
      <c r="E158" s="5" t="s">
        <v>203</v>
      </c>
      <c r="F158" s="207" t="s">
        <v>625</v>
      </c>
      <c r="G158" s="5" t="s">
        <v>36</v>
      </c>
      <c r="I158" s="168" t="n">
        <v>37000</v>
      </c>
      <c r="K158" s="5" t="s">
        <v>4338</v>
      </c>
      <c r="L158" s="35" t="s">
        <v>1915</v>
      </c>
      <c r="M158" s="164" t="s">
        <v>31</v>
      </c>
      <c r="N158" s="171" t="n">
        <v>43700</v>
      </c>
    </row>
    <row r="159" customFormat="false" ht="12.8" hidden="false" customHeight="false" outlineLevel="0" collapsed="false">
      <c r="B159" s="5" t="s">
        <v>4339</v>
      </c>
      <c r="C159" s="206" t="n">
        <v>43502</v>
      </c>
      <c r="D159" s="5" t="s">
        <v>22</v>
      </c>
      <c r="E159" s="5" t="s">
        <v>75</v>
      </c>
      <c r="F159" s="207" t="s">
        <v>1394</v>
      </c>
      <c r="G159" s="5" t="s">
        <v>25</v>
      </c>
      <c r="I159" s="168" t="n">
        <v>49000</v>
      </c>
      <c r="K159" s="5" t="s">
        <v>4214</v>
      </c>
      <c r="L159" s="35" t="s">
        <v>30</v>
      </c>
      <c r="M159" s="164" t="s">
        <v>31</v>
      </c>
      <c r="N159" s="171" t="n">
        <v>43700</v>
      </c>
    </row>
    <row r="160" customFormat="false" ht="12.8" hidden="false" customHeight="false" outlineLevel="0" collapsed="false">
      <c r="B160" s="5" t="s">
        <v>4340</v>
      </c>
      <c r="C160" s="206" t="n">
        <v>43516</v>
      </c>
      <c r="D160" s="5" t="s">
        <v>22</v>
      </c>
      <c r="E160" s="5" t="s">
        <v>527</v>
      </c>
      <c r="F160" s="207" t="s">
        <v>1223</v>
      </c>
      <c r="G160" s="5" t="s">
        <v>4153</v>
      </c>
      <c r="I160" s="168" t="n">
        <v>40000</v>
      </c>
      <c r="K160" s="5" t="s">
        <v>3444</v>
      </c>
      <c r="L160" s="35" t="s">
        <v>30</v>
      </c>
      <c r="M160" s="164" t="s">
        <v>31</v>
      </c>
      <c r="N160" s="171" t="n">
        <v>43700</v>
      </c>
    </row>
    <row r="161" customFormat="false" ht="12.8" hidden="false" customHeight="false" outlineLevel="0" collapsed="false">
      <c r="B161" s="5" t="s">
        <v>4341</v>
      </c>
      <c r="C161" s="206" t="n">
        <v>43516</v>
      </c>
      <c r="D161" s="5" t="s">
        <v>22</v>
      </c>
      <c r="E161" s="5" t="s">
        <v>4292</v>
      </c>
      <c r="F161" s="207" t="s">
        <v>4193</v>
      </c>
      <c r="G161" s="5" t="s">
        <v>26</v>
      </c>
      <c r="I161" s="168" t="n">
        <v>22140</v>
      </c>
      <c r="K161" s="5" t="s">
        <v>987</v>
      </c>
      <c r="L161" s="35" t="s">
        <v>1915</v>
      </c>
      <c r="M161" s="164" t="s">
        <v>31</v>
      </c>
      <c r="N161" s="171" t="n">
        <v>43700</v>
      </c>
    </row>
    <row r="162" customFormat="false" ht="12.8" hidden="false" customHeight="false" outlineLevel="0" collapsed="false">
      <c r="B162" s="5" t="s">
        <v>4342</v>
      </c>
      <c r="C162" s="206" t="n">
        <v>43521</v>
      </c>
      <c r="D162" s="5" t="s">
        <v>22</v>
      </c>
      <c r="E162" s="5" t="s">
        <v>4292</v>
      </c>
      <c r="F162" s="207" t="s">
        <v>4193</v>
      </c>
      <c r="G162" s="5" t="s">
        <v>26</v>
      </c>
      <c r="I162" s="168" t="n">
        <v>66420</v>
      </c>
      <c r="K162" s="5" t="s">
        <v>4343</v>
      </c>
      <c r="L162" s="35" t="s">
        <v>1915</v>
      </c>
      <c r="M162" s="164" t="s">
        <v>31</v>
      </c>
      <c r="N162" s="171" t="n">
        <v>43700</v>
      </c>
    </row>
    <row r="163" customFormat="false" ht="12.8" hidden="false" customHeight="false" outlineLevel="0" collapsed="false">
      <c r="B163" s="5" t="s">
        <v>4344</v>
      </c>
      <c r="C163" s="206" t="n">
        <v>43515</v>
      </c>
      <c r="D163" s="5" t="s">
        <v>22</v>
      </c>
      <c r="E163" s="5" t="s">
        <v>623</v>
      </c>
      <c r="F163" s="207" t="s">
        <v>272</v>
      </c>
      <c r="G163" s="5" t="s">
        <v>4345</v>
      </c>
      <c r="I163" s="168" t="n">
        <v>30000</v>
      </c>
      <c r="K163" s="5" t="s">
        <v>2560</v>
      </c>
      <c r="L163" s="35" t="s">
        <v>1915</v>
      </c>
      <c r="M163" s="164" t="s">
        <v>31</v>
      </c>
      <c r="N163" s="171" t="n">
        <v>43703</v>
      </c>
    </row>
    <row r="164" customFormat="false" ht="12.8" hidden="false" customHeight="false" outlineLevel="0" collapsed="false">
      <c r="B164" s="5" t="s">
        <v>4346</v>
      </c>
      <c r="C164" s="206" t="n">
        <v>43518</v>
      </c>
      <c r="D164" s="5" t="s">
        <v>22</v>
      </c>
      <c r="E164" s="5" t="s">
        <v>343</v>
      </c>
      <c r="F164" s="207" t="s">
        <v>392</v>
      </c>
      <c r="G164" s="5" t="s">
        <v>778</v>
      </c>
      <c r="I164" s="168" t="n">
        <v>14760</v>
      </c>
      <c r="K164" s="5" t="s">
        <v>4347</v>
      </c>
      <c r="L164" s="35" t="s">
        <v>1915</v>
      </c>
      <c r="M164" s="164" t="s">
        <v>31</v>
      </c>
      <c r="N164" s="171" t="n">
        <v>43700</v>
      </c>
    </row>
    <row r="165" customFormat="false" ht="12.8" hidden="false" customHeight="false" outlineLevel="0" collapsed="false">
      <c r="B165" s="5" t="s">
        <v>4348</v>
      </c>
      <c r="C165" s="206" t="n">
        <v>43525</v>
      </c>
      <c r="D165" s="5" t="s">
        <v>22</v>
      </c>
      <c r="E165" s="5" t="s">
        <v>623</v>
      </c>
      <c r="F165" s="207" t="s">
        <v>272</v>
      </c>
      <c r="G165" s="5" t="s">
        <v>217</v>
      </c>
      <c r="I165" s="168" t="n">
        <v>11000</v>
      </c>
      <c r="K165" s="5" t="s">
        <v>2663</v>
      </c>
      <c r="L165" s="35" t="s">
        <v>1915</v>
      </c>
      <c r="M165" s="164" t="s">
        <v>31</v>
      </c>
      <c r="N165" s="171" t="n">
        <v>43700</v>
      </c>
    </row>
    <row r="166" customFormat="false" ht="12.8" hidden="false" customHeight="false" outlineLevel="0" collapsed="false">
      <c r="B166" s="5" t="s">
        <v>4349</v>
      </c>
      <c r="C166" s="206" t="n">
        <v>43535</v>
      </c>
      <c r="D166" s="5" t="s">
        <v>22</v>
      </c>
      <c r="E166" s="5" t="s">
        <v>350</v>
      </c>
      <c r="F166" s="207" t="s">
        <v>323</v>
      </c>
      <c r="G166" s="5" t="s">
        <v>4064</v>
      </c>
      <c r="I166" s="168" t="n">
        <v>13860</v>
      </c>
      <c r="K166" s="5" t="s">
        <v>987</v>
      </c>
      <c r="L166" s="35" t="s">
        <v>1915</v>
      </c>
      <c r="M166" s="164" t="s">
        <v>31</v>
      </c>
      <c r="N166" s="171" t="n">
        <v>43700</v>
      </c>
    </row>
    <row r="167" customFormat="false" ht="12.8" hidden="false" customHeight="false" outlineLevel="0" collapsed="false">
      <c r="B167" s="5" t="s">
        <v>4350</v>
      </c>
      <c r="C167" s="206" t="n">
        <v>43532</v>
      </c>
      <c r="D167" s="5" t="s">
        <v>22</v>
      </c>
      <c r="E167" s="5" t="s">
        <v>265</v>
      </c>
      <c r="F167" s="207" t="s">
        <v>386</v>
      </c>
      <c r="G167" s="5" t="s">
        <v>147</v>
      </c>
      <c r="I167" s="168" t="n">
        <v>39000</v>
      </c>
      <c r="K167" s="5" t="s">
        <v>3444</v>
      </c>
      <c r="L167" s="35" t="s">
        <v>1915</v>
      </c>
      <c r="M167" s="164" t="s">
        <v>31</v>
      </c>
      <c r="N167" s="171" t="n">
        <v>43700</v>
      </c>
    </row>
    <row r="168" customFormat="false" ht="12.8" hidden="false" customHeight="false" outlineLevel="0" collapsed="false">
      <c r="B168" s="5" t="s">
        <v>4351</v>
      </c>
      <c r="C168" s="206" t="n">
        <v>43530</v>
      </c>
      <c r="D168" s="5" t="s">
        <v>22</v>
      </c>
      <c r="E168" s="5" t="s">
        <v>80</v>
      </c>
      <c r="F168" s="207" t="s">
        <v>4352</v>
      </c>
      <c r="G168" s="5" t="s">
        <v>57</v>
      </c>
      <c r="I168" s="168" t="n">
        <v>110000</v>
      </c>
      <c r="K168" s="5" t="s">
        <v>4353</v>
      </c>
      <c r="L168" s="35" t="s">
        <v>30</v>
      </c>
      <c r="M168" s="164" t="s">
        <v>31</v>
      </c>
      <c r="N168" s="171" t="n">
        <v>43700</v>
      </c>
    </row>
    <row r="169" customFormat="false" ht="12.8" hidden="false" customHeight="false" outlineLevel="0" collapsed="false">
      <c r="B169" s="5" t="s">
        <v>4354</v>
      </c>
      <c r="C169" s="206" t="n">
        <v>43530</v>
      </c>
      <c r="D169" s="5" t="s">
        <v>22</v>
      </c>
      <c r="E169" s="5" t="s">
        <v>527</v>
      </c>
      <c r="F169" s="207" t="s">
        <v>240</v>
      </c>
      <c r="G169" s="5" t="s">
        <v>4153</v>
      </c>
      <c r="I169" s="168" t="n">
        <v>215000</v>
      </c>
      <c r="K169" s="5" t="s">
        <v>4355</v>
      </c>
      <c r="L169" s="35" t="s">
        <v>1915</v>
      </c>
      <c r="M169" s="164" t="s">
        <v>31</v>
      </c>
      <c r="N169" s="171" t="n">
        <v>43700</v>
      </c>
    </row>
    <row r="170" customFormat="false" ht="12.8" hidden="false" customHeight="false" outlineLevel="0" collapsed="false">
      <c r="B170" s="5" t="s">
        <v>4356</v>
      </c>
      <c r="C170" s="206" t="n">
        <v>43711</v>
      </c>
      <c r="D170" s="5" t="s">
        <v>22</v>
      </c>
      <c r="E170" s="5" t="s">
        <v>350</v>
      </c>
      <c r="F170" s="207" t="s">
        <v>323</v>
      </c>
      <c r="G170" s="5" t="s">
        <v>4357</v>
      </c>
      <c r="I170" s="168" t="n">
        <v>40000</v>
      </c>
      <c r="K170" s="5" t="s">
        <v>940</v>
      </c>
      <c r="L170" s="35" t="s">
        <v>1915</v>
      </c>
      <c r="M170" s="164" t="s">
        <v>31</v>
      </c>
      <c r="N170" s="171" t="n">
        <v>43728</v>
      </c>
    </row>
    <row r="171" customFormat="false" ht="12.8" hidden="false" customHeight="false" outlineLevel="0" collapsed="false">
      <c r="B171" s="5" t="s">
        <v>4358</v>
      </c>
      <c r="C171" s="206" t="n">
        <v>43711</v>
      </c>
      <c r="D171" s="5" t="s">
        <v>22</v>
      </c>
      <c r="F171" s="207" t="s">
        <v>4057</v>
      </c>
      <c r="G171" s="5" t="s">
        <v>181</v>
      </c>
      <c r="I171" s="168" t="n">
        <v>40000</v>
      </c>
      <c r="K171" s="5" t="s">
        <v>4359</v>
      </c>
      <c r="L171" s="35" t="s">
        <v>1915</v>
      </c>
      <c r="M171" s="164" t="s">
        <v>31</v>
      </c>
      <c r="N171" s="171" t="n">
        <v>43728</v>
      </c>
    </row>
    <row r="172" s="1" customFormat="true" ht="12.8" hidden="false" customHeight="false" outlineLevel="0" collapsed="false">
      <c r="B172" s="1" t="n">
        <v>9175</v>
      </c>
      <c r="C172" s="218" t="n">
        <v>43710</v>
      </c>
      <c r="D172" s="2" t="s">
        <v>22</v>
      </c>
      <c r="E172" s="230"/>
      <c r="F172" s="1" t="s">
        <v>323</v>
      </c>
      <c r="G172" s="2" t="s">
        <v>4357</v>
      </c>
      <c r="H172" s="2"/>
      <c r="I172" s="2" t="n">
        <v>10848.6</v>
      </c>
      <c r="J172" s="2"/>
      <c r="K172" s="7" t="s">
        <v>940</v>
      </c>
      <c r="L172" s="35" t="s">
        <v>1915</v>
      </c>
      <c r="M172" s="164" t="s">
        <v>31</v>
      </c>
      <c r="N172" s="171" t="n">
        <v>43728</v>
      </c>
      <c r="O172" s="6"/>
      <c r="P172" s="166"/>
      <c r="R172" s="2"/>
      <c r="S172" s="2"/>
      <c r="T172" s="2"/>
      <c r="U172" s="2"/>
      <c r="V172" s="2"/>
    </row>
    <row r="173" customFormat="false" ht="12.8" hidden="false" customHeight="false" outlineLevel="0" collapsed="false">
      <c r="B173" s="5" t="s">
        <v>4360</v>
      </c>
      <c r="C173" s="206" t="n">
        <v>43700</v>
      </c>
      <c r="D173" s="5" t="s">
        <v>22</v>
      </c>
      <c r="F173" s="207" t="s">
        <v>3093</v>
      </c>
      <c r="G173" s="5" t="s">
        <v>197</v>
      </c>
      <c r="I173" s="168" t="n">
        <v>46350.9</v>
      </c>
      <c r="K173" s="5" t="s">
        <v>4361</v>
      </c>
      <c r="L173" s="35" t="s">
        <v>1915</v>
      </c>
      <c r="M173" s="164" t="s">
        <v>31</v>
      </c>
      <c r="N173" s="171" t="n">
        <v>43728</v>
      </c>
    </row>
    <row r="174" customFormat="false" ht="12.8" hidden="false" customHeight="false" outlineLevel="0" collapsed="false">
      <c r="B174" s="5" t="s">
        <v>4362</v>
      </c>
      <c r="C174" s="206" t="n">
        <v>43700</v>
      </c>
      <c r="D174" s="5" t="s">
        <v>22</v>
      </c>
      <c r="F174" s="207" t="s">
        <v>3093</v>
      </c>
      <c r="G174" s="5" t="s">
        <v>197</v>
      </c>
      <c r="I174" s="168" t="n">
        <v>33825</v>
      </c>
      <c r="K174" s="5" t="s">
        <v>940</v>
      </c>
      <c r="L174" s="35" t="s">
        <v>1915</v>
      </c>
      <c r="M174" s="164" t="s">
        <v>31</v>
      </c>
      <c r="N174" s="171" t="n">
        <v>43728</v>
      </c>
    </row>
    <row r="175" s="1" customFormat="true" ht="15" hidden="false" customHeight="true" outlineLevel="0" collapsed="false">
      <c r="A175" s="151"/>
      <c r="B175" s="5" t="s">
        <v>4363</v>
      </c>
      <c r="C175" s="206" t="n">
        <v>43324</v>
      </c>
      <c r="D175" s="80" t="s">
        <v>22</v>
      </c>
      <c r="E175" s="5"/>
      <c r="F175" s="170" t="s">
        <v>351</v>
      </c>
      <c r="G175" s="5" t="s">
        <v>4364</v>
      </c>
      <c r="H175" s="5"/>
      <c r="I175" s="168" t="n">
        <v>32000</v>
      </c>
      <c r="J175" s="158"/>
      <c r="K175" s="199" t="s">
        <v>4365</v>
      </c>
      <c r="L175" s="6" t="s">
        <v>30</v>
      </c>
      <c r="M175" s="164" t="s">
        <v>31</v>
      </c>
      <c r="N175" s="171" t="n">
        <v>43728</v>
      </c>
      <c r="O175" s="6"/>
      <c r="P175" s="168"/>
      <c r="Q175" s="5"/>
      <c r="R175" s="5"/>
      <c r="S175" s="5"/>
      <c r="T175" s="5"/>
      <c r="U175" s="35"/>
      <c r="V175" s="171"/>
      <c r="W175" s="172"/>
      <c r="X175" s="173"/>
      <c r="AMJ175" s="116"/>
    </row>
    <row r="176" s="1" customFormat="true" ht="15" hidden="false" customHeight="true" outlineLevel="0" collapsed="false">
      <c r="A176" s="151"/>
      <c r="B176" s="5" t="s">
        <v>4366</v>
      </c>
      <c r="C176" s="206" t="n">
        <v>43686</v>
      </c>
      <c r="D176" s="80" t="s">
        <v>22</v>
      </c>
      <c r="E176" s="5"/>
      <c r="F176" s="157" t="s">
        <v>434</v>
      </c>
      <c r="G176" s="5" t="s">
        <v>82</v>
      </c>
      <c r="H176" s="5" t="s">
        <v>1140</v>
      </c>
      <c r="I176" s="168" t="n">
        <v>28000</v>
      </c>
      <c r="J176" s="158"/>
      <c r="K176" s="199" t="s">
        <v>940</v>
      </c>
      <c r="L176" s="6" t="s">
        <v>30</v>
      </c>
      <c r="M176" s="164" t="s">
        <v>31</v>
      </c>
      <c r="N176" s="171" t="n">
        <v>43728</v>
      </c>
      <c r="O176" s="6"/>
      <c r="P176" s="168"/>
      <c r="Q176" s="158"/>
      <c r="R176" s="5"/>
      <c r="S176" s="5"/>
      <c r="T176" s="5"/>
      <c r="U176" s="35"/>
      <c r="V176" s="164"/>
      <c r="AMJ176" s="116"/>
    </row>
    <row r="177" customFormat="false" ht="12.8" hidden="false" customHeight="false" outlineLevel="0" collapsed="false">
      <c r="B177" s="5" t="s">
        <v>4155</v>
      </c>
      <c r="C177" s="206" t="n">
        <v>43677</v>
      </c>
      <c r="D177" s="80" t="s">
        <v>22</v>
      </c>
      <c r="F177" s="207" t="s">
        <v>361</v>
      </c>
      <c r="G177" s="5" t="s">
        <v>4367</v>
      </c>
      <c r="I177" s="168" t="n">
        <v>30000</v>
      </c>
      <c r="K177" s="5" t="s">
        <v>940</v>
      </c>
      <c r="L177" s="6" t="s">
        <v>30</v>
      </c>
      <c r="M177" s="164" t="s">
        <v>31</v>
      </c>
      <c r="N177" s="171" t="n">
        <v>43728</v>
      </c>
    </row>
    <row r="178" customFormat="false" ht="12.8" hidden="false" customHeight="false" outlineLevel="0" collapsed="false">
      <c r="B178" s="5" t="s">
        <v>4368</v>
      </c>
      <c r="C178" s="206" t="n">
        <v>43683</v>
      </c>
      <c r="D178" s="80" t="s">
        <v>22</v>
      </c>
      <c r="F178" s="207" t="s">
        <v>625</v>
      </c>
      <c r="G178" s="5" t="s">
        <v>36</v>
      </c>
      <c r="I178" s="168" t="n">
        <v>37000</v>
      </c>
      <c r="K178" s="5" t="s">
        <v>4369</v>
      </c>
      <c r="L178" s="35" t="s">
        <v>1915</v>
      </c>
      <c r="M178" s="164" t="s">
        <v>31</v>
      </c>
      <c r="N178" s="171" t="n">
        <v>43728</v>
      </c>
    </row>
    <row r="179" customFormat="false" ht="12.8" hidden="false" customHeight="false" outlineLevel="0" collapsed="false">
      <c r="B179" s="5" t="s">
        <v>4370</v>
      </c>
      <c r="C179" s="206" t="n">
        <v>43684</v>
      </c>
      <c r="D179" s="80" t="s">
        <v>22</v>
      </c>
      <c r="F179" s="207" t="s">
        <v>434</v>
      </c>
      <c r="G179" s="5" t="s">
        <v>82</v>
      </c>
      <c r="I179" s="168" t="n">
        <v>16000</v>
      </c>
      <c r="K179" s="5" t="s">
        <v>940</v>
      </c>
      <c r="L179" s="35" t="s">
        <v>1915</v>
      </c>
      <c r="M179" s="164" t="s">
        <v>31</v>
      </c>
      <c r="N179" s="171" t="n">
        <v>43728</v>
      </c>
    </row>
    <row r="180" customFormat="false" ht="12.8" hidden="false" customHeight="false" outlineLevel="0" collapsed="false">
      <c r="B180" s="5" t="s">
        <v>4371</v>
      </c>
      <c r="C180" s="206" t="n">
        <v>43690</v>
      </c>
      <c r="D180" s="80" t="s">
        <v>22</v>
      </c>
      <c r="F180" s="207" t="s">
        <v>320</v>
      </c>
      <c r="G180" s="5" t="s">
        <v>26</v>
      </c>
      <c r="I180" s="168" t="n">
        <v>40000</v>
      </c>
      <c r="K180" s="5" t="s">
        <v>940</v>
      </c>
      <c r="L180" s="35" t="s">
        <v>30</v>
      </c>
      <c r="M180" s="164" t="s">
        <v>31</v>
      </c>
      <c r="N180" s="171" t="n">
        <v>43728</v>
      </c>
    </row>
    <row r="181" customFormat="false" ht="12.8" hidden="false" customHeight="false" outlineLevel="0" collapsed="false">
      <c r="B181" s="5" t="s">
        <v>4372</v>
      </c>
      <c r="C181" s="206" t="n">
        <v>43676</v>
      </c>
      <c r="D181" s="80" t="s">
        <v>22</v>
      </c>
      <c r="F181" s="207" t="s">
        <v>138</v>
      </c>
      <c r="G181" s="5" t="s">
        <v>200</v>
      </c>
      <c r="I181" s="168" t="n">
        <v>25000</v>
      </c>
      <c r="K181" s="5" t="s">
        <v>940</v>
      </c>
      <c r="L181" s="35" t="s">
        <v>30</v>
      </c>
      <c r="M181" s="164" t="s">
        <v>31</v>
      </c>
      <c r="N181" s="171" t="n">
        <v>43728</v>
      </c>
    </row>
    <row r="182" customFormat="false" ht="12.8" hidden="false" customHeight="false" outlineLevel="0" collapsed="false">
      <c r="B182" s="5" t="s">
        <v>4373</v>
      </c>
      <c r="C182" s="206" t="n">
        <v>43685</v>
      </c>
      <c r="D182" s="80" t="s">
        <v>22</v>
      </c>
      <c r="F182" s="207" t="s">
        <v>43</v>
      </c>
      <c r="G182" s="5" t="s">
        <v>48</v>
      </c>
      <c r="I182" s="168" t="n">
        <v>94593</v>
      </c>
      <c r="K182" s="5" t="s">
        <v>4374</v>
      </c>
      <c r="L182" s="35" t="s">
        <v>1915</v>
      </c>
      <c r="M182" s="164" t="s">
        <v>31</v>
      </c>
      <c r="N182" s="171" t="n">
        <v>43728</v>
      </c>
    </row>
    <row r="183" customFormat="false" ht="12.8" hidden="false" customHeight="false" outlineLevel="0" collapsed="false">
      <c r="B183" s="5" t="s">
        <v>4375</v>
      </c>
      <c r="C183" s="206" t="n">
        <v>43679</v>
      </c>
      <c r="D183" s="80" t="s">
        <v>22</v>
      </c>
      <c r="F183" s="207" t="s">
        <v>434</v>
      </c>
      <c r="G183" s="5" t="s">
        <v>82</v>
      </c>
      <c r="I183" s="168" t="n">
        <v>26000</v>
      </c>
      <c r="K183" s="5" t="s">
        <v>940</v>
      </c>
      <c r="L183" s="35" t="s">
        <v>1915</v>
      </c>
      <c r="M183" s="164" t="s">
        <v>31</v>
      </c>
      <c r="N183" s="171" t="n">
        <v>43728</v>
      </c>
    </row>
    <row r="184" customFormat="false" ht="12.8" hidden="false" customHeight="false" outlineLevel="0" collapsed="false">
      <c r="B184" s="5" t="s">
        <v>4376</v>
      </c>
      <c r="C184" s="206" t="n">
        <v>43684</v>
      </c>
      <c r="D184" s="80" t="s">
        <v>22</v>
      </c>
      <c r="F184" s="207" t="s">
        <v>272</v>
      </c>
      <c r="G184" s="5" t="s">
        <v>2891</v>
      </c>
      <c r="I184" s="168" t="n">
        <v>40000</v>
      </c>
      <c r="K184" s="5" t="s">
        <v>940</v>
      </c>
      <c r="L184" s="35" t="s">
        <v>1915</v>
      </c>
      <c r="M184" s="164" t="s">
        <v>31</v>
      </c>
      <c r="N184" s="171" t="n">
        <v>43728</v>
      </c>
    </row>
    <row r="185" customFormat="false" ht="12.8" hidden="false" customHeight="false" outlineLevel="0" collapsed="false">
      <c r="B185" s="5" t="s">
        <v>4377</v>
      </c>
      <c r="C185" s="206" t="n">
        <v>43683</v>
      </c>
      <c r="D185" s="80" t="s">
        <v>22</v>
      </c>
      <c r="F185" s="207" t="s">
        <v>434</v>
      </c>
      <c r="G185" s="5" t="s">
        <v>82</v>
      </c>
      <c r="I185" s="168" t="n">
        <v>30000</v>
      </c>
      <c r="K185" s="5" t="s">
        <v>940</v>
      </c>
      <c r="L185" s="35" t="s">
        <v>1915</v>
      </c>
      <c r="M185" s="164" t="s">
        <v>31</v>
      </c>
      <c r="N185" s="171" t="n">
        <v>43728</v>
      </c>
    </row>
    <row r="186" customFormat="false" ht="12.8" hidden="false" customHeight="false" outlineLevel="0" collapsed="false">
      <c r="B186" s="5" t="s">
        <v>4378</v>
      </c>
      <c r="C186" s="206" t="n">
        <v>43679</v>
      </c>
      <c r="D186" s="80" t="s">
        <v>22</v>
      </c>
      <c r="F186" s="207" t="s">
        <v>351</v>
      </c>
      <c r="G186" s="5" t="s">
        <v>26</v>
      </c>
      <c r="I186" s="168" t="n">
        <v>50000</v>
      </c>
      <c r="K186" s="5" t="s">
        <v>940</v>
      </c>
      <c r="L186" s="35" t="s">
        <v>1915</v>
      </c>
      <c r="M186" s="164" t="s">
        <v>31</v>
      </c>
      <c r="N186" s="171" t="n">
        <v>43728</v>
      </c>
    </row>
    <row r="187" customFormat="false" ht="12.8" hidden="false" customHeight="false" outlineLevel="0" collapsed="false">
      <c r="B187" s="5" t="s">
        <v>4379</v>
      </c>
      <c r="C187" s="206" t="n">
        <v>43678</v>
      </c>
      <c r="D187" s="80" t="s">
        <v>22</v>
      </c>
      <c r="F187" s="207" t="s">
        <v>963</v>
      </c>
      <c r="G187" s="5" t="s">
        <v>36</v>
      </c>
      <c r="I187" s="168" t="n">
        <v>50000</v>
      </c>
      <c r="K187" s="5" t="s">
        <v>4380</v>
      </c>
      <c r="L187" s="35" t="s">
        <v>1915</v>
      </c>
      <c r="M187" s="164" t="s">
        <v>31</v>
      </c>
      <c r="N187" s="171" t="n">
        <v>43728</v>
      </c>
    </row>
    <row r="188" customFormat="false" ht="12.8" hidden="false" customHeight="false" outlineLevel="0" collapsed="false">
      <c r="B188" s="5" t="s">
        <v>4381</v>
      </c>
      <c r="C188" s="206" t="n">
        <v>43682</v>
      </c>
      <c r="D188" s="80" t="s">
        <v>22</v>
      </c>
      <c r="F188" s="207" t="s">
        <v>230</v>
      </c>
      <c r="G188" s="5" t="s">
        <v>730</v>
      </c>
      <c r="I188" s="168" t="n">
        <v>20000</v>
      </c>
      <c r="K188" s="5" t="s">
        <v>940</v>
      </c>
      <c r="L188" s="35" t="s">
        <v>30</v>
      </c>
      <c r="M188" s="164" t="s">
        <v>31</v>
      </c>
      <c r="N188" s="171" t="n">
        <v>43728</v>
      </c>
    </row>
    <row r="189" customFormat="false" ht="12.8" hidden="false" customHeight="false" outlineLevel="0" collapsed="false">
      <c r="B189" s="5" t="s">
        <v>4382</v>
      </c>
      <c r="C189" s="206" t="n">
        <v>43682</v>
      </c>
      <c r="D189" s="80" t="s">
        <v>22</v>
      </c>
      <c r="F189" s="207" t="s">
        <v>157</v>
      </c>
      <c r="G189" s="5" t="s">
        <v>26</v>
      </c>
      <c r="I189" s="168" t="n">
        <v>14760</v>
      </c>
      <c r="K189" s="5" t="s">
        <v>940</v>
      </c>
      <c r="L189" s="35" t="s">
        <v>1915</v>
      </c>
      <c r="M189" s="164" t="s">
        <v>31</v>
      </c>
      <c r="N189" s="171" t="n">
        <v>43728</v>
      </c>
    </row>
    <row r="190" customFormat="false" ht="12.8" hidden="false" customHeight="false" outlineLevel="0" collapsed="false">
      <c r="B190" s="5" t="s">
        <v>4383</v>
      </c>
      <c r="C190" s="206" t="n">
        <v>43682</v>
      </c>
      <c r="D190" s="80" t="s">
        <v>22</v>
      </c>
      <c r="F190" s="207" t="s">
        <v>230</v>
      </c>
      <c r="G190" s="5" t="s">
        <v>730</v>
      </c>
      <c r="I190" s="168" t="n">
        <v>30000</v>
      </c>
      <c r="K190" s="5" t="s">
        <v>940</v>
      </c>
      <c r="L190" s="35" t="s">
        <v>30</v>
      </c>
      <c r="M190" s="164" t="s">
        <v>31</v>
      </c>
      <c r="N190" s="171" t="n">
        <v>43728</v>
      </c>
    </row>
    <row r="191" customFormat="false" ht="12.8" hidden="false" customHeight="false" outlineLevel="0" collapsed="false">
      <c r="B191" s="5" t="s">
        <v>4384</v>
      </c>
      <c r="C191" s="206" t="n">
        <v>43714</v>
      </c>
      <c r="D191" s="80" t="s">
        <v>22</v>
      </c>
      <c r="E191" s="5" t="s">
        <v>3219</v>
      </c>
      <c r="F191" s="207" t="s">
        <v>3093</v>
      </c>
      <c r="G191" s="5" t="s">
        <v>197</v>
      </c>
      <c r="I191" s="168" t="n">
        <v>42879.03</v>
      </c>
      <c r="K191" s="5" t="s">
        <v>4385</v>
      </c>
      <c r="L191" s="35" t="s">
        <v>1915</v>
      </c>
      <c r="M191" s="164" t="s">
        <v>31</v>
      </c>
      <c r="N191" s="171" t="n">
        <v>43790</v>
      </c>
    </row>
    <row r="192" customFormat="false" ht="12.8" hidden="false" customHeight="false" outlineLevel="0" collapsed="false">
      <c r="B192" s="5" t="s">
        <v>4386</v>
      </c>
      <c r="C192" s="206" t="n">
        <v>43718</v>
      </c>
      <c r="D192" s="80" t="s">
        <v>22</v>
      </c>
      <c r="E192" s="5" t="s">
        <v>3219</v>
      </c>
      <c r="F192" s="207" t="s">
        <v>3093</v>
      </c>
      <c r="G192" s="5" t="s">
        <v>197</v>
      </c>
      <c r="I192" s="168" t="n">
        <v>43799.07</v>
      </c>
      <c r="K192" s="5" t="s">
        <v>4387</v>
      </c>
      <c r="L192" s="35" t="s">
        <v>1915</v>
      </c>
      <c r="M192" s="164" t="s">
        <v>31</v>
      </c>
      <c r="N192" s="171" t="n">
        <v>43790</v>
      </c>
    </row>
    <row r="193" customFormat="false" ht="12.8" hidden="false" customHeight="false" outlineLevel="0" collapsed="false">
      <c r="B193" s="5" t="s">
        <v>4388</v>
      </c>
      <c r="C193" s="206" t="n">
        <v>43714</v>
      </c>
      <c r="D193" s="80" t="s">
        <v>22</v>
      </c>
      <c r="E193" s="5" t="s">
        <v>3219</v>
      </c>
      <c r="F193" s="207" t="s">
        <v>3093</v>
      </c>
      <c r="G193" s="5" t="s">
        <v>197</v>
      </c>
      <c r="I193" s="168" t="n">
        <v>33825</v>
      </c>
      <c r="K193" s="5" t="s">
        <v>4389</v>
      </c>
      <c r="L193" s="35" t="s">
        <v>1915</v>
      </c>
      <c r="M193" s="164" t="s">
        <v>31</v>
      </c>
      <c r="N193" s="171" t="n">
        <v>43790</v>
      </c>
    </row>
    <row r="194" customFormat="false" ht="12.8" hidden="false" customHeight="false" outlineLevel="0" collapsed="false">
      <c r="B194" s="5" t="s">
        <v>4390</v>
      </c>
      <c r="C194" s="206" t="n">
        <v>43711</v>
      </c>
      <c r="D194" s="80" t="s">
        <v>22</v>
      </c>
      <c r="E194" s="5" t="s">
        <v>3219</v>
      </c>
      <c r="F194" s="207" t="s">
        <v>3093</v>
      </c>
      <c r="G194" s="5" t="s">
        <v>197</v>
      </c>
      <c r="I194" s="168" t="n">
        <v>33825</v>
      </c>
      <c r="K194" s="5" t="s">
        <v>4391</v>
      </c>
      <c r="L194" s="35" t="s">
        <v>1915</v>
      </c>
      <c r="M194" s="164" t="s">
        <v>31</v>
      </c>
      <c r="N194" s="171" t="n">
        <v>43790</v>
      </c>
    </row>
    <row r="195" customFormat="false" ht="12.8" hidden="false" customHeight="false" outlineLevel="0" collapsed="false">
      <c r="B195" s="5" t="s">
        <v>4392</v>
      </c>
      <c r="C195" s="206" t="n">
        <v>43720</v>
      </c>
      <c r="D195" s="5" t="s">
        <v>22</v>
      </c>
      <c r="E195" s="5" t="s">
        <v>3219</v>
      </c>
      <c r="F195" s="207" t="s">
        <v>3093</v>
      </c>
      <c r="G195" s="5" t="s">
        <v>197</v>
      </c>
      <c r="I195" s="168" t="n">
        <v>33825</v>
      </c>
      <c r="K195" s="5" t="s">
        <v>4393</v>
      </c>
      <c r="L195" s="35" t="s">
        <v>1915</v>
      </c>
      <c r="M195" s="164" t="s">
        <v>31</v>
      </c>
      <c r="N195" s="171" t="n">
        <v>43790</v>
      </c>
    </row>
    <row r="196" customFormat="false" ht="12.8" hidden="false" customHeight="false" outlineLevel="0" collapsed="false">
      <c r="B196" s="5" t="s">
        <v>4394</v>
      </c>
      <c r="C196" s="206" t="n">
        <v>43718</v>
      </c>
      <c r="D196" s="5" t="s">
        <v>22</v>
      </c>
      <c r="E196" s="5" t="s">
        <v>3219</v>
      </c>
      <c r="F196" s="207" t="s">
        <v>3093</v>
      </c>
      <c r="G196" s="5" t="s">
        <v>197</v>
      </c>
      <c r="I196" s="168" t="n">
        <v>33825</v>
      </c>
      <c r="K196" s="5" t="s">
        <v>4395</v>
      </c>
      <c r="L196" s="35" t="s">
        <v>1915</v>
      </c>
      <c r="M196" s="164" t="s">
        <v>31</v>
      </c>
      <c r="N196" s="171" t="n">
        <v>43790</v>
      </c>
    </row>
    <row r="197" customFormat="false" ht="12.8" hidden="false" customHeight="false" outlineLevel="0" collapsed="false">
      <c r="B197" s="5" t="s">
        <v>4396</v>
      </c>
      <c r="C197" s="206" t="n">
        <v>43682</v>
      </c>
      <c r="D197" s="5" t="s">
        <v>22</v>
      </c>
      <c r="E197" s="5" t="s">
        <v>350</v>
      </c>
      <c r="F197" s="207" t="s">
        <v>4397</v>
      </c>
      <c r="G197" s="5" t="s">
        <v>4398</v>
      </c>
      <c r="I197" s="168" t="n">
        <v>10800</v>
      </c>
      <c r="K197" s="5" t="s">
        <v>4399</v>
      </c>
      <c r="L197" s="35" t="s">
        <v>1915</v>
      </c>
      <c r="M197" s="164" t="s">
        <v>31</v>
      </c>
      <c r="N197" s="171" t="n">
        <v>43790</v>
      </c>
    </row>
    <row r="198" customFormat="false" ht="12.8" hidden="false" customHeight="false" outlineLevel="0" collapsed="false">
      <c r="B198" s="5" t="s">
        <v>4400</v>
      </c>
      <c r="C198" s="206" t="n">
        <v>43713</v>
      </c>
      <c r="D198" s="5" t="s">
        <v>22</v>
      </c>
      <c r="E198" s="5" t="s">
        <v>206</v>
      </c>
      <c r="F198" s="207" t="s">
        <v>191</v>
      </c>
      <c r="G198" s="5" t="s">
        <v>101</v>
      </c>
      <c r="I198" s="168" t="n">
        <v>53000</v>
      </c>
      <c r="K198" s="5" t="s">
        <v>4401</v>
      </c>
      <c r="L198" s="35" t="s">
        <v>30</v>
      </c>
      <c r="M198" s="164" t="s">
        <v>31</v>
      </c>
      <c r="N198" s="171" t="n">
        <v>43790</v>
      </c>
    </row>
    <row r="199" customFormat="false" ht="12.8" hidden="false" customHeight="false" outlineLevel="0" collapsed="false">
      <c r="B199" s="5" t="s">
        <v>4402</v>
      </c>
      <c r="C199" s="206" t="n">
        <v>43707</v>
      </c>
      <c r="D199" s="5" t="s">
        <v>22</v>
      </c>
      <c r="E199" s="5" t="s">
        <v>3219</v>
      </c>
      <c r="F199" s="207" t="s">
        <v>3093</v>
      </c>
      <c r="G199" s="5" t="s">
        <v>197</v>
      </c>
      <c r="I199" s="168" t="n">
        <v>33825</v>
      </c>
      <c r="K199" s="5" t="s">
        <v>4403</v>
      </c>
      <c r="L199" s="35" t="s">
        <v>1915</v>
      </c>
      <c r="M199" s="164" t="s">
        <v>31</v>
      </c>
      <c r="N199" s="171" t="n">
        <v>43790</v>
      </c>
    </row>
    <row r="200" customFormat="false" ht="12.8" hidden="false" customHeight="false" outlineLevel="0" collapsed="false">
      <c r="B200" s="5" t="s">
        <v>4404</v>
      </c>
      <c r="C200" s="206" t="n">
        <v>43713</v>
      </c>
      <c r="D200" s="5" t="s">
        <v>22</v>
      </c>
      <c r="E200" s="5" t="s">
        <v>3219</v>
      </c>
      <c r="F200" s="207" t="s">
        <v>3093</v>
      </c>
      <c r="G200" s="5" t="s">
        <v>197</v>
      </c>
      <c r="I200" s="168" t="n">
        <v>42168.09</v>
      </c>
      <c r="K200" s="5" t="s">
        <v>4405</v>
      </c>
      <c r="L200" s="35" t="s">
        <v>1915</v>
      </c>
      <c r="M200" s="164" t="s">
        <v>31</v>
      </c>
      <c r="N200" s="171" t="n">
        <v>43790</v>
      </c>
    </row>
    <row r="201" customFormat="false" ht="12.8" hidden="false" customHeight="false" outlineLevel="0" collapsed="false">
      <c r="B201" s="5" t="s">
        <v>4406</v>
      </c>
      <c r="C201" s="206" t="n">
        <v>43707</v>
      </c>
      <c r="D201" s="5" t="s">
        <v>22</v>
      </c>
      <c r="E201" s="5" t="s">
        <v>3219</v>
      </c>
      <c r="F201" s="207" t="s">
        <v>3093</v>
      </c>
      <c r="G201" s="5" t="s">
        <v>197</v>
      </c>
      <c r="I201" s="168" t="n">
        <v>33825</v>
      </c>
      <c r="K201" s="5" t="s">
        <v>4407</v>
      </c>
      <c r="L201" s="35" t="s">
        <v>1915</v>
      </c>
      <c r="M201" s="164" t="s">
        <v>31</v>
      </c>
      <c r="N201" s="171" t="n">
        <v>43790</v>
      </c>
    </row>
    <row r="202" customFormat="false" ht="12.8" hidden="false" customHeight="false" outlineLevel="0" collapsed="false">
      <c r="B202" s="5" t="s">
        <v>4408</v>
      </c>
      <c r="C202" s="206" t="n">
        <v>43713</v>
      </c>
      <c r="D202" s="5" t="s">
        <v>22</v>
      </c>
      <c r="E202" s="5" t="s">
        <v>3219</v>
      </c>
      <c r="F202" s="207" t="s">
        <v>3093</v>
      </c>
      <c r="G202" s="5" t="s">
        <v>197</v>
      </c>
      <c r="I202" s="168" t="n">
        <v>33825</v>
      </c>
      <c r="K202" s="5" t="s">
        <v>4409</v>
      </c>
      <c r="L202" s="35" t="s">
        <v>1915</v>
      </c>
      <c r="M202" s="164" t="s">
        <v>31</v>
      </c>
      <c r="N202" s="171" t="n">
        <v>43790</v>
      </c>
    </row>
    <row r="203" customFormat="false" ht="12.8" hidden="false" customHeight="false" outlineLevel="0" collapsed="false">
      <c r="B203" s="5" t="s">
        <v>4410</v>
      </c>
      <c r="C203" s="206" t="n">
        <v>43710</v>
      </c>
      <c r="D203" s="5" t="s">
        <v>22</v>
      </c>
      <c r="E203" s="5" t="s">
        <v>665</v>
      </c>
      <c r="F203" s="207" t="s">
        <v>544</v>
      </c>
      <c r="G203" s="5" t="s">
        <v>755</v>
      </c>
      <c r="I203" s="168" t="n">
        <v>20000</v>
      </c>
      <c r="K203" s="5" t="s">
        <v>4411</v>
      </c>
      <c r="L203" s="35" t="s">
        <v>30</v>
      </c>
      <c r="M203" s="164" t="s">
        <v>31</v>
      </c>
      <c r="N203" s="171" t="n">
        <v>43790</v>
      </c>
    </row>
    <row r="204" customFormat="false" ht="12.8" hidden="false" customHeight="false" outlineLevel="0" collapsed="false">
      <c r="B204" s="5" t="s">
        <v>4412</v>
      </c>
      <c r="C204" s="206" t="n">
        <v>43717</v>
      </c>
      <c r="D204" s="5" t="s">
        <v>22</v>
      </c>
      <c r="E204" s="5" t="s">
        <v>350</v>
      </c>
      <c r="F204" s="207" t="s">
        <v>4397</v>
      </c>
      <c r="G204" s="5" t="s">
        <v>715</v>
      </c>
      <c r="I204" s="168" t="n">
        <v>12500</v>
      </c>
      <c r="K204" s="5" t="s">
        <v>4413</v>
      </c>
      <c r="L204" s="35" t="s">
        <v>30</v>
      </c>
      <c r="M204" s="164" t="s">
        <v>31</v>
      </c>
      <c r="N204" s="171" t="n">
        <v>43790</v>
      </c>
    </row>
    <row r="205" customFormat="false" ht="12.8" hidden="false" customHeight="false" outlineLevel="0" collapsed="false">
      <c r="B205" s="5" t="s">
        <v>4414</v>
      </c>
      <c r="C205" s="206" t="n">
        <v>43711</v>
      </c>
      <c r="D205" s="5" t="s">
        <v>22</v>
      </c>
      <c r="E205" s="5" t="s">
        <v>3219</v>
      </c>
      <c r="F205" s="207" t="s">
        <v>3093</v>
      </c>
      <c r="G205" s="5" t="s">
        <v>197</v>
      </c>
      <c r="I205" s="168" t="n">
        <v>59385</v>
      </c>
      <c r="K205" s="5" t="s">
        <v>4415</v>
      </c>
      <c r="L205" s="35" t="s">
        <v>1915</v>
      </c>
      <c r="M205" s="164" t="s">
        <v>31</v>
      </c>
      <c r="N205" s="171" t="n">
        <v>43790</v>
      </c>
    </row>
    <row r="206" customFormat="false" ht="12.8" hidden="false" customHeight="false" outlineLevel="0" collapsed="false">
      <c r="B206" s="5" t="s">
        <v>4416</v>
      </c>
      <c r="C206" s="206" t="n">
        <v>43713</v>
      </c>
      <c r="D206" s="5" t="s">
        <v>22</v>
      </c>
      <c r="E206" s="5" t="s">
        <v>3219</v>
      </c>
      <c r="F206" s="207" t="s">
        <v>3093</v>
      </c>
      <c r="G206" s="5" t="s">
        <v>197</v>
      </c>
      <c r="I206" s="168" t="n">
        <v>33825</v>
      </c>
      <c r="K206" s="5" t="s">
        <v>4417</v>
      </c>
      <c r="L206" s="35" t="s">
        <v>1915</v>
      </c>
      <c r="M206" s="164" t="s">
        <v>31</v>
      </c>
      <c r="N206" s="171" t="n">
        <v>43790</v>
      </c>
    </row>
    <row r="207" customFormat="false" ht="12.8" hidden="false" customHeight="false" outlineLevel="0" collapsed="false">
      <c r="B207" s="5" t="s">
        <v>4418</v>
      </c>
      <c r="C207" s="206" t="n">
        <v>43718</v>
      </c>
      <c r="D207" s="5" t="s">
        <v>22</v>
      </c>
      <c r="E207" s="5" t="s">
        <v>3219</v>
      </c>
      <c r="F207" s="207" t="s">
        <v>3093</v>
      </c>
      <c r="G207" s="5" t="s">
        <v>197</v>
      </c>
      <c r="I207" s="168" t="n">
        <v>33825</v>
      </c>
      <c r="K207" s="5" t="s">
        <v>4419</v>
      </c>
      <c r="L207" s="35" t="s">
        <v>1915</v>
      </c>
      <c r="M207" s="164" t="s">
        <v>31</v>
      </c>
      <c r="N207" s="171" t="n">
        <v>43790</v>
      </c>
    </row>
    <row r="208" customFormat="false" ht="12.8" hidden="false" customHeight="false" outlineLevel="0" collapsed="false">
      <c r="B208" s="5" t="s">
        <v>4420</v>
      </c>
      <c r="C208" s="206" t="n">
        <v>43714</v>
      </c>
      <c r="D208" s="5" t="s">
        <v>22</v>
      </c>
      <c r="E208" s="5" t="s">
        <v>3219</v>
      </c>
      <c r="F208" s="207" t="s">
        <v>3093</v>
      </c>
      <c r="G208" s="5" t="s">
        <v>197</v>
      </c>
      <c r="I208" s="168" t="n">
        <v>33825</v>
      </c>
      <c r="K208" s="5" t="s">
        <v>4421</v>
      </c>
      <c r="L208" s="35" t="s">
        <v>1915</v>
      </c>
      <c r="M208" s="164" t="s">
        <v>31</v>
      </c>
      <c r="N208" s="171" t="n">
        <v>43790</v>
      </c>
    </row>
    <row r="209" customFormat="false" ht="12.8" hidden="false" customHeight="false" outlineLevel="0" collapsed="false">
      <c r="B209" s="5" t="s">
        <v>2803</v>
      </c>
      <c r="C209" s="206" t="n">
        <v>43712</v>
      </c>
      <c r="D209" s="5" t="s">
        <v>22</v>
      </c>
      <c r="E209" s="5" t="s">
        <v>350</v>
      </c>
      <c r="F209" s="207" t="s">
        <v>4397</v>
      </c>
      <c r="G209" s="5" t="s">
        <v>4114</v>
      </c>
      <c r="I209" s="168" t="n">
        <v>15000</v>
      </c>
      <c r="K209" s="5" t="s">
        <v>4422</v>
      </c>
      <c r="L209" s="35" t="s">
        <v>1915</v>
      </c>
      <c r="M209" s="164" t="s">
        <v>31</v>
      </c>
      <c r="N209" s="171" t="n">
        <v>43790</v>
      </c>
    </row>
    <row r="210" customFormat="false" ht="12.8" hidden="false" customHeight="false" outlineLevel="0" collapsed="false">
      <c r="B210" s="5" t="s">
        <v>2800</v>
      </c>
      <c r="C210" s="206" t="n">
        <v>43719</v>
      </c>
      <c r="D210" s="5" t="s">
        <v>22</v>
      </c>
      <c r="E210" s="5" t="s">
        <v>42</v>
      </c>
      <c r="F210" s="207" t="s">
        <v>4423</v>
      </c>
      <c r="G210" s="5" t="s">
        <v>48</v>
      </c>
      <c r="I210" s="168" t="n">
        <v>41450</v>
      </c>
      <c r="K210" s="5" t="s">
        <v>4424</v>
      </c>
      <c r="L210" s="35" t="s">
        <v>30</v>
      </c>
      <c r="M210" s="164" t="s">
        <v>31</v>
      </c>
      <c r="N210" s="171" t="n">
        <v>43790</v>
      </c>
    </row>
    <row r="211" customFormat="false" ht="12.8" hidden="false" customHeight="false" outlineLevel="0" collapsed="false">
      <c r="B211" s="5" t="s">
        <v>4425</v>
      </c>
      <c r="C211" s="206" t="n">
        <v>43724</v>
      </c>
      <c r="D211" s="5" t="s">
        <v>22</v>
      </c>
      <c r="E211" s="5" t="s">
        <v>477</v>
      </c>
      <c r="F211" s="207" t="s">
        <v>4426</v>
      </c>
      <c r="G211" s="5" t="s">
        <v>48</v>
      </c>
      <c r="I211" s="168" t="n">
        <v>26000</v>
      </c>
      <c r="K211" s="5" t="s">
        <v>4427</v>
      </c>
      <c r="L211" s="35" t="s">
        <v>30</v>
      </c>
      <c r="M211" s="164" t="s">
        <v>31</v>
      </c>
      <c r="N211" s="171" t="n">
        <v>43790</v>
      </c>
    </row>
    <row r="212" customFormat="false" ht="12.8" hidden="false" customHeight="false" outlineLevel="0" collapsed="false">
      <c r="B212" s="5" t="s">
        <v>4428</v>
      </c>
      <c r="C212" s="206" t="n">
        <v>43713</v>
      </c>
      <c r="D212" s="5" t="s">
        <v>22</v>
      </c>
      <c r="E212" s="5" t="s">
        <v>652</v>
      </c>
      <c r="F212" s="207" t="s">
        <v>4429</v>
      </c>
      <c r="G212" s="5" t="s">
        <v>3480</v>
      </c>
      <c r="I212" s="168" t="n">
        <v>16459.99</v>
      </c>
      <c r="K212" s="5" t="s">
        <v>4135</v>
      </c>
      <c r="L212" s="35" t="s">
        <v>30</v>
      </c>
      <c r="M212" s="164" t="s">
        <v>31</v>
      </c>
      <c r="N212" s="171" t="n">
        <v>43790</v>
      </c>
    </row>
    <row r="213" customFormat="false" ht="12.8" hidden="false" customHeight="false" outlineLevel="0" collapsed="false">
      <c r="B213" s="5" t="s">
        <v>4430</v>
      </c>
      <c r="C213" s="206" t="n">
        <v>43721</v>
      </c>
      <c r="D213" s="5" t="s">
        <v>22</v>
      </c>
      <c r="E213" s="5" t="s">
        <v>86</v>
      </c>
      <c r="F213" s="207" t="s">
        <v>471</v>
      </c>
      <c r="G213" s="5" t="s">
        <v>210</v>
      </c>
      <c r="I213" s="168" t="n">
        <v>40000</v>
      </c>
      <c r="K213" s="5" t="s">
        <v>987</v>
      </c>
      <c r="L213" s="35" t="s">
        <v>30</v>
      </c>
      <c r="M213" s="164" t="s">
        <v>31</v>
      </c>
      <c r="N213" s="171" t="n">
        <v>43790</v>
      </c>
    </row>
    <row r="214" customFormat="false" ht="12.8" hidden="false" customHeight="false" outlineLevel="0" collapsed="false">
      <c r="B214" s="5" t="s">
        <v>4431</v>
      </c>
      <c r="C214" s="206" t="n">
        <v>43731</v>
      </c>
      <c r="D214" s="5" t="s">
        <v>22</v>
      </c>
      <c r="E214" s="5" t="s">
        <v>623</v>
      </c>
      <c r="F214" s="207" t="s">
        <v>3051</v>
      </c>
      <c r="G214" s="5" t="s">
        <v>82</v>
      </c>
      <c r="I214" s="168" t="n">
        <v>42000</v>
      </c>
      <c r="K214" s="5" t="s">
        <v>4301</v>
      </c>
      <c r="L214" s="35" t="s">
        <v>1915</v>
      </c>
      <c r="M214" s="164" t="s">
        <v>31</v>
      </c>
      <c r="N214" s="171" t="n">
        <v>43790</v>
      </c>
    </row>
    <row r="215" customFormat="false" ht="12.8" hidden="false" customHeight="false" outlineLevel="0" collapsed="false">
      <c r="B215" s="5" t="s">
        <v>3532</v>
      </c>
      <c r="C215" s="206" t="n">
        <v>43726</v>
      </c>
      <c r="D215" s="5" t="s">
        <v>22</v>
      </c>
      <c r="E215" s="5" t="s">
        <v>3219</v>
      </c>
      <c r="F215" s="207" t="s">
        <v>3093</v>
      </c>
      <c r="G215" s="5" t="s">
        <v>197</v>
      </c>
      <c r="I215" s="168" t="n">
        <v>33825</v>
      </c>
      <c r="K215" s="5" t="s">
        <v>4432</v>
      </c>
      <c r="L215" s="35" t="s">
        <v>1915</v>
      </c>
      <c r="M215" s="164" t="s">
        <v>31</v>
      </c>
      <c r="N215" s="171" t="n">
        <v>43790</v>
      </c>
    </row>
    <row r="216" customFormat="false" ht="12.8" hidden="false" customHeight="false" outlineLevel="0" collapsed="false">
      <c r="B216" s="5" t="s">
        <v>4433</v>
      </c>
      <c r="C216" s="206" t="n">
        <v>43726</v>
      </c>
      <c r="D216" s="5" t="s">
        <v>22</v>
      </c>
      <c r="E216" s="5" t="s">
        <v>3219</v>
      </c>
      <c r="F216" s="207" t="s">
        <v>3093</v>
      </c>
      <c r="G216" s="5" t="s">
        <v>197</v>
      </c>
      <c r="I216" s="168" t="n">
        <v>33825</v>
      </c>
      <c r="K216" s="5" t="s">
        <v>3220</v>
      </c>
      <c r="L216" s="35" t="s">
        <v>1915</v>
      </c>
      <c r="M216" s="164" t="s">
        <v>31</v>
      </c>
      <c r="N216" s="171" t="n">
        <v>43790</v>
      </c>
    </row>
    <row r="217" customFormat="false" ht="12.8" hidden="false" customHeight="false" outlineLevel="0" collapsed="false">
      <c r="B217" s="5" t="s">
        <v>4434</v>
      </c>
      <c r="C217" s="206" t="n">
        <v>43719</v>
      </c>
      <c r="D217" s="5" t="s">
        <v>22</v>
      </c>
      <c r="E217" s="5" t="s">
        <v>350</v>
      </c>
      <c r="F217" s="207" t="s">
        <v>3064</v>
      </c>
      <c r="G217" s="5" t="s">
        <v>26</v>
      </c>
      <c r="I217" s="168" t="n">
        <v>42000</v>
      </c>
      <c r="K217" s="5" t="s">
        <v>4435</v>
      </c>
      <c r="L217" s="35" t="s">
        <v>1915</v>
      </c>
      <c r="M217" s="164" t="s">
        <v>31</v>
      </c>
      <c r="N217" s="171" t="n">
        <v>43790</v>
      </c>
    </row>
    <row r="218" customFormat="false" ht="12.8" hidden="false" customHeight="false" outlineLevel="0" collapsed="false">
      <c r="B218" s="5" t="s">
        <v>4436</v>
      </c>
      <c r="C218" s="206" t="n">
        <v>43721</v>
      </c>
      <c r="D218" s="5" t="s">
        <v>22</v>
      </c>
      <c r="E218" s="5" t="s">
        <v>3219</v>
      </c>
      <c r="F218" s="207" t="s">
        <v>3093</v>
      </c>
      <c r="G218" s="5" t="s">
        <v>197</v>
      </c>
      <c r="I218" s="168" t="n">
        <v>42377.19</v>
      </c>
      <c r="K218" s="5" t="s">
        <v>4437</v>
      </c>
      <c r="L218" s="35" t="s">
        <v>1915</v>
      </c>
      <c r="M218" s="164" t="s">
        <v>31</v>
      </c>
      <c r="N218" s="171" t="n">
        <v>43790</v>
      </c>
    </row>
    <row r="219" customFormat="false" ht="12.8" hidden="false" customHeight="false" outlineLevel="0" collapsed="false">
      <c r="B219" s="5" t="s">
        <v>4438</v>
      </c>
      <c r="C219" s="206" t="n">
        <v>43724</v>
      </c>
      <c r="D219" s="5" t="s">
        <v>22</v>
      </c>
      <c r="E219" s="5" t="s">
        <v>350</v>
      </c>
      <c r="F219" s="207" t="s">
        <v>4397</v>
      </c>
      <c r="G219" s="5" t="s">
        <v>4398</v>
      </c>
      <c r="I219" s="168" t="n">
        <v>14175</v>
      </c>
      <c r="K219" s="5" t="s">
        <v>2663</v>
      </c>
      <c r="L219" s="35" t="s">
        <v>4439</v>
      </c>
      <c r="M219" s="164" t="s">
        <v>31</v>
      </c>
      <c r="N219" s="171" t="n">
        <v>43790</v>
      </c>
    </row>
    <row r="220" customFormat="false" ht="12.8" hidden="false" customHeight="false" outlineLevel="0" collapsed="false">
      <c r="B220" s="5" t="s">
        <v>4440</v>
      </c>
      <c r="C220" s="206" t="n">
        <v>43726</v>
      </c>
      <c r="D220" s="5" t="s">
        <v>22</v>
      </c>
      <c r="E220" s="5" t="s">
        <v>3219</v>
      </c>
      <c r="F220" s="207" t="s">
        <v>3093</v>
      </c>
      <c r="G220" s="5" t="s">
        <v>197</v>
      </c>
      <c r="I220" s="168" t="n">
        <v>33825</v>
      </c>
      <c r="K220" s="5" t="s">
        <v>4441</v>
      </c>
      <c r="L220" s="35" t="s">
        <v>1915</v>
      </c>
      <c r="M220" s="164" t="s">
        <v>31</v>
      </c>
      <c r="N220" s="171" t="n">
        <v>43790</v>
      </c>
    </row>
    <row r="221" customFormat="false" ht="12.8" hidden="false" customHeight="false" outlineLevel="0" collapsed="false">
      <c r="B221" s="5" t="s">
        <v>4442</v>
      </c>
      <c r="C221" s="206" t="n">
        <v>43714</v>
      </c>
      <c r="D221" s="5" t="s">
        <v>22</v>
      </c>
      <c r="E221" s="5" t="s">
        <v>350</v>
      </c>
      <c r="F221" s="207" t="s">
        <v>3064</v>
      </c>
      <c r="G221" s="5" t="s">
        <v>1156</v>
      </c>
      <c r="I221" s="168" t="n">
        <v>20000</v>
      </c>
      <c r="K221" s="5" t="s">
        <v>4221</v>
      </c>
      <c r="L221" s="35" t="s">
        <v>1915</v>
      </c>
      <c r="M221" s="164" t="s">
        <v>31</v>
      </c>
      <c r="N221" s="171" t="n">
        <v>43790</v>
      </c>
    </row>
    <row r="222" customFormat="false" ht="12.8" hidden="false" customHeight="false" outlineLevel="0" collapsed="false">
      <c r="B222" s="5" t="s">
        <v>4443</v>
      </c>
      <c r="C222" s="206" t="n">
        <v>43718</v>
      </c>
      <c r="D222" s="5" t="s">
        <v>22</v>
      </c>
      <c r="E222" s="5" t="s">
        <v>350</v>
      </c>
      <c r="F222" s="207" t="s">
        <v>3064</v>
      </c>
      <c r="G222" s="5" t="s">
        <v>26</v>
      </c>
      <c r="I222" s="168" t="n">
        <v>60002</v>
      </c>
      <c r="K222" s="5" t="s">
        <v>3461</v>
      </c>
      <c r="L222" s="35" t="s">
        <v>1915</v>
      </c>
      <c r="M222" s="164" t="s">
        <v>31</v>
      </c>
      <c r="N222" s="171" t="n">
        <v>43790</v>
      </c>
    </row>
    <row r="223" customFormat="false" ht="12.8" hidden="false" customHeight="false" outlineLevel="0" collapsed="false">
      <c r="B223" s="5" t="s">
        <v>4444</v>
      </c>
      <c r="C223" s="206" t="n">
        <v>43732</v>
      </c>
      <c r="D223" s="5" t="s">
        <v>22</v>
      </c>
      <c r="E223" s="5" t="s">
        <v>522</v>
      </c>
      <c r="F223" s="207" t="s">
        <v>4445</v>
      </c>
      <c r="G223" s="5" t="s">
        <v>82</v>
      </c>
      <c r="I223" s="168" t="n">
        <v>29000</v>
      </c>
      <c r="K223" s="5" t="s">
        <v>4446</v>
      </c>
      <c r="L223" s="35" t="s">
        <v>1915</v>
      </c>
      <c r="M223" s="164" t="s">
        <v>31</v>
      </c>
      <c r="N223" s="171" t="n">
        <v>43790</v>
      </c>
    </row>
    <row r="224" customFormat="false" ht="12.8" hidden="false" customHeight="false" outlineLevel="0" collapsed="false">
      <c r="B224" s="5" t="s">
        <v>4447</v>
      </c>
      <c r="C224" s="206" t="n">
        <v>43728</v>
      </c>
      <c r="D224" s="5" t="s">
        <v>22</v>
      </c>
      <c r="E224" s="5" t="s">
        <v>343</v>
      </c>
      <c r="F224" s="207" t="s">
        <v>392</v>
      </c>
      <c r="G224" s="5" t="s">
        <v>116</v>
      </c>
      <c r="I224" s="168" t="n">
        <v>25000</v>
      </c>
      <c r="K224" s="5" t="s">
        <v>4227</v>
      </c>
      <c r="L224" s="35" t="s">
        <v>30</v>
      </c>
      <c r="M224" s="164" t="s">
        <v>31</v>
      </c>
      <c r="N224" s="171" t="n">
        <v>43790</v>
      </c>
    </row>
    <row r="225" customFormat="false" ht="12.8" hidden="false" customHeight="false" outlineLevel="0" collapsed="false">
      <c r="B225" s="5" t="s">
        <v>4448</v>
      </c>
      <c r="C225" s="206" t="n">
        <v>43726</v>
      </c>
      <c r="D225" s="5" t="s">
        <v>22</v>
      </c>
      <c r="E225" s="5" t="s">
        <v>3219</v>
      </c>
      <c r="F225" s="207" t="s">
        <v>3093</v>
      </c>
      <c r="G225" s="5" t="s">
        <v>197</v>
      </c>
      <c r="I225" s="168" t="n">
        <v>33825</v>
      </c>
      <c r="K225" s="5" t="s">
        <v>4449</v>
      </c>
      <c r="L225" s="35" t="s">
        <v>1915</v>
      </c>
      <c r="M225" s="164" t="s">
        <v>31</v>
      </c>
      <c r="N225" s="171" t="n">
        <v>43790</v>
      </c>
    </row>
    <row r="226" customFormat="false" ht="12.8" hidden="false" customHeight="false" outlineLevel="0" collapsed="false">
      <c r="B226" s="5" t="s">
        <v>4450</v>
      </c>
      <c r="C226" s="206" t="n">
        <v>43732</v>
      </c>
      <c r="D226" s="5" t="s">
        <v>22</v>
      </c>
      <c r="E226" s="5" t="s">
        <v>3219</v>
      </c>
      <c r="F226" s="207" t="s">
        <v>3093</v>
      </c>
      <c r="G226" s="5" t="s">
        <v>197</v>
      </c>
      <c r="I226" s="168" t="n">
        <v>33825</v>
      </c>
      <c r="K226" s="5" t="s">
        <v>4451</v>
      </c>
      <c r="L226" s="35" t="s">
        <v>1915</v>
      </c>
      <c r="M226" s="164" t="s">
        <v>31</v>
      </c>
      <c r="N226" s="171" t="n">
        <v>43790</v>
      </c>
    </row>
    <row r="227" customFormat="false" ht="12.8" hidden="false" customHeight="false" outlineLevel="0" collapsed="false">
      <c r="B227" s="5" t="s">
        <v>4452</v>
      </c>
      <c r="C227" s="206" t="n">
        <v>43720</v>
      </c>
      <c r="D227" s="5" t="s">
        <v>22</v>
      </c>
      <c r="E227" s="5" t="s">
        <v>23</v>
      </c>
      <c r="F227" s="207" t="s">
        <v>272</v>
      </c>
      <c r="G227" s="5" t="s">
        <v>2158</v>
      </c>
      <c r="I227" s="168" t="n">
        <v>49200</v>
      </c>
      <c r="K227" s="5" t="s">
        <v>4453</v>
      </c>
      <c r="L227" s="35" t="s">
        <v>1915</v>
      </c>
      <c r="M227" s="164" t="s">
        <v>31</v>
      </c>
      <c r="N227" s="171" t="n">
        <v>43790</v>
      </c>
    </row>
    <row r="228" customFormat="false" ht="12.8" hidden="false" customHeight="false" outlineLevel="0" collapsed="false">
      <c r="B228" s="5" t="s">
        <v>4454</v>
      </c>
      <c r="C228" s="206" t="n">
        <v>43732</v>
      </c>
      <c r="D228" s="5" t="s">
        <v>22</v>
      </c>
      <c r="E228" s="5" t="s">
        <v>3219</v>
      </c>
      <c r="F228" s="207" t="s">
        <v>3093</v>
      </c>
      <c r="G228" s="5" t="s">
        <v>197</v>
      </c>
      <c r="I228" s="168" t="n">
        <v>33825</v>
      </c>
      <c r="K228" s="5" t="s">
        <v>4455</v>
      </c>
      <c r="L228" s="35" t="s">
        <v>1915</v>
      </c>
      <c r="M228" s="164" t="s">
        <v>31</v>
      </c>
      <c r="N228" s="171" t="n">
        <v>43790</v>
      </c>
    </row>
    <row r="229" customFormat="false" ht="12.8" hidden="false" customHeight="false" outlineLevel="0" collapsed="false">
      <c r="B229" s="5" t="s">
        <v>4456</v>
      </c>
      <c r="C229" s="206" t="n">
        <v>43717</v>
      </c>
      <c r="D229" s="5" t="s">
        <v>22</v>
      </c>
      <c r="E229" s="5" t="s">
        <v>23</v>
      </c>
      <c r="F229" s="207" t="s">
        <v>272</v>
      </c>
      <c r="G229" s="5" t="s">
        <v>2158</v>
      </c>
      <c r="I229" s="168" t="n">
        <v>20180</v>
      </c>
      <c r="K229" s="5" t="s">
        <v>4457</v>
      </c>
      <c r="L229" s="35" t="s">
        <v>1915</v>
      </c>
      <c r="M229" s="164" t="s">
        <v>31</v>
      </c>
      <c r="N229" s="171" t="n">
        <v>43790</v>
      </c>
    </row>
    <row r="230" customFormat="false" ht="12.8" hidden="false" customHeight="false" outlineLevel="0" collapsed="false">
      <c r="B230" s="5" t="s">
        <v>4458</v>
      </c>
      <c r="C230" s="206" t="n">
        <v>43724</v>
      </c>
      <c r="D230" s="5" t="s">
        <v>22</v>
      </c>
      <c r="E230" s="5" t="s">
        <v>350</v>
      </c>
      <c r="F230" s="207" t="s">
        <v>3064</v>
      </c>
      <c r="G230" s="5" t="s">
        <v>1156</v>
      </c>
      <c r="I230" s="168" t="n">
        <v>25000</v>
      </c>
      <c r="K230" s="5" t="s">
        <v>4459</v>
      </c>
      <c r="L230" s="35" t="s">
        <v>1915</v>
      </c>
      <c r="M230" s="164" t="s">
        <v>31</v>
      </c>
      <c r="N230" s="171" t="n">
        <v>43790</v>
      </c>
    </row>
    <row r="231" customFormat="false" ht="12.8" hidden="false" customHeight="false" outlineLevel="0" collapsed="false">
      <c r="B231" s="5" t="s">
        <v>4460</v>
      </c>
      <c r="C231" s="206" t="n">
        <v>43719</v>
      </c>
      <c r="D231" s="5" t="s">
        <v>22</v>
      </c>
      <c r="E231" s="5" t="s">
        <v>3219</v>
      </c>
      <c r="F231" s="207" t="s">
        <v>3093</v>
      </c>
      <c r="G231" s="5" t="s">
        <v>197</v>
      </c>
      <c r="I231" s="168" t="n">
        <v>33825</v>
      </c>
      <c r="K231" s="5" t="s">
        <v>4461</v>
      </c>
      <c r="L231" s="35" t="s">
        <v>1915</v>
      </c>
      <c r="M231" s="164" t="s">
        <v>31</v>
      </c>
      <c r="N231" s="171" t="n">
        <v>43790</v>
      </c>
    </row>
    <row r="232" s="231" customFormat="true" ht="12.8" hidden="false" customHeight="false" outlineLevel="0" collapsed="false">
      <c r="B232" s="198" t="s">
        <v>4462</v>
      </c>
      <c r="C232" s="232" t="n">
        <v>43789</v>
      </c>
      <c r="D232" s="5" t="s">
        <v>22</v>
      </c>
      <c r="E232" s="198" t="s">
        <v>350</v>
      </c>
      <c r="F232" s="233" t="s">
        <v>4463</v>
      </c>
      <c r="G232" s="198" t="s">
        <v>4064</v>
      </c>
      <c r="H232" s="234"/>
      <c r="I232" s="235" t="n">
        <v>32000</v>
      </c>
      <c r="J232" s="235"/>
      <c r="K232" s="198" t="s">
        <v>4464</v>
      </c>
      <c r="L232" s="236" t="s">
        <v>1915</v>
      </c>
      <c r="M232" s="164" t="s">
        <v>31</v>
      </c>
      <c r="N232" s="237" t="n">
        <v>43879</v>
      </c>
      <c r="O232" s="238"/>
    </row>
    <row r="233" customFormat="false" ht="12.8" hidden="false" customHeight="false" outlineLevel="0" collapsed="false">
      <c r="B233" s="5" t="s">
        <v>4465</v>
      </c>
      <c r="C233" s="206" t="n">
        <v>43762</v>
      </c>
      <c r="D233" s="5" t="s">
        <v>22</v>
      </c>
      <c r="E233" s="5" t="s">
        <v>229</v>
      </c>
      <c r="F233" s="207" t="s">
        <v>357</v>
      </c>
      <c r="G233" s="5" t="s">
        <v>143</v>
      </c>
      <c r="I233" s="168" t="n">
        <v>9594000</v>
      </c>
      <c r="K233" s="5" t="s">
        <v>4466</v>
      </c>
      <c r="L233" s="236" t="s">
        <v>1915</v>
      </c>
      <c r="M233" s="164" t="s">
        <v>31</v>
      </c>
      <c r="N233" s="171" t="n">
        <v>43879</v>
      </c>
    </row>
    <row r="234" customFormat="false" ht="12.8" hidden="false" customHeight="false" outlineLevel="0" collapsed="false">
      <c r="B234" s="5" t="s">
        <v>4467</v>
      </c>
      <c r="C234" s="206" t="n">
        <v>43775</v>
      </c>
      <c r="D234" s="5" t="s">
        <v>22</v>
      </c>
      <c r="E234" s="5" t="s">
        <v>350</v>
      </c>
      <c r="F234" s="207" t="s">
        <v>323</v>
      </c>
      <c r="G234" s="5" t="s">
        <v>4398</v>
      </c>
      <c r="I234" s="168" t="n">
        <v>12008</v>
      </c>
      <c r="K234" s="5" t="s">
        <v>987</v>
      </c>
      <c r="L234" s="236" t="s">
        <v>1915</v>
      </c>
      <c r="M234" s="164" t="s">
        <v>31</v>
      </c>
      <c r="N234" s="237" t="n">
        <v>43879</v>
      </c>
    </row>
    <row r="235" customFormat="false" ht="12.8" hidden="false" customHeight="false" outlineLevel="0" collapsed="false">
      <c r="B235" s="5" t="s">
        <v>4468</v>
      </c>
      <c r="C235" s="206" t="n">
        <v>43773</v>
      </c>
      <c r="D235" s="5" t="s">
        <v>22</v>
      </c>
      <c r="E235" s="5" t="s">
        <v>350</v>
      </c>
      <c r="F235" s="207" t="s">
        <v>323</v>
      </c>
      <c r="G235" s="5" t="s">
        <v>4398</v>
      </c>
      <c r="I235" s="168" t="n">
        <v>12360</v>
      </c>
      <c r="K235" s="5" t="s">
        <v>4288</v>
      </c>
      <c r="L235" s="236" t="s">
        <v>1915</v>
      </c>
      <c r="M235" s="164" t="s">
        <v>31</v>
      </c>
      <c r="N235" s="171" t="n">
        <v>43879</v>
      </c>
    </row>
    <row r="236" customFormat="false" ht="12.8" hidden="false" customHeight="false" outlineLevel="0" collapsed="false">
      <c r="B236" s="5" t="s">
        <v>4469</v>
      </c>
      <c r="C236" s="206" t="n">
        <v>43763</v>
      </c>
      <c r="D236" s="5" t="s">
        <v>22</v>
      </c>
      <c r="E236" s="5" t="s">
        <v>75</v>
      </c>
      <c r="F236" s="207" t="s">
        <v>2019</v>
      </c>
      <c r="G236" s="5" t="s">
        <v>27</v>
      </c>
      <c r="I236" s="168" t="n">
        <v>46500</v>
      </c>
      <c r="K236" s="5" t="s">
        <v>4470</v>
      </c>
      <c r="L236" s="236" t="s">
        <v>30</v>
      </c>
      <c r="M236" s="164" t="s">
        <v>31</v>
      </c>
      <c r="N236" s="237" t="n">
        <v>43879</v>
      </c>
    </row>
    <row r="237" customFormat="false" ht="12.8" hidden="false" customHeight="false" outlineLevel="0" collapsed="false">
      <c r="B237" s="5" t="s">
        <v>4471</v>
      </c>
      <c r="C237" s="206" t="n">
        <v>43769</v>
      </c>
      <c r="D237" s="5" t="s">
        <v>22</v>
      </c>
      <c r="E237" s="5" t="s">
        <v>23</v>
      </c>
      <c r="F237" s="207" t="s">
        <v>43</v>
      </c>
      <c r="G237" s="5" t="s">
        <v>48</v>
      </c>
      <c r="I237" s="168" t="n">
        <v>94000</v>
      </c>
      <c r="K237" s="5" t="s">
        <v>4472</v>
      </c>
      <c r="L237" s="35" t="s">
        <v>1915</v>
      </c>
      <c r="M237" s="164" t="s">
        <v>31</v>
      </c>
      <c r="N237" s="171" t="n">
        <v>43879</v>
      </c>
    </row>
    <row r="238" customFormat="false" ht="12.8" hidden="false" customHeight="false" outlineLevel="0" collapsed="false">
      <c r="B238" s="5" t="s">
        <v>4473</v>
      </c>
      <c r="C238" s="206" t="n">
        <v>43767</v>
      </c>
      <c r="D238" s="5" t="s">
        <v>22</v>
      </c>
      <c r="E238" s="5" t="s">
        <v>331</v>
      </c>
      <c r="F238" s="207" t="s">
        <v>332</v>
      </c>
      <c r="G238" s="5" t="s">
        <v>570</v>
      </c>
      <c r="I238" s="168" t="n">
        <v>67500</v>
      </c>
      <c r="K238" s="5" t="s">
        <v>4474</v>
      </c>
      <c r="L238" s="35" t="s">
        <v>30</v>
      </c>
      <c r="M238" s="164" t="s">
        <v>31</v>
      </c>
      <c r="N238" s="237" t="n">
        <v>43879</v>
      </c>
    </row>
    <row r="239" customFormat="false" ht="12.8" hidden="false" customHeight="false" outlineLevel="0" collapsed="false">
      <c r="B239" s="5" t="s">
        <v>4475</v>
      </c>
      <c r="C239" s="206" t="n">
        <v>43767</v>
      </c>
      <c r="D239" s="5" t="s">
        <v>22</v>
      </c>
      <c r="E239" s="5" t="s">
        <v>962</v>
      </c>
      <c r="F239" s="207" t="s">
        <v>963</v>
      </c>
      <c r="G239" s="5" t="s">
        <v>36</v>
      </c>
      <c r="I239" s="168" t="n">
        <v>10000</v>
      </c>
      <c r="K239" s="5" t="s">
        <v>4435</v>
      </c>
      <c r="L239" s="35" t="s">
        <v>30</v>
      </c>
      <c r="M239" s="164" t="s">
        <v>31</v>
      </c>
      <c r="N239" s="171" t="n">
        <v>43879</v>
      </c>
    </row>
    <row r="240" customFormat="false" ht="12.8" hidden="false" customHeight="false" outlineLevel="0" collapsed="false">
      <c r="B240" s="5" t="s">
        <v>4476</v>
      </c>
      <c r="C240" s="206" t="n">
        <v>43767</v>
      </c>
      <c r="D240" s="5" t="s">
        <v>22</v>
      </c>
      <c r="E240" s="5" t="s">
        <v>433</v>
      </c>
      <c r="F240" s="207" t="s">
        <v>434</v>
      </c>
      <c r="G240" s="5" t="s">
        <v>82</v>
      </c>
      <c r="I240" s="168" t="n">
        <v>35000</v>
      </c>
      <c r="K240" s="5" t="s">
        <v>4477</v>
      </c>
      <c r="L240" s="35" t="s">
        <v>1915</v>
      </c>
      <c r="M240" s="164" t="s">
        <v>31</v>
      </c>
      <c r="N240" s="237" t="n">
        <v>43879</v>
      </c>
    </row>
    <row r="241" customFormat="false" ht="12.8" hidden="false" customHeight="false" outlineLevel="0" collapsed="false">
      <c r="B241" s="5" t="s">
        <v>4478</v>
      </c>
      <c r="C241" s="206" t="n">
        <v>43766</v>
      </c>
      <c r="D241" s="5" t="s">
        <v>22</v>
      </c>
      <c r="E241" s="5" t="s">
        <v>350</v>
      </c>
      <c r="F241" s="207" t="s">
        <v>351</v>
      </c>
      <c r="G241" s="5" t="s">
        <v>1156</v>
      </c>
      <c r="I241" s="168" t="n">
        <v>85000</v>
      </c>
      <c r="K241" s="5" t="s">
        <v>4479</v>
      </c>
      <c r="L241" s="35" t="s">
        <v>1915</v>
      </c>
      <c r="M241" s="164" t="s">
        <v>31</v>
      </c>
      <c r="N241" s="171" t="n">
        <v>43879</v>
      </c>
    </row>
    <row r="242" customFormat="false" ht="12.8" hidden="false" customHeight="false" outlineLevel="0" collapsed="false">
      <c r="B242" s="5" t="s">
        <v>4480</v>
      </c>
      <c r="C242" s="206" t="n">
        <v>43769</v>
      </c>
      <c r="D242" s="5" t="s">
        <v>22</v>
      </c>
      <c r="E242" s="5" t="s">
        <v>343</v>
      </c>
      <c r="F242" s="207" t="s">
        <v>392</v>
      </c>
      <c r="G242" s="5" t="s">
        <v>280</v>
      </c>
      <c r="I242" s="168" t="n">
        <v>14760</v>
      </c>
      <c r="K242" s="5" t="s">
        <v>987</v>
      </c>
      <c r="L242" s="35" t="s">
        <v>1915</v>
      </c>
      <c r="M242" s="164" t="s">
        <v>31</v>
      </c>
      <c r="N242" s="237" t="n">
        <v>43879</v>
      </c>
    </row>
    <row r="243" customFormat="false" ht="12.8" hidden="false" customHeight="false" outlineLevel="0" collapsed="false">
      <c r="B243" s="5" t="s">
        <v>4481</v>
      </c>
      <c r="C243" s="206" t="n">
        <v>43767</v>
      </c>
      <c r="D243" s="5" t="s">
        <v>22</v>
      </c>
      <c r="E243" s="5" t="s">
        <v>350</v>
      </c>
      <c r="F243" s="207" t="s">
        <v>323</v>
      </c>
      <c r="G243" s="5" t="s">
        <v>4398</v>
      </c>
      <c r="I243" s="168" t="n">
        <v>50000</v>
      </c>
      <c r="K243" s="5" t="s">
        <v>4482</v>
      </c>
      <c r="L243" s="35" t="s">
        <v>1915</v>
      </c>
      <c r="M243" s="164" t="s">
        <v>31</v>
      </c>
      <c r="N243" s="171" t="n">
        <v>43879</v>
      </c>
    </row>
    <row r="244" customFormat="false" ht="12.8" hidden="false" customHeight="false" outlineLevel="0" collapsed="false">
      <c r="B244" s="5" t="s">
        <v>4483</v>
      </c>
      <c r="C244" s="155" t="n">
        <v>43789</v>
      </c>
      <c r="D244" s="5" t="s">
        <v>22</v>
      </c>
      <c r="E244" s="5" t="s">
        <v>125</v>
      </c>
      <c r="F244" s="207" t="s">
        <v>335</v>
      </c>
      <c r="G244" s="5" t="s">
        <v>210</v>
      </c>
      <c r="I244" s="168" t="n">
        <v>55000</v>
      </c>
      <c r="K244" s="5" t="s">
        <v>4135</v>
      </c>
      <c r="L244" s="35" t="s">
        <v>1915</v>
      </c>
      <c r="M244" s="164" t="s">
        <v>31</v>
      </c>
      <c r="N244" s="171" t="n">
        <v>43881</v>
      </c>
    </row>
    <row r="245" customFormat="false" ht="12.8" hidden="false" customHeight="false" outlineLevel="0" collapsed="false">
      <c r="B245" s="5" t="s">
        <v>4484</v>
      </c>
      <c r="C245" s="206" t="n">
        <v>43791</v>
      </c>
      <c r="D245" s="5" t="s">
        <v>22</v>
      </c>
      <c r="E245" s="5" t="s">
        <v>3219</v>
      </c>
      <c r="F245" s="207" t="s">
        <v>3093</v>
      </c>
      <c r="G245" s="5" t="s">
        <v>197</v>
      </c>
      <c r="I245" s="168" t="n">
        <v>33825</v>
      </c>
      <c r="K245" s="5" t="s">
        <v>4485</v>
      </c>
      <c r="L245" s="35" t="s">
        <v>1915</v>
      </c>
      <c r="M245" s="164" t="s">
        <v>31</v>
      </c>
      <c r="N245" s="171" t="n">
        <v>43881</v>
      </c>
    </row>
    <row r="246" customFormat="false" ht="12.8" hidden="false" customHeight="false" outlineLevel="0" collapsed="false">
      <c r="B246" s="5" t="s">
        <v>4486</v>
      </c>
      <c r="C246" s="206" t="n">
        <v>43782</v>
      </c>
      <c r="D246" s="5" t="s">
        <v>22</v>
      </c>
      <c r="E246" s="5" t="s">
        <v>23</v>
      </c>
      <c r="F246" s="207" t="s">
        <v>43</v>
      </c>
      <c r="G246" s="5" t="s">
        <v>48</v>
      </c>
      <c r="I246" s="168" t="n">
        <v>40000</v>
      </c>
      <c r="K246" s="5" t="s">
        <v>4487</v>
      </c>
      <c r="L246" s="35" t="s">
        <v>30</v>
      </c>
      <c r="M246" s="164" t="s">
        <v>31</v>
      </c>
      <c r="N246" s="171" t="n">
        <v>43881</v>
      </c>
    </row>
    <row r="247" customFormat="false" ht="12.8" hidden="false" customHeight="false" outlineLevel="0" collapsed="false">
      <c r="B247" s="5" t="s">
        <v>4488</v>
      </c>
      <c r="C247" s="206" t="n">
        <v>43797</v>
      </c>
      <c r="D247" s="5" t="s">
        <v>22</v>
      </c>
      <c r="E247" s="5" t="s">
        <v>203</v>
      </c>
      <c r="F247" s="207" t="s">
        <v>138</v>
      </c>
      <c r="G247" s="5" t="s">
        <v>200</v>
      </c>
      <c r="I247" s="168" t="n">
        <v>22669</v>
      </c>
      <c r="K247" s="5" t="s">
        <v>4489</v>
      </c>
      <c r="L247" s="35" t="s">
        <v>1915</v>
      </c>
      <c r="M247" s="164" t="s">
        <v>31</v>
      </c>
      <c r="N247" s="171" t="n">
        <v>43881</v>
      </c>
    </row>
    <row r="248" customFormat="false" ht="12.8" hidden="false" customHeight="false" outlineLevel="0" collapsed="false">
      <c r="B248" s="1" t="n">
        <v>12212</v>
      </c>
      <c r="C248" s="3" t="n">
        <v>43794</v>
      </c>
      <c r="D248" s="2" t="s">
        <v>22</v>
      </c>
      <c r="E248" s="8" t="s">
        <v>350</v>
      </c>
      <c r="F248" s="207" t="s">
        <v>323</v>
      </c>
      <c r="G248" s="5" t="s">
        <v>835</v>
      </c>
      <c r="I248" s="168" t="n">
        <v>16642</v>
      </c>
      <c r="K248" s="5" t="s">
        <v>4490</v>
      </c>
      <c r="L248" s="35" t="s">
        <v>1915</v>
      </c>
      <c r="M248" s="164" t="s">
        <v>31</v>
      </c>
      <c r="N248" s="171" t="n">
        <v>43881</v>
      </c>
    </row>
    <row r="249" customFormat="false" ht="12.8" hidden="false" customHeight="false" outlineLevel="0" collapsed="false">
      <c r="B249" s="5" t="s">
        <v>4491</v>
      </c>
      <c r="C249" s="206" t="n">
        <v>43776</v>
      </c>
      <c r="D249" s="5" t="s">
        <v>22</v>
      </c>
      <c r="E249" s="5" t="s">
        <v>80</v>
      </c>
      <c r="F249" s="207" t="s">
        <v>81</v>
      </c>
      <c r="G249" s="5" t="s">
        <v>36</v>
      </c>
      <c r="I249" s="168" t="n">
        <v>61500</v>
      </c>
      <c r="K249" s="5" t="s">
        <v>4492</v>
      </c>
      <c r="L249" s="35" t="s">
        <v>30</v>
      </c>
      <c r="M249" s="164" t="s">
        <v>31</v>
      </c>
      <c r="N249" s="171" t="n">
        <v>43881</v>
      </c>
    </row>
    <row r="250" customFormat="false" ht="12.8" hidden="false" customHeight="false" outlineLevel="0" collapsed="false">
      <c r="B250" s="5" t="s">
        <v>4493</v>
      </c>
      <c r="C250" s="206" t="n">
        <v>43777</v>
      </c>
      <c r="D250" s="5" t="s">
        <v>22</v>
      </c>
      <c r="E250" s="5" t="s">
        <v>350</v>
      </c>
      <c r="F250" s="207" t="s">
        <v>351</v>
      </c>
      <c r="G250" s="5" t="s">
        <v>26</v>
      </c>
      <c r="I250" s="168" t="n">
        <v>26000</v>
      </c>
      <c r="K250" s="5" t="s">
        <v>4494</v>
      </c>
      <c r="L250" s="35" t="s">
        <v>1915</v>
      </c>
      <c r="M250" s="164" t="s">
        <v>31</v>
      </c>
      <c r="N250" s="171" t="n">
        <v>43881</v>
      </c>
    </row>
    <row r="251" customFormat="false" ht="12.8" hidden="false" customHeight="false" outlineLevel="0" collapsed="false">
      <c r="B251" s="5" t="s">
        <v>4495</v>
      </c>
      <c r="C251" s="206" t="n">
        <v>43783</v>
      </c>
      <c r="D251" s="5" t="s">
        <v>22</v>
      </c>
      <c r="E251" s="5" t="s">
        <v>350</v>
      </c>
      <c r="F251" s="207" t="s">
        <v>323</v>
      </c>
      <c r="G251" s="5" t="s">
        <v>4398</v>
      </c>
      <c r="I251" s="168" t="n">
        <v>34000</v>
      </c>
      <c r="K251" s="5" t="s">
        <v>4496</v>
      </c>
      <c r="L251" s="35" t="s">
        <v>1915</v>
      </c>
      <c r="M251" s="164" t="s">
        <v>31</v>
      </c>
      <c r="N251" s="171" t="n">
        <v>43881</v>
      </c>
    </row>
    <row r="252" customFormat="false" ht="12.8" hidden="false" customHeight="false" outlineLevel="0" collapsed="false">
      <c r="B252" s="5" t="s">
        <v>4497</v>
      </c>
      <c r="C252" s="206" t="n">
        <v>43781</v>
      </c>
      <c r="D252" s="5" t="s">
        <v>22</v>
      </c>
      <c r="E252" s="5" t="s">
        <v>322</v>
      </c>
      <c r="F252" s="207" t="s">
        <v>323</v>
      </c>
      <c r="G252" s="5" t="s">
        <v>4196</v>
      </c>
      <c r="I252" s="168" t="n">
        <v>32000.91</v>
      </c>
      <c r="K252" s="5" t="s">
        <v>4498</v>
      </c>
      <c r="L252" s="35" t="s">
        <v>1915</v>
      </c>
      <c r="M252" s="164" t="s">
        <v>31</v>
      </c>
      <c r="N252" s="171" t="n">
        <v>43881</v>
      </c>
    </row>
    <row r="253" customFormat="false" ht="12.8" hidden="false" customHeight="false" outlineLevel="0" collapsed="false">
      <c r="B253" s="5" t="s">
        <v>4499</v>
      </c>
      <c r="C253" s="206" t="n">
        <v>43788</v>
      </c>
      <c r="D253" s="5" t="s">
        <v>22</v>
      </c>
      <c r="E253" s="5" t="s">
        <v>350</v>
      </c>
      <c r="F253" s="207" t="s">
        <v>323</v>
      </c>
      <c r="G253" s="5" t="s">
        <v>4064</v>
      </c>
      <c r="I253" s="168" t="n">
        <v>15520</v>
      </c>
      <c r="K253" s="5" t="s">
        <v>4500</v>
      </c>
      <c r="L253" s="35" t="s">
        <v>1915</v>
      </c>
      <c r="M253" s="164" t="s">
        <v>31</v>
      </c>
      <c r="N253" s="171" t="n">
        <v>43881</v>
      </c>
    </row>
    <row r="254" customFormat="false" ht="12.8" hidden="false" customHeight="false" outlineLevel="0" collapsed="false">
      <c r="B254" s="5" t="s">
        <v>4501</v>
      </c>
      <c r="C254" s="206" t="n">
        <v>43781</v>
      </c>
      <c r="D254" s="5" t="s">
        <v>22</v>
      </c>
      <c r="E254" s="5" t="s">
        <v>306</v>
      </c>
      <c r="F254" s="207" t="s">
        <v>138</v>
      </c>
      <c r="G254" s="5" t="s">
        <v>36</v>
      </c>
      <c r="I254" s="168" t="n">
        <v>33000</v>
      </c>
      <c r="K254" s="5" t="s">
        <v>4502</v>
      </c>
      <c r="L254" s="35" t="s">
        <v>1915</v>
      </c>
      <c r="M254" s="164" t="s">
        <v>31</v>
      </c>
      <c r="N254" s="171" t="n">
        <v>43881</v>
      </c>
    </row>
    <row r="255" customFormat="false" ht="12.8" hidden="false" customHeight="false" outlineLevel="0" collapsed="false">
      <c r="B255" s="5" t="s">
        <v>4503</v>
      </c>
      <c r="C255" s="206" t="n">
        <v>43768</v>
      </c>
      <c r="D255" s="5" t="s">
        <v>22</v>
      </c>
      <c r="E255" s="5" t="s">
        <v>3219</v>
      </c>
      <c r="F255" s="207" t="s">
        <v>3093</v>
      </c>
      <c r="G255" s="5" t="s">
        <v>197</v>
      </c>
      <c r="I255" s="168" t="n">
        <v>33825</v>
      </c>
      <c r="K255" s="5" t="s">
        <v>4504</v>
      </c>
      <c r="L255" s="35" t="s">
        <v>1915</v>
      </c>
      <c r="M255" s="164" t="s">
        <v>31</v>
      </c>
      <c r="N255" s="171" t="n">
        <v>43881</v>
      </c>
    </row>
    <row r="256" customFormat="false" ht="12.8" hidden="false" customHeight="false" outlineLevel="0" collapsed="false">
      <c r="B256" s="5" t="s">
        <v>4505</v>
      </c>
      <c r="C256" s="206" t="n">
        <v>43767</v>
      </c>
      <c r="D256" s="5" t="s">
        <v>22</v>
      </c>
      <c r="E256" s="5" t="s">
        <v>3219</v>
      </c>
      <c r="F256" s="207" t="s">
        <v>3093</v>
      </c>
      <c r="G256" s="5" t="s">
        <v>197</v>
      </c>
      <c r="I256" s="168" t="n">
        <v>4767.48</v>
      </c>
      <c r="K256" s="5" t="s">
        <v>4506</v>
      </c>
      <c r="L256" s="35" t="s">
        <v>1915</v>
      </c>
      <c r="M256" s="164" t="s">
        <v>31</v>
      </c>
      <c r="N256" s="171" t="n">
        <v>43881</v>
      </c>
    </row>
    <row r="257" customFormat="false" ht="12.8" hidden="false" customHeight="false" outlineLevel="0" collapsed="false">
      <c r="B257" s="5" t="s">
        <v>4507</v>
      </c>
      <c r="C257" s="206" t="n">
        <v>43767</v>
      </c>
      <c r="D257" s="5" t="s">
        <v>22</v>
      </c>
      <c r="E257" s="5" t="s">
        <v>3219</v>
      </c>
      <c r="F257" s="207" t="s">
        <v>3093</v>
      </c>
      <c r="G257" s="5" t="s">
        <v>197</v>
      </c>
      <c r="I257" s="168" t="n">
        <v>33825</v>
      </c>
      <c r="K257" s="5" t="s">
        <v>4508</v>
      </c>
      <c r="L257" s="35" t="s">
        <v>1915</v>
      </c>
      <c r="M257" s="164" t="s">
        <v>31</v>
      </c>
      <c r="N257" s="171" t="n">
        <v>43881</v>
      </c>
    </row>
    <row r="258" customFormat="false" ht="12.8" hidden="false" customHeight="false" outlineLevel="0" collapsed="false">
      <c r="B258" s="5" t="s">
        <v>4509</v>
      </c>
      <c r="C258" s="206" t="n">
        <v>43767</v>
      </c>
      <c r="D258" s="5" t="s">
        <v>22</v>
      </c>
      <c r="E258" s="5" t="s">
        <v>3219</v>
      </c>
      <c r="F258" s="207" t="s">
        <v>3093</v>
      </c>
      <c r="G258" s="5" t="s">
        <v>197</v>
      </c>
      <c r="I258" s="168" t="n">
        <v>33825</v>
      </c>
      <c r="K258" s="5" t="s">
        <v>4510</v>
      </c>
      <c r="L258" s="35" t="s">
        <v>1915</v>
      </c>
      <c r="M258" s="164" t="s">
        <v>31</v>
      </c>
      <c r="N258" s="171" t="n">
        <v>43881</v>
      </c>
    </row>
    <row r="259" customFormat="false" ht="12.8" hidden="false" customHeight="false" outlineLevel="0" collapsed="false">
      <c r="B259" s="5" t="s">
        <v>4511</v>
      </c>
      <c r="C259" s="206" t="n">
        <v>43776</v>
      </c>
      <c r="D259" s="5" t="s">
        <v>22</v>
      </c>
      <c r="E259" s="5" t="s">
        <v>350</v>
      </c>
      <c r="F259" s="207" t="s">
        <v>323</v>
      </c>
      <c r="G259" s="5" t="s">
        <v>4114</v>
      </c>
      <c r="I259" s="168" t="n">
        <v>32000</v>
      </c>
      <c r="K259" s="5" t="s">
        <v>4512</v>
      </c>
      <c r="L259" s="35" t="s">
        <v>30</v>
      </c>
      <c r="M259" s="164" t="s">
        <v>31</v>
      </c>
      <c r="N259" s="171" t="n">
        <v>43881</v>
      </c>
    </row>
    <row r="260" customFormat="false" ht="12.8" hidden="false" customHeight="false" outlineLevel="0" collapsed="false">
      <c r="B260" s="5" t="s">
        <v>4513</v>
      </c>
      <c r="C260" s="206" t="n">
        <v>43776</v>
      </c>
      <c r="D260" s="5" t="s">
        <v>22</v>
      </c>
      <c r="E260" s="5" t="s">
        <v>322</v>
      </c>
      <c r="F260" s="207" t="s">
        <v>323</v>
      </c>
      <c r="G260" s="5" t="s">
        <v>1245</v>
      </c>
      <c r="I260" s="168" t="n">
        <v>32000.91</v>
      </c>
      <c r="K260" s="5" t="s">
        <v>4231</v>
      </c>
      <c r="L260" s="35" t="s">
        <v>1915</v>
      </c>
      <c r="M260" s="164" t="s">
        <v>31</v>
      </c>
      <c r="N260" s="171" t="n">
        <v>43881</v>
      </c>
    </row>
    <row r="261" customFormat="false" ht="12.8" hidden="false" customHeight="false" outlineLevel="0" collapsed="false">
      <c r="B261" s="5" t="s">
        <v>4514</v>
      </c>
      <c r="C261" s="206" t="n">
        <v>43774</v>
      </c>
      <c r="D261" s="5" t="s">
        <v>22</v>
      </c>
      <c r="E261" s="5" t="s">
        <v>3219</v>
      </c>
      <c r="F261" s="207" t="s">
        <v>3093</v>
      </c>
      <c r="G261" s="5" t="s">
        <v>197</v>
      </c>
      <c r="I261" s="168" t="n">
        <v>54833.4</v>
      </c>
      <c r="K261" s="5" t="s">
        <v>4515</v>
      </c>
      <c r="L261" s="35" t="s">
        <v>1915</v>
      </c>
      <c r="M261" s="164" t="s">
        <v>31</v>
      </c>
      <c r="N261" s="171" t="n">
        <v>43881</v>
      </c>
    </row>
    <row r="262" customFormat="false" ht="12.8" hidden="false" customHeight="false" outlineLevel="0" collapsed="false">
      <c r="B262" s="5" t="s">
        <v>4516</v>
      </c>
      <c r="C262" s="206" t="n">
        <v>43777</v>
      </c>
      <c r="D262" s="5" t="s">
        <v>22</v>
      </c>
      <c r="E262" s="5" t="s">
        <v>281</v>
      </c>
      <c r="F262" s="207" t="s">
        <v>429</v>
      </c>
      <c r="G262" s="5" t="s">
        <v>300</v>
      </c>
      <c r="I262" s="168" t="n">
        <v>50000</v>
      </c>
      <c r="K262" s="5" t="s">
        <v>2560</v>
      </c>
      <c r="L262" s="35" t="s">
        <v>30</v>
      </c>
      <c r="M262" s="164" t="s">
        <v>31</v>
      </c>
      <c r="N262" s="171" t="n">
        <v>43881</v>
      </c>
    </row>
    <row r="263" customFormat="false" ht="12.8" hidden="false" customHeight="false" outlineLevel="0" collapsed="false">
      <c r="B263" s="5" t="s">
        <v>3653</v>
      </c>
      <c r="C263" s="155" t="n">
        <v>43774</v>
      </c>
      <c r="D263" s="5" t="s">
        <v>22</v>
      </c>
      <c r="E263" s="5" t="s">
        <v>125</v>
      </c>
      <c r="F263" s="157" t="s">
        <v>335</v>
      </c>
      <c r="G263" s="5" t="s">
        <v>336</v>
      </c>
      <c r="I263" s="168" t="n">
        <v>110700</v>
      </c>
      <c r="K263" s="5" t="s">
        <v>4517</v>
      </c>
      <c r="L263" s="35" t="s">
        <v>30</v>
      </c>
      <c r="M263" s="164" t="s">
        <v>31</v>
      </c>
      <c r="N263" s="171" t="n">
        <v>43881</v>
      </c>
      <c r="O263" s="1" t="s">
        <v>3657</v>
      </c>
    </row>
    <row r="264" customFormat="false" ht="12.8" hidden="false" customHeight="false" outlineLevel="0" collapsed="false">
      <c r="B264" s="5" t="s">
        <v>4518</v>
      </c>
      <c r="C264" s="206" t="n">
        <v>43767</v>
      </c>
      <c r="D264" s="5" t="s">
        <v>22</v>
      </c>
      <c r="E264" s="5" t="s">
        <v>3219</v>
      </c>
      <c r="F264" s="207" t="s">
        <v>3093</v>
      </c>
      <c r="G264" s="5" t="s">
        <v>197</v>
      </c>
      <c r="I264" s="168" t="n">
        <v>33825</v>
      </c>
      <c r="K264" s="5" t="s">
        <v>4519</v>
      </c>
      <c r="L264" s="35" t="s">
        <v>1915</v>
      </c>
      <c r="M264" s="164" t="s">
        <v>31</v>
      </c>
      <c r="N264" s="171" t="n">
        <v>43881</v>
      </c>
    </row>
    <row r="265" customFormat="false" ht="12.8" hidden="false" customHeight="false" outlineLevel="0" collapsed="false">
      <c r="B265" s="5" t="s">
        <v>4520</v>
      </c>
      <c r="C265" s="206" t="n">
        <v>43781</v>
      </c>
      <c r="D265" s="5" t="s">
        <v>22</v>
      </c>
      <c r="E265" s="5" t="s">
        <v>350</v>
      </c>
      <c r="F265" s="207" t="s">
        <v>323</v>
      </c>
      <c r="G265" s="5" t="s">
        <v>4064</v>
      </c>
      <c r="I265" s="168" t="n">
        <v>57145</v>
      </c>
      <c r="K265" s="5" t="s">
        <v>4521</v>
      </c>
      <c r="L265" s="35" t="s">
        <v>1915</v>
      </c>
      <c r="M265" s="164" t="s">
        <v>31</v>
      </c>
      <c r="N265" s="171" t="n">
        <v>43881</v>
      </c>
    </row>
    <row r="266" customFormat="false" ht="12.8" hidden="false" customHeight="false" outlineLevel="0" collapsed="false">
      <c r="B266" s="5" t="s">
        <v>4520</v>
      </c>
      <c r="C266" s="206" t="n">
        <v>43781</v>
      </c>
      <c r="D266" s="5" t="s">
        <v>22</v>
      </c>
      <c r="E266" s="5" t="s">
        <v>350</v>
      </c>
      <c r="F266" s="207" t="s">
        <v>323</v>
      </c>
      <c r="G266" s="5" t="s">
        <v>4064</v>
      </c>
      <c r="I266" s="168" t="n">
        <v>46715</v>
      </c>
      <c r="K266" s="5" t="s">
        <v>4522</v>
      </c>
      <c r="L266" s="35" t="s">
        <v>1915</v>
      </c>
      <c r="M266" s="164" t="s">
        <v>31</v>
      </c>
      <c r="N266" s="171" t="n">
        <v>43881</v>
      </c>
    </row>
    <row r="267" customFormat="false" ht="12.8" hidden="false" customHeight="false" outlineLevel="0" collapsed="false">
      <c r="B267" s="5" t="s">
        <v>4520</v>
      </c>
      <c r="C267" s="206" t="n">
        <v>43781</v>
      </c>
      <c r="D267" s="5" t="s">
        <v>22</v>
      </c>
      <c r="E267" s="5" t="s">
        <v>350</v>
      </c>
      <c r="F267" s="207" t="s">
        <v>323</v>
      </c>
      <c r="G267" s="5" t="s">
        <v>4064</v>
      </c>
      <c r="I267" s="168" t="n">
        <v>32000</v>
      </c>
      <c r="K267" s="5" t="s">
        <v>4523</v>
      </c>
      <c r="L267" s="35" t="s">
        <v>1915</v>
      </c>
      <c r="M267" s="164" t="s">
        <v>31</v>
      </c>
      <c r="N267" s="171" t="n">
        <v>43881</v>
      </c>
    </row>
    <row r="268" customFormat="false" ht="12.8" hidden="false" customHeight="false" outlineLevel="0" collapsed="false">
      <c r="B268" s="5" t="s">
        <v>4524</v>
      </c>
      <c r="C268" s="206" t="n">
        <v>43752</v>
      </c>
      <c r="D268" s="5" t="s">
        <v>22</v>
      </c>
      <c r="E268" s="5" t="s">
        <v>652</v>
      </c>
      <c r="F268" s="207" t="s">
        <v>46</v>
      </c>
      <c r="G268" s="5" t="s">
        <v>3480</v>
      </c>
      <c r="I268" s="168" t="n">
        <v>10000</v>
      </c>
      <c r="K268" s="5" t="s">
        <v>943</v>
      </c>
      <c r="L268" s="35" t="s">
        <v>30</v>
      </c>
      <c r="M268" s="164" t="s">
        <v>31</v>
      </c>
      <c r="N268" s="171" t="n">
        <v>43881</v>
      </c>
    </row>
    <row r="269" customFormat="false" ht="12.8" hidden="false" customHeight="false" outlineLevel="0" collapsed="false">
      <c r="B269" s="5" t="s">
        <v>4525</v>
      </c>
      <c r="C269" s="206" t="n">
        <v>43773</v>
      </c>
      <c r="D269" s="5" t="s">
        <v>22</v>
      </c>
      <c r="E269" s="5" t="s">
        <v>677</v>
      </c>
      <c r="F269" s="207" t="s">
        <v>344</v>
      </c>
      <c r="G269" s="5" t="s">
        <v>833</v>
      </c>
      <c r="I269" s="168" t="n">
        <v>42000</v>
      </c>
      <c r="K269" s="5" t="s">
        <v>4526</v>
      </c>
      <c r="L269" s="35" t="s">
        <v>1915</v>
      </c>
      <c r="M269" s="164" t="s">
        <v>31</v>
      </c>
      <c r="N269" s="171" t="n">
        <v>43881</v>
      </c>
    </row>
    <row r="270" customFormat="false" ht="12.8" hidden="false" customHeight="false" outlineLevel="0" collapsed="false">
      <c r="B270" s="5" t="s">
        <v>4527</v>
      </c>
      <c r="C270" s="206" t="n">
        <v>43797</v>
      </c>
      <c r="D270" s="5" t="s">
        <v>22</v>
      </c>
      <c r="E270" s="5" t="s">
        <v>2540</v>
      </c>
      <c r="F270" s="207" t="s">
        <v>1594</v>
      </c>
      <c r="G270" s="5" t="s">
        <v>4528</v>
      </c>
      <c r="I270" s="168" t="n">
        <v>44500</v>
      </c>
      <c r="K270" s="5" t="s">
        <v>4529</v>
      </c>
      <c r="L270" s="35" t="s">
        <v>30</v>
      </c>
      <c r="M270" s="164" t="s">
        <v>31</v>
      </c>
      <c r="N270" s="171" t="n">
        <v>43886</v>
      </c>
    </row>
    <row r="271" customFormat="false" ht="12.8" hidden="false" customHeight="false" outlineLevel="0" collapsed="false">
      <c r="B271" s="5" t="s">
        <v>4530</v>
      </c>
      <c r="C271" s="206" t="n">
        <v>43797</v>
      </c>
      <c r="D271" s="5" t="s">
        <v>22</v>
      </c>
      <c r="E271" s="5" t="s">
        <v>962</v>
      </c>
      <c r="F271" s="207" t="s">
        <v>963</v>
      </c>
      <c r="G271" s="5" t="s">
        <v>36</v>
      </c>
      <c r="I271" s="168" t="n">
        <v>35000</v>
      </c>
      <c r="K271" s="5" t="s">
        <v>4531</v>
      </c>
      <c r="L271" s="35" t="s">
        <v>30</v>
      </c>
      <c r="M271" s="164" t="s">
        <v>31</v>
      </c>
      <c r="N271" s="171" t="n">
        <v>43886</v>
      </c>
    </row>
    <row r="272" customFormat="false" ht="12.8" hidden="false" customHeight="false" outlineLevel="0" collapsed="false">
      <c r="B272" s="5" t="s">
        <v>3758</v>
      </c>
      <c r="C272" s="206" t="n">
        <v>43795</v>
      </c>
      <c r="D272" s="5" t="s">
        <v>22</v>
      </c>
      <c r="E272" s="5" t="s">
        <v>80</v>
      </c>
      <c r="F272" s="207" t="s">
        <v>81</v>
      </c>
      <c r="G272" s="5" t="s">
        <v>25</v>
      </c>
      <c r="I272" s="168" t="n">
        <v>54000</v>
      </c>
      <c r="K272" s="5" t="s">
        <v>4532</v>
      </c>
      <c r="L272" s="35" t="s">
        <v>30</v>
      </c>
      <c r="M272" s="164" t="s">
        <v>31</v>
      </c>
      <c r="N272" s="171" t="n">
        <v>43886</v>
      </c>
    </row>
    <row r="273" customFormat="false" ht="12.8" hidden="false" customHeight="false" outlineLevel="0" collapsed="false">
      <c r="B273" s="5" t="s">
        <v>3758</v>
      </c>
      <c r="C273" s="206" t="n">
        <v>43795</v>
      </c>
      <c r="D273" s="5" t="s">
        <v>22</v>
      </c>
      <c r="E273" s="5" t="s">
        <v>80</v>
      </c>
      <c r="F273" s="207" t="s">
        <v>81</v>
      </c>
      <c r="G273" s="5" t="s">
        <v>25</v>
      </c>
      <c r="I273" s="168" t="n">
        <v>54000</v>
      </c>
      <c r="K273" s="5" t="s">
        <v>4533</v>
      </c>
      <c r="L273" s="35" t="s">
        <v>30</v>
      </c>
      <c r="M273" s="164" t="s">
        <v>31</v>
      </c>
      <c r="N273" s="171" t="n">
        <v>43886</v>
      </c>
    </row>
    <row r="274" customFormat="false" ht="12.8" hidden="false" customHeight="false" outlineLevel="0" collapsed="false">
      <c r="B274" s="5" t="s">
        <v>4534</v>
      </c>
      <c r="C274" s="206" t="n">
        <v>43803</v>
      </c>
      <c r="D274" s="5" t="s">
        <v>22</v>
      </c>
      <c r="E274" s="5" t="s">
        <v>350</v>
      </c>
      <c r="F274" s="207" t="s">
        <v>323</v>
      </c>
      <c r="G274" s="5" t="s">
        <v>4064</v>
      </c>
      <c r="I274" s="168" t="n">
        <v>64715</v>
      </c>
      <c r="K274" s="5" t="s">
        <v>4535</v>
      </c>
      <c r="L274" s="35" t="s">
        <v>30</v>
      </c>
      <c r="M274" s="164" t="s">
        <v>31</v>
      </c>
      <c r="N274" s="171" t="n">
        <v>43886</v>
      </c>
    </row>
    <row r="275" customFormat="false" ht="12.8" hidden="false" customHeight="false" outlineLevel="0" collapsed="false">
      <c r="B275" s="5" t="s">
        <v>4536</v>
      </c>
      <c r="C275" s="206" t="n">
        <v>43778</v>
      </c>
      <c r="D275" s="5" t="s">
        <v>22</v>
      </c>
      <c r="E275" s="5" t="s">
        <v>350</v>
      </c>
      <c r="F275" s="207" t="s">
        <v>323</v>
      </c>
      <c r="G275" s="5" t="s">
        <v>4398</v>
      </c>
      <c r="I275" s="168" t="n">
        <v>8000</v>
      </c>
      <c r="K275" s="5" t="s">
        <v>4537</v>
      </c>
      <c r="L275" s="35" t="s">
        <v>30</v>
      </c>
      <c r="M275" s="164" t="s">
        <v>31</v>
      </c>
      <c r="N275" s="171" t="n">
        <v>43886</v>
      </c>
    </row>
    <row r="276" customFormat="false" ht="12.8" hidden="false" customHeight="false" outlineLevel="0" collapsed="false">
      <c r="B276" s="5" t="s">
        <v>4538</v>
      </c>
      <c r="C276" s="206" t="n">
        <v>43798</v>
      </c>
      <c r="D276" s="5" t="s">
        <v>22</v>
      </c>
      <c r="E276" s="5" t="s">
        <v>322</v>
      </c>
      <c r="F276" s="207" t="s">
        <v>351</v>
      </c>
      <c r="G276" s="5" t="s">
        <v>1156</v>
      </c>
      <c r="I276" s="168" t="n">
        <v>25000</v>
      </c>
      <c r="K276" s="5" t="s">
        <v>940</v>
      </c>
      <c r="L276" s="35" t="s">
        <v>30</v>
      </c>
      <c r="M276" s="164" t="s">
        <v>31</v>
      </c>
      <c r="N276" s="171" t="n">
        <v>43886</v>
      </c>
    </row>
    <row r="277" customFormat="false" ht="12.8" hidden="false" customHeight="false" outlineLevel="0" collapsed="false">
      <c r="B277" s="5" t="s">
        <v>4460</v>
      </c>
      <c r="C277" s="206" t="n">
        <v>43787</v>
      </c>
      <c r="D277" s="5" t="s">
        <v>22</v>
      </c>
      <c r="E277" s="5" t="s">
        <v>322</v>
      </c>
      <c r="F277" s="207" t="s">
        <v>351</v>
      </c>
      <c r="G277" s="5" t="s">
        <v>1156</v>
      </c>
      <c r="I277" s="168" t="n">
        <v>10000</v>
      </c>
      <c r="K277" s="5" t="s">
        <v>4539</v>
      </c>
      <c r="L277" s="35" t="s">
        <v>30</v>
      </c>
      <c r="M277" s="164" t="s">
        <v>31</v>
      </c>
      <c r="N277" s="171" t="n">
        <v>43886</v>
      </c>
    </row>
    <row r="278" customFormat="false" ht="12.8" hidden="false" customHeight="false" outlineLevel="0" collapsed="false">
      <c r="B278" s="5" t="s">
        <v>4540</v>
      </c>
      <c r="C278" s="206" t="n">
        <v>43787</v>
      </c>
      <c r="D278" s="5" t="s">
        <v>22</v>
      </c>
      <c r="E278" s="5" t="s">
        <v>322</v>
      </c>
      <c r="F278" s="207" t="s">
        <v>351</v>
      </c>
      <c r="G278" s="5" t="s">
        <v>1156</v>
      </c>
      <c r="I278" s="168" t="n">
        <v>25000</v>
      </c>
      <c r="K278" s="5" t="s">
        <v>4541</v>
      </c>
      <c r="L278" s="35" t="s">
        <v>30</v>
      </c>
      <c r="M278" s="164" t="s">
        <v>31</v>
      </c>
      <c r="N278" s="171" t="n">
        <v>43886</v>
      </c>
    </row>
    <row r="279" customFormat="false" ht="12.8" hidden="false" customHeight="false" outlineLevel="0" collapsed="false">
      <c r="B279" s="5" t="s">
        <v>4542</v>
      </c>
      <c r="C279" s="206" t="n">
        <v>43768</v>
      </c>
      <c r="D279" s="5" t="s">
        <v>22</v>
      </c>
      <c r="E279" s="5" t="s">
        <v>203</v>
      </c>
      <c r="F279" s="207" t="s">
        <v>4543</v>
      </c>
      <c r="G279" s="5" t="s">
        <v>36</v>
      </c>
      <c r="I279" s="168" t="n">
        <v>35000</v>
      </c>
      <c r="K279" s="5" t="s">
        <v>4544</v>
      </c>
      <c r="L279" s="35" t="s">
        <v>1915</v>
      </c>
      <c r="M279" s="164" t="s">
        <v>31</v>
      </c>
      <c r="N279" s="171" t="n">
        <v>43886</v>
      </c>
    </row>
    <row r="280" customFormat="false" ht="12.8" hidden="false" customHeight="false" outlineLevel="0" collapsed="false">
      <c r="B280" s="5" t="s">
        <v>4545</v>
      </c>
      <c r="C280" s="206" t="n">
        <v>43802</v>
      </c>
      <c r="D280" s="5" t="s">
        <v>22</v>
      </c>
      <c r="E280" s="5" t="s">
        <v>399</v>
      </c>
      <c r="F280" s="207" t="s">
        <v>4546</v>
      </c>
      <c r="G280" s="5" t="s">
        <v>36</v>
      </c>
      <c r="I280" s="168" t="n">
        <v>30000</v>
      </c>
      <c r="K280" s="5" t="s">
        <v>940</v>
      </c>
      <c r="L280" s="35" t="s">
        <v>30</v>
      </c>
      <c r="M280" s="164" t="s">
        <v>31</v>
      </c>
      <c r="N280" s="171" t="n">
        <v>43886</v>
      </c>
    </row>
    <row r="281" customFormat="false" ht="12.8" hidden="false" customHeight="false" outlineLevel="0" collapsed="false">
      <c r="B281" s="5" t="n">
        <v>5910</v>
      </c>
      <c r="C281" s="206" t="n">
        <v>43798</v>
      </c>
      <c r="D281" s="5" t="s">
        <v>22</v>
      </c>
      <c r="E281" s="5" t="s">
        <v>75</v>
      </c>
      <c r="F281" s="207" t="s">
        <v>4547</v>
      </c>
      <c r="G281" s="5" t="s">
        <v>197</v>
      </c>
      <c r="I281" s="168" t="n">
        <v>16912.5</v>
      </c>
      <c r="K281" s="5" t="s">
        <v>4548</v>
      </c>
      <c r="L281" s="35" t="s">
        <v>30</v>
      </c>
      <c r="M281" s="164" t="s">
        <v>31</v>
      </c>
      <c r="N281" s="171" t="n">
        <v>43886</v>
      </c>
    </row>
    <row r="282" customFormat="false" ht="12.8" hidden="false" customHeight="false" outlineLevel="0" collapsed="false">
      <c r="B282" s="5" t="s">
        <v>4549</v>
      </c>
      <c r="C282" s="206" t="n">
        <v>43798</v>
      </c>
      <c r="D282" s="5" t="s">
        <v>22</v>
      </c>
      <c r="E282" s="5" t="s">
        <v>399</v>
      </c>
      <c r="F282" s="207" t="s">
        <v>3822</v>
      </c>
      <c r="G282" s="5" t="s">
        <v>27</v>
      </c>
      <c r="I282" s="168" t="n">
        <v>55000</v>
      </c>
      <c r="K282" s="5" t="s">
        <v>3823</v>
      </c>
      <c r="L282" s="35" t="s">
        <v>30</v>
      </c>
      <c r="M282" s="164" t="s">
        <v>31</v>
      </c>
      <c r="N282" s="171" t="n">
        <v>43886</v>
      </c>
    </row>
    <row r="283" customFormat="false" ht="12.8" hidden="false" customHeight="false" outlineLevel="0" collapsed="false">
      <c r="B283" s="5" t="s">
        <v>4550</v>
      </c>
      <c r="C283" s="206" t="n">
        <v>43804</v>
      </c>
      <c r="D283" s="5" t="s">
        <v>22</v>
      </c>
      <c r="E283" s="5" t="s">
        <v>3219</v>
      </c>
      <c r="F283" s="207" t="s">
        <v>3093</v>
      </c>
      <c r="G283" s="5" t="s">
        <v>197</v>
      </c>
      <c r="I283" s="168" t="n">
        <v>67650</v>
      </c>
      <c r="K283" s="5" t="s">
        <v>4551</v>
      </c>
      <c r="L283" s="35" t="s">
        <v>30</v>
      </c>
      <c r="M283" s="164" t="s">
        <v>31</v>
      </c>
      <c r="N283" s="171" t="n">
        <v>43886</v>
      </c>
    </row>
    <row r="284" customFormat="false" ht="12.8" hidden="false" customHeight="false" outlineLevel="0" collapsed="false">
      <c r="B284" s="5" t="s">
        <v>2819</v>
      </c>
      <c r="C284" s="206" t="n">
        <v>43802</v>
      </c>
      <c r="D284" s="5" t="s">
        <v>22</v>
      </c>
      <c r="E284" s="5" t="s">
        <v>3219</v>
      </c>
      <c r="F284" s="207" t="s">
        <v>3093</v>
      </c>
      <c r="G284" s="5" t="s">
        <v>197</v>
      </c>
      <c r="I284" s="168" t="n">
        <v>33825</v>
      </c>
      <c r="K284" s="5" t="s">
        <v>4552</v>
      </c>
      <c r="L284" s="35" t="s">
        <v>30</v>
      </c>
      <c r="M284" s="164" t="s">
        <v>31</v>
      </c>
      <c r="N284" s="171" t="n">
        <v>43886</v>
      </c>
    </row>
    <row r="285" customFormat="false" ht="12.8" hidden="false" customHeight="false" outlineLevel="0" collapsed="false">
      <c r="B285" s="5" t="s">
        <v>3488</v>
      </c>
      <c r="C285" s="206" t="n">
        <v>43777</v>
      </c>
      <c r="D285" s="5" t="s">
        <v>22</v>
      </c>
      <c r="E285" s="5" t="s">
        <v>3219</v>
      </c>
      <c r="F285" s="207" t="s">
        <v>3093</v>
      </c>
      <c r="G285" s="5" t="s">
        <v>197</v>
      </c>
      <c r="I285" s="168" t="n">
        <v>76808.58</v>
      </c>
      <c r="K285" s="5" t="s">
        <v>4553</v>
      </c>
      <c r="L285" s="35" t="s">
        <v>30</v>
      </c>
      <c r="M285" s="164" t="s">
        <v>31</v>
      </c>
      <c r="N285" s="171" t="n">
        <v>43886</v>
      </c>
    </row>
    <row r="286" customFormat="false" ht="12.8" hidden="false" customHeight="false" outlineLevel="0" collapsed="false">
      <c r="B286" s="5" t="s">
        <v>4554</v>
      </c>
      <c r="C286" s="206" t="n">
        <v>43789</v>
      </c>
      <c r="D286" s="5" t="s">
        <v>22</v>
      </c>
      <c r="E286" s="5" t="s">
        <v>322</v>
      </c>
      <c r="F286" s="207" t="s">
        <v>351</v>
      </c>
      <c r="G286" s="5" t="s">
        <v>1648</v>
      </c>
      <c r="I286" s="168" t="n">
        <v>29000</v>
      </c>
      <c r="K286" s="5" t="s">
        <v>4555</v>
      </c>
      <c r="L286" s="35" t="s">
        <v>30</v>
      </c>
      <c r="M286" s="164" t="s">
        <v>31</v>
      </c>
      <c r="N286" s="171" t="n">
        <v>43887</v>
      </c>
    </row>
    <row r="287" customFormat="false" ht="12.8" hidden="false" customHeight="false" outlineLevel="0" collapsed="false">
      <c r="B287" s="5" t="n">
        <v>12051</v>
      </c>
      <c r="C287" s="206" t="n">
        <v>43818</v>
      </c>
      <c r="D287" s="5" t="s">
        <v>22</v>
      </c>
      <c r="E287" s="5" t="s">
        <v>350</v>
      </c>
      <c r="F287" s="207" t="s">
        <v>323</v>
      </c>
      <c r="G287" s="5" t="s">
        <v>4398</v>
      </c>
      <c r="I287" s="168" t="n">
        <v>15840</v>
      </c>
      <c r="K287" s="5" t="s">
        <v>940</v>
      </c>
      <c r="L287" s="35" t="s">
        <v>1915</v>
      </c>
      <c r="M287" s="164" t="s">
        <v>31</v>
      </c>
      <c r="N287" s="171" t="n">
        <v>43888</v>
      </c>
    </row>
    <row r="288" customFormat="false" ht="12.8" hidden="false" customHeight="false" outlineLevel="0" collapsed="false">
      <c r="L288" s="35"/>
      <c r="M288" s="164"/>
    </row>
    <row r="289" customFormat="false" ht="12.8" hidden="false" customHeight="false" outlineLevel="0" collapsed="false">
      <c r="L289" s="35"/>
      <c r="M289" s="164"/>
    </row>
    <row r="290" customFormat="false" ht="12.8" hidden="false" customHeight="false" outlineLevel="0" collapsed="false">
      <c r="L290" s="35"/>
      <c r="M290" s="164"/>
    </row>
    <row r="291" customFormat="false" ht="12.8" hidden="false" customHeight="false" outlineLevel="0" collapsed="false">
      <c r="L291" s="35"/>
      <c r="M291" s="164"/>
    </row>
    <row r="292" customFormat="false" ht="12.8" hidden="false" customHeight="false" outlineLevel="0" collapsed="false">
      <c r="L292" s="35"/>
      <c r="M292" s="164"/>
    </row>
    <row r="293" customFormat="false" ht="12.8" hidden="false" customHeight="false" outlineLevel="0" collapsed="false">
      <c r="L293" s="35"/>
      <c r="M293" s="164"/>
    </row>
    <row r="294" customFormat="false" ht="12.8" hidden="false" customHeight="false" outlineLevel="0" collapsed="false">
      <c r="L294" s="35"/>
      <c r="M294" s="164"/>
    </row>
    <row r="295" customFormat="false" ht="12.8" hidden="false" customHeight="false" outlineLevel="0" collapsed="false">
      <c r="L295" s="35"/>
      <c r="M295" s="164"/>
    </row>
    <row r="296" customFormat="false" ht="12.8" hidden="false" customHeight="false" outlineLevel="0" collapsed="false">
      <c r="L296" s="35"/>
      <c r="M296" s="164"/>
    </row>
    <row r="297" customFormat="false" ht="12.8" hidden="false" customHeight="false" outlineLevel="0" collapsed="false">
      <c r="L297" s="35"/>
      <c r="M297" s="164"/>
    </row>
    <row r="298" customFormat="false" ht="12.8" hidden="false" customHeight="false" outlineLevel="0" collapsed="false">
      <c r="L298" s="35"/>
      <c r="M298" s="164"/>
    </row>
    <row r="299" customFormat="false" ht="12.8" hidden="false" customHeight="false" outlineLevel="0" collapsed="false">
      <c r="L299" s="35"/>
      <c r="M299" s="164"/>
    </row>
    <row r="300" customFormat="false" ht="12.8" hidden="false" customHeight="false" outlineLevel="0" collapsed="false">
      <c r="L300" s="35"/>
      <c r="M300" s="164"/>
    </row>
    <row r="301" customFormat="false" ht="12.8" hidden="false" customHeight="false" outlineLevel="0" collapsed="false">
      <c r="L301" s="35"/>
      <c r="M301" s="164"/>
    </row>
    <row r="302" customFormat="false" ht="12.8" hidden="false" customHeight="false" outlineLevel="0" collapsed="false">
      <c r="L302" s="35"/>
      <c r="M302" s="164"/>
    </row>
    <row r="303" customFormat="false" ht="12.8" hidden="false" customHeight="false" outlineLevel="0" collapsed="false">
      <c r="L303" s="35"/>
      <c r="M303" s="164"/>
    </row>
    <row r="304" customFormat="false" ht="12.8" hidden="false" customHeight="false" outlineLevel="0" collapsed="false">
      <c r="L304" s="35"/>
      <c r="M304" s="164"/>
    </row>
    <row r="305" customFormat="false" ht="12.8" hidden="false" customHeight="false" outlineLevel="0" collapsed="false">
      <c r="L305" s="35"/>
      <c r="M305" s="164"/>
    </row>
    <row r="306" customFormat="false" ht="12.8" hidden="false" customHeight="false" outlineLevel="0" collapsed="false">
      <c r="L306" s="35"/>
      <c r="M306" s="164"/>
    </row>
    <row r="307" customFormat="false" ht="12.8" hidden="false" customHeight="false" outlineLevel="0" collapsed="false">
      <c r="L307" s="35"/>
      <c r="M307" s="164"/>
    </row>
    <row r="308" customFormat="false" ht="12.8" hidden="false" customHeight="false" outlineLevel="0" collapsed="false">
      <c r="L308" s="35"/>
      <c r="M308" s="164"/>
    </row>
    <row r="309" customFormat="false" ht="12.8" hidden="false" customHeight="false" outlineLevel="0" collapsed="false">
      <c r="L309" s="35"/>
      <c r="M309" s="164"/>
    </row>
    <row r="310" customFormat="false" ht="12.8" hidden="false" customHeight="false" outlineLevel="0" collapsed="false">
      <c r="L310" s="35"/>
      <c r="M310" s="164"/>
    </row>
    <row r="311" customFormat="false" ht="12.8" hidden="false" customHeight="false" outlineLevel="0" collapsed="false">
      <c r="L311" s="35"/>
      <c r="M311" s="164"/>
    </row>
    <row r="312" customFormat="false" ht="12.8" hidden="false" customHeight="false" outlineLevel="0" collapsed="false">
      <c r="L312" s="35"/>
      <c r="M312" s="164"/>
    </row>
    <row r="313" customFormat="false" ht="12.8" hidden="false" customHeight="false" outlineLevel="0" collapsed="false">
      <c r="L313" s="35"/>
      <c r="M313" s="164"/>
    </row>
    <row r="314" customFormat="false" ht="12.8" hidden="false" customHeight="false" outlineLevel="0" collapsed="false">
      <c r="L314" s="35"/>
      <c r="M314" s="164"/>
    </row>
    <row r="315" customFormat="false" ht="12.8" hidden="false" customHeight="false" outlineLevel="0" collapsed="false">
      <c r="L315" s="35"/>
      <c r="M315" s="164"/>
    </row>
    <row r="316" customFormat="false" ht="12.8" hidden="false" customHeight="false" outlineLevel="0" collapsed="false">
      <c r="L316" s="35"/>
      <c r="M316" s="164"/>
    </row>
    <row r="317" customFormat="false" ht="12.8" hidden="false" customHeight="false" outlineLevel="0" collapsed="false">
      <c r="L317" s="35"/>
      <c r="M317" s="164"/>
    </row>
    <row r="318" customFormat="false" ht="12.8" hidden="false" customHeight="false" outlineLevel="0" collapsed="false">
      <c r="L318" s="35"/>
      <c r="M318" s="164"/>
    </row>
    <row r="319" customFormat="false" ht="12.8" hidden="false" customHeight="false" outlineLevel="0" collapsed="false">
      <c r="L319" s="35"/>
      <c r="M319" s="164"/>
    </row>
    <row r="320" customFormat="false" ht="12.8" hidden="false" customHeight="false" outlineLevel="0" collapsed="false">
      <c r="L320" s="35"/>
      <c r="M320" s="164"/>
    </row>
    <row r="321" customFormat="false" ht="12.8" hidden="false" customHeight="false" outlineLevel="0" collapsed="false">
      <c r="L321" s="35"/>
      <c r="M321" s="164"/>
    </row>
    <row r="322" customFormat="false" ht="12.8" hidden="false" customHeight="false" outlineLevel="0" collapsed="false">
      <c r="L322" s="35"/>
      <c r="M322" s="164"/>
    </row>
    <row r="323" customFormat="false" ht="12.8" hidden="false" customHeight="false" outlineLevel="0" collapsed="false">
      <c r="L323" s="35"/>
      <c r="M323" s="164"/>
    </row>
    <row r="324" customFormat="false" ht="12.8" hidden="false" customHeight="false" outlineLevel="0" collapsed="false">
      <c r="L324" s="35"/>
      <c r="M324" s="164"/>
    </row>
    <row r="325" customFormat="false" ht="12.8" hidden="false" customHeight="false" outlineLevel="0" collapsed="false">
      <c r="L325" s="35"/>
      <c r="M325" s="164"/>
    </row>
    <row r="326" customFormat="false" ht="12.8" hidden="false" customHeight="false" outlineLevel="0" collapsed="false">
      <c r="L326" s="35"/>
      <c r="M326" s="164"/>
    </row>
    <row r="327" customFormat="false" ht="12.8" hidden="false" customHeight="false" outlineLevel="0" collapsed="false">
      <c r="L327" s="35"/>
      <c r="M327" s="164"/>
    </row>
    <row r="328" customFormat="false" ht="12.8" hidden="false" customHeight="false" outlineLevel="0" collapsed="false">
      <c r="L328" s="35"/>
      <c r="M328" s="164"/>
    </row>
    <row r="329" customFormat="false" ht="12.8" hidden="false" customHeight="false" outlineLevel="0" collapsed="false">
      <c r="L329" s="35"/>
      <c r="M329" s="164"/>
    </row>
    <row r="330" customFormat="false" ht="12.8" hidden="false" customHeight="false" outlineLevel="0" collapsed="false">
      <c r="L330" s="35"/>
      <c r="M330" s="164"/>
    </row>
    <row r="331" customFormat="false" ht="12.8" hidden="false" customHeight="false" outlineLevel="0" collapsed="false">
      <c r="L331" s="35"/>
      <c r="M331" s="164"/>
    </row>
    <row r="332" customFormat="false" ht="12.8" hidden="false" customHeight="false" outlineLevel="0" collapsed="false">
      <c r="L332" s="35"/>
      <c r="M332" s="164"/>
    </row>
    <row r="333" customFormat="false" ht="12.8" hidden="false" customHeight="false" outlineLevel="0" collapsed="false">
      <c r="L333" s="35"/>
      <c r="M333" s="164"/>
    </row>
    <row r="334" customFormat="false" ht="12.8" hidden="false" customHeight="false" outlineLevel="0" collapsed="false">
      <c r="L334" s="35"/>
      <c r="M334" s="164"/>
    </row>
    <row r="335" customFormat="false" ht="12.8" hidden="false" customHeight="false" outlineLevel="0" collapsed="false">
      <c r="L335" s="35"/>
      <c r="M335" s="164"/>
    </row>
    <row r="336" customFormat="false" ht="12.8" hidden="false" customHeight="false" outlineLevel="0" collapsed="false">
      <c r="L336" s="35"/>
      <c r="M336" s="164"/>
    </row>
    <row r="337" customFormat="false" ht="12.8" hidden="false" customHeight="false" outlineLevel="0" collapsed="false">
      <c r="L337" s="35"/>
      <c r="M337" s="164"/>
    </row>
    <row r="338" customFormat="false" ht="12.8" hidden="false" customHeight="false" outlineLevel="0" collapsed="false">
      <c r="L338" s="35"/>
      <c r="M338" s="164"/>
    </row>
    <row r="339" customFormat="false" ht="12.8" hidden="false" customHeight="false" outlineLevel="0" collapsed="false">
      <c r="L339" s="35"/>
      <c r="M339" s="164"/>
    </row>
    <row r="340" customFormat="false" ht="12.8" hidden="false" customHeight="false" outlineLevel="0" collapsed="false">
      <c r="L340" s="35"/>
      <c r="M340" s="164"/>
    </row>
    <row r="341" customFormat="false" ht="12.8" hidden="false" customHeight="false" outlineLevel="0" collapsed="false">
      <c r="L341" s="35"/>
      <c r="M341" s="164"/>
    </row>
    <row r="342" customFormat="false" ht="12.8" hidden="false" customHeight="false" outlineLevel="0" collapsed="false">
      <c r="L342" s="35"/>
      <c r="M342" s="164"/>
    </row>
    <row r="343" customFormat="false" ht="12.8" hidden="false" customHeight="false" outlineLevel="0" collapsed="false">
      <c r="L343" s="35"/>
      <c r="M343" s="164"/>
    </row>
    <row r="344" customFormat="false" ht="12.8" hidden="false" customHeight="false" outlineLevel="0" collapsed="false">
      <c r="L344" s="35"/>
      <c r="M344" s="164"/>
    </row>
    <row r="345" customFormat="false" ht="12.8" hidden="false" customHeight="false" outlineLevel="0" collapsed="false">
      <c r="L345" s="35"/>
      <c r="M345" s="164"/>
    </row>
    <row r="346" customFormat="false" ht="12.8" hidden="false" customHeight="false" outlineLevel="0" collapsed="false">
      <c r="L346" s="35"/>
      <c r="M346" s="164"/>
    </row>
    <row r="347" customFormat="false" ht="12.8" hidden="false" customHeight="false" outlineLevel="0" collapsed="false">
      <c r="L347" s="35"/>
      <c r="M347" s="164"/>
    </row>
    <row r="348" customFormat="false" ht="12.8" hidden="false" customHeight="false" outlineLevel="0" collapsed="false">
      <c r="L348" s="35"/>
      <c r="M348" s="164"/>
    </row>
    <row r="349" customFormat="false" ht="12.8" hidden="false" customHeight="false" outlineLevel="0" collapsed="false">
      <c r="L349" s="35"/>
      <c r="M349" s="164"/>
    </row>
    <row r="350" customFormat="false" ht="12.8" hidden="false" customHeight="false" outlineLevel="0" collapsed="false">
      <c r="L350" s="35"/>
      <c r="M350" s="164"/>
    </row>
    <row r="351" customFormat="false" ht="12.8" hidden="false" customHeight="false" outlineLevel="0" collapsed="false">
      <c r="L351" s="35"/>
      <c r="M351" s="164"/>
    </row>
    <row r="352" customFormat="false" ht="12.8" hidden="false" customHeight="false" outlineLevel="0" collapsed="false">
      <c r="L352" s="35"/>
      <c r="M352" s="164"/>
    </row>
    <row r="353" customFormat="false" ht="12.8" hidden="false" customHeight="false" outlineLevel="0" collapsed="false">
      <c r="L353" s="35"/>
      <c r="M353" s="164"/>
    </row>
    <row r="354" customFormat="false" ht="12.8" hidden="false" customHeight="false" outlineLevel="0" collapsed="false">
      <c r="L354" s="35"/>
      <c r="M354" s="164"/>
    </row>
    <row r="355" customFormat="false" ht="12.8" hidden="false" customHeight="false" outlineLevel="0" collapsed="false">
      <c r="L355" s="35"/>
      <c r="M355" s="164"/>
    </row>
    <row r="356" customFormat="false" ht="12.8" hidden="false" customHeight="false" outlineLevel="0" collapsed="false">
      <c r="L356" s="35"/>
      <c r="M356" s="164"/>
    </row>
    <row r="357" customFormat="false" ht="12.8" hidden="false" customHeight="false" outlineLevel="0" collapsed="false">
      <c r="L357" s="35"/>
      <c r="M357" s="164"/>
    </row>
    <row r="358" customFormat="false" ht="12.8" hidden="false" customHeight="false" outlineLevel="0" collapsed="false">
      <c r="L358" s="35"/>
      <c r="M358" s="164"/>
    </row>
    <row r="359" customFormat="false" ht="12.8" hidden="false" customHeight="false" outlineLevel="0" collapsed="false">
      <c r="L359" s="35"/>
      <c r="M359" s="164"/>
    </row>
    <row r="360" customFormat="false" ht="12.8" hidden="false" customHeight="false" outlineLevel="0" collapsed="false">
      <c r="L360" s="35"/>
      <c r="M360" s="164"/>
    </row>
    <row r="361" customFormat="false" ht="12.8" hidden="false" customHeight="false" outlineLevel="0" collapsed="false">
      <c r="L361" s="35"/>
      <c r="M361" s="164"/>
    </row>
    <row r="362" customFormat="false" ht="12.8" hidden="false" customHeight="false" outlineLevel="0" collapsed="false">
      <c r="L362" s="35"/>
      <c r="M362" s="164"/>
    </row>
    <row r="363" customFormat="false" ht="12.8" hidden="false" customHeight="false" outlineLevel="0" collapsed="false">
      <c r="L363" s="35"/>
      <c r="M363" s="164"/>
    </row>
    <row r="364" customFormat="false" ht="12.8" hidden="false" customHeight="false" outlineLevel="0" collapsed="false">
      <c r="L364" s="35"/>
      <c r="M364" s="164"/>
    </row>
    <row r="365" customFormat="false" ht="12.8" hidden="false" customHeight="false" outlineLevel="0" collapsed="false">
      <c r="L365" s="35"/>
      <c r="M365" s="164"/>
    </row>
    <row r="366" customFormat="false" ht="12.8" hidden="false" customHeight="false" outlineLevel="0" collapsed="false">
      <c r="L366" s="35"/>
      <c r="M366" s="164"/>
    </row>
    <row r="367" customFormat="false" ht="12.8" hidden="false" customHeight="false" outlineLevel="0" collapsed="false">
      <c r="L367" s="35"/>
      <c r="M367" s="164"/>
    </row>
    <row r="368" customFormat="false" ht="12.8" hidden="false" customHeight="false" outlineLevel="0" collapsed="false">
      <c r="L368" s="35"/>
      <c r="M368" s="164"/>
    </row>
    <row r="369" customFormat="false" ht="12.8" hidden="false" customHeight="false" outlineLevel="0" collapsed="false">
      <c r="L369" s="35"/>
      <c r="M369" s="164"/>
    </row>
    <row r="370" customFormat="false" ht="12.8" hidden="false" customHeight="false" outlineLevel="0" collapsed="false">
      <c r="L370" s="35"/>
      <c r="M370" s="164"/>
    </row>
    <row r="371" customFormat="false" ht="12.8" hidden="false" customHeight="false" outlineLevel="0" collapsed="false">
      <c r="L371" s="35"/>
      <c r="M371" s="164"/>
    </row>
    <row r="372" customFormat="false" ht="12.8" hidden="false" customHeight="false" outlineLevel="0" collapsed="false">
      <c r="L372" s="35"/>
      <c r="M372" s="164"/>
    </row>
    <row r="373" customFormat="false" ht="12.8" hidden="false" customHeight="false" outlineLevel="0" collapsed="false">
      <c r="L373" s="35"/>
      <c r="M373" s="164"/>
    </row>
    <row r="374" customFormat="false" ht="12.8" hidden="false" customHeight="false" outlineLevel="0" collapsed="false">
      <c r="L374" s="35"/>
      <c r="M374" s="164"/>
    </row>
    <row r="375" customFormat="false" ht="12.8" hidden="false" customHeight="false" outlineLevel="0" collapsed="false">
      <c r="L375" s="35"/>
      <c r="M375" s="164"/>
    </row>
    <row r="376" customFormat="false" ht="12.8" hidden="false" customHeight="false" outlineLevel="0" collapsed="false">
      <c r="L376" s="35"/>
      <c r="M376" s="164"/>
    </row>
    <row r="377" customFormat="false" ht="12.8" hidden="false" customHeight="false" outlineLevel="0" collapsed="false">
      <c r="L377" s="35"/>
      <c r="M377" s="164"/>
    </row>
    <row r="378" customFormat="false" ht="12.8" hidden="false" customHeight="false" outlineLevel="0" collapsed="false">
      <c r="L378" s="35"/>
      <c r="M378" s="164"/>
    </row>
    <row r="379" customFormat="false" ht="12.8" hidden="false" customHeight="false" outlineLevel="0" collapsed="false">
      <c r="L379" s="35"/>
      <c r="M379" s="164"/>
    </row>
    <row r="380" customFormat="false" ht="12.8" hidden="false" customHeight="false" outlineLevel="0" collapsed="false">
      <c r="L380" s="35"/>
      <c r="M380" s="164"/>
    </row>
    <row r="381" customFormat="false" ht="12.8" hidden="false" customHeight="false" outlineLevel="0" collapsed="false">
      <c r="L381" s="35"/>
      <c r="M381" s="164"/>
    </row>
    <row r="382" customFormat="false" ht="12.8" hidden="false" customHeight="false" outlineLevel="0" collapsed="false">
      <c r="L382" s="35"/>
      <c r="M382" s="164"/>
    </row>
    <row r="383" customFormat="false" ht="12.8" hidden="false" customHeight="false" outlineLevel="0" collapsed="false">
      <c r="L383" s="35"/>
      <c r="M383" s="164"/>
    </row>
    <row r="384" customFormat="false" ht="12.8" hidden="false" customHeight="false" outlineLevel="0" collapsed="false">
      <c r="L384" s="35"/>
      <c r="M384" s="164"/>
    </row>
    <row r="385" customFormat="false" ht="12.8" hidden="false" customHeight="false" outlineLevel="0" collapsed="false">
      <c r="L385" s="35"/>
      <c r="M385" s="164"/>
    </row>
    <row r="386" customFormat="false" ht="12.8" hidden="false" customHeight="false" outlineLevel="0" collapsed="false">
      <c r="L386" s="35"/>
      <c r="M386" s="164"/>
    </row>
    <row r="387" customFormat="false" ht="12.8" hidden="false" customHeight="false" outlineLevel="0" collapsed="false">
      <c r="L387" s="35"/>
      <c r="M387" s="164"/>
    </row>
    <row r="388" customFormat="false" ht="12.8" hidden="false" customHeight="false" outlineLevel="0" collapsed="false">
      <c r="L388" s="35"/>
      <c r="M388" s="164"/>
    </row>
    <row r="389" customFormat="false" ht="12.8" hidden="false" customHeight="false" outlineLevel="0" collapsed="false">
      <c r="L389" s="35"/>
      <c r="M389" s="164"/>
    </row>
    <row r="390" customFormat="false" ht="12.8" hidden="false" customHeight="false" outlineLevel="0" collapsed="false">
      <c r="L390" s="35"/>
      <c r="M390" s="164"/>
    </row>
    <row r="391" customFormat="false" ht="12.8" hidden="false" customHeight="false" outlineLevel="0" collapsed="false">
      <c r="L391" s="35"/>
      <c r="M391" s="164"/>
    </row>
    <row r="392" customFormat="false" ht="12.8" hidden="false" customHeight="false" outlineLevel="0" collapsed="false">
      <c r="L392" s="35"/>
      <c r="M392" s="164"/>
    </row>
    <row r="393" customFormat="false" ht="12.8" hidden="false" customHeight="false" outlineLevel="0" collapsed="false">
      <c r="L393" s="35"/>
      <c r="M393" s="164"/>
    </row>
    <row r="394" customFormat="false" ht="12.8" hidden="false" customHeight="false" outlineLevel="0" collapsed="false">
      <c r="L394" s="35"/>
      <c r="M394" s="164"/>
    </row>
    <row r="395" customFormat="false" ht="12.8" hidden="false" customHeight="false" outlineLevel="0" collapsed="false">
      <c r="L395" s="35"/>
      <c r="M395" s="164"/>
    </row>
    <row r="396" customFormat="false" ht="12.8" hidden="false" customHeight="false" outlineLevel="0" collapsed="false">
      <c r="L396" s="35"/>
      <c r="M396" s="164"/>
    </row>
    <row r="397" customFormat="false" ht="12.8" hidden="false" customHeight="false" outlineLevel="0" collapsed="false">
      <c r="L397" s="35"/>
      <c r="M397" s="164"/>
    </row>
    <row r="398" customFormat="false" ht="12.8" hidden="false" customHeight="false" outlineLevel="0" collapsed="false">
      <c r="L398" s="35"/>
      <c r="M398" s="164"/>
    </row>
    <row r="399" customFormat="false" ht="12.8" hidden="false" customHeight="false" outlineLevel="0" collapsed="false">
      <c r="L399" s="35"/>
      <c r="M399" s="164"/>
    </row>
    <row r="400" customFormat="false" ht="12.8" hidden="false" customHeight="false" outlineLevel="0" collapsed="false">
      <c r="L400" s="35"/>
      <c r="M400" s="164"/>
    </row>
    <row r="401" customFormat="false" ht="12.8" hidden="false" customHeight="false" outlineLevel="0" collapsed="false">
      <c r="L401" s="35"/>
      <c r="M401" s="164"/>
    </row>
    <row r="402" customFormat="false" ht="12.8" hidden="false" customHeight="false" outlineLevel="0" collapsed="false">
      <c r="L402" s="35"/>
      <c r="M402" s="164"/>
    </row>
    <row r="403" customFormat="false" ht="12.8" hidden="false" customHeight="false" outlineLevel="0" collapsed="false">
      <c r="L403" s="35"/>
      <c r="M403" s="164"/>
    </row>
    <row r="404" customFormat="false" ht="12.8" hidden="false" customHeight="false" outlineLevel="0" collapsed="false">
      <c r="L404" s="35"/>
      <c r="M404" s="164"/>
    </row>
    <row r="405" customFormat="false" ht="12.8" hidden="false" customHeight="false" outlineLevel="0" collapsed="false">
      <c r="L405" s="35"/>
      <c r="M405" s="164"/>
    </row>
    <row r="406" customFormat="false" ht="12.8" hidden="false" customHeight="false" outlineLevel="0" collapsed="false">
      <c r="L406" s="35"/>
      <c r="M406" s="164"/>
    </row>
    <row r="407" customFormat="false" ht="12.8" hidden="false" customHeight="false" outlineLevel="0" collapsed="false">
      <c r="L407" s="35"/>
      <c r="M407" s="164"/>
    </row>
    <row r="408" customFormat="false" ht="12.8" hidden="false" customHeight="false" outlineLevel="0" collapsed="false">
      <c r="L408" s="35"/>
      <c r="M408" s="164"/>
    </row>
    <row r="409" customFormat="false" ht="12.8" hidden="false" customHeight="false" outlineLevel="0" collapsed="false">
      <c r="L409" s="35"/>
      <c r="M409" s="164"/>
    </row>
    <row r="410" customFormat="false" ht="12.8" hidden="false" customHeight="false" outlineLevel="0" collapsed="false">
      <c r="L410" s="35"/>
      <c r="M410" s="164"/>
    </row>
    <row r="411" customFormat="false" ht="12.8" hidden="false" customHeight="false" outlineLevel="0" collapsed="false">
      <c r="L411" s="35"/>
      <c r="M411" s="164"/>
    </row>
    <row r="412" customFormat="false" ht="12.8" hidden="false" customHeight="false" outlineLevel="0" collapsed="false">
      <c r="L412" s="35"/>
      <c r="M412" s="164"/>
    </row>
    <row r="413" customFormat="false" ht="12.8" hidden="false" customHeight="false" outlineLevel="0" collapsed="false">
      <c r="L413" s="35"/>
      <c r="M413" s="164"/>
    </row>
    <row r="414" customFormat="false" ht="12.8" hidden="false" customHeight="false" outlineLevel="0" collapsed="false">
      <c r="L414" s="35"/>
      <c r="M414" s="164"/>
    </row>
    <row r="415" customFormat="false" ht="12.8" hidden="false" customHeight="false" outlineLevel="0" collapsed="false">
      <c r="L415" s="35"/>
      <c r="M415" s="164"/>
    </row>
    <row r="416" customFormat="false" ht="12.8" hidden="false" customHeight="false" outlineLevel="0" collapsed="false">
      <c r="L416" s="35"/>
      <c r="M416" s="164"/>
    </row>
    <row r="417" customFormat="false" ht="12.8" hidden="false" customHeight="false" outlineLevel="0" collapsed="false">
      <c r="L417" s="35"/>
      <c r="M417" s="164"/>
    </row>
    <row r="418" customFormat="false" ht="12.8" hidden="false" customHeight="false" outlineLevel="0" collapsed="false">
      <c r="L418" s="35"/>
      <c r="M418" s="164"/>
    </row>
    <row r="419" customFormat="false" ht="12.8" hidden="false" customHeight="false" outlineLevel="0" collapsed="false">
      <c r="L419" s="35"/>
      <c r="M419" s="164"/>
    </row>
    <row r="420" customFormat="false" ht="12.8" hidden="false" customHeight="false" outlineLevel="0" collapsed="false">
      <c r="L420" s="35"/>
      <c r="M420" s="164"/>
    </row>
    <row r="421" customFormat="false" ht="12.8" hidden="false" customHeight="false" outlineLevel="0" collapsed="false">
      <c r="L421" s="35"/>
      <c r="M421" s="164"/>
    </row>
    <row r="422" customFormat="false" ht="12.8" hidden="false" customHeight="false" outlineLevel="0" collapsed="false">
      <c r="L422" s="35"/>
      <c r="M422" s="164"/>
    </row>
    <row r="423" customFormat="false" ht="12.8" hidden="false" customHeight="false" outlineLevel="0" collapsed="false">
      <c r="L423" s="35"/>
      <c r="M423" s="164"/>
    </row>
    <row r="424" customFormat="false" ht="12.8" hidden="false" customHeight="false" outlineLevel="0" collapsed="false">
      <c r="L424" s="35"/>
      <c r="M424" s="164"/>
    </row>
    <row r="425" customFormat="false" ht="12.8" hidden="false" customHeight="false" outlineLevel="0" collapsed="false">
      <c r="L425" s="35"/>
      <c r="M425" s="164"/>
    </row>
    <row r="426" customFormat="false" ht="12.8" hidden="false" customHeight="false" outlineLevel="0" collapsed="false">
      <c r="L426" s="35"/>
      <c r="M426" s="164"/>
    </row>
    <row r="427" customFormat="false" ht="12.8" hidden="false" customHeight="false" outlineLevel="0" collapsed="false">
      <c r="L427" s="35"/>
      <c r="M427" s="164"/>
    </row>
    <row r="428" customFormat="false" ht="12.8" hidden="false" customHeight="false" outlineLevel="0" collapsed="false">
      <c r="L428" s="35"/>
      <c r="M428" s="164"/>
    </row>
    <row r="429" customFormat="false" ht="12.8" hidden="false" customHeight="false" outlineLevel="0" collapsed="false">
      <c r="L429" s="35"/>
      <c r="M429" s="164"/>
    </row>
    <row r="430" customFormat="false" ht="12.8" hidden="false" customHeight="false" outlineLevel="0" collapsed="false">
      <c r="L430" s="35"/>
      <c r="M430" s="164"/>
    </row>
    <row r="431" customFormat="false" ht="12.8" hidden="false" customHeight="false" outlineLevel="0" collapsed="false">
      <c r="L431" s="35"/>
      <c r="M431" s="164"/>
    </row>
    <row r="432" customFormat="false" ht="12.8" hidden="false" customHeight="false" outlineLevel="0" collapsed="false">
      <c r="L432" s="35"/>
      <c r="M432" s="164"/>
    </row>
    <row r="433" customFormat="false" ht="12.8" hidden="false" customHeight="false" outlineLevel="0" collapsed="false">
      <c r="L433" s="35"/>
      <c r="M433" s="164"/>
    </row>
    <row r="434" customFormat="false" ht="12.8" hidden="false" customHeight="false" outlineLevel="0" collapsed="false">
      <c r="L434" s="35"/>
      <c r="M434" s="164"/>
    </row>
    <row r="435" customFormat="false" ht="12.8" hidden="false" customHeight="false" outlineLevel="0" collapsed="false">
      <c r="L435" s="35"/>
      <c r="M435" s="164"/>
    </row>
    <row r="436" customFormat="false" ht="12.8" hidden="false" customHeight="false" outlineLevel="0" collapsed="false">
      <c r="L436" s="35"/>
      <c r="M436" s="164"/>
    </row>
    <row r="437" customFormat="false" ht="12.8" hidden="false" customHeight="false" outlineLevel="0" collapsed="false">
      <c r="L437" s="35"/>
      <c r="M437" s="164"/>
    </row>
    <row r="438" customFormat="false" ht="12.8" hidden="false" customHeight="false" outlineLevel="0" collapsed="false">
      <c r="L438" s="35"/>
      <c r="M438" s="164"/>
    </row>
    <row r="439" customFormat="false" ht="12.8" hidden="false" customHeight="false" outlineLevel="0" collapsed="false">
      <c r="L439" s="35"/>
      <c r="M439" s="164"/>
    </row>
    <row r="440" customFormat="false" ht="12.8" hidden="false" customHeight="false" outlineLevel="0" collapsed="false">
      <c r="L440" s="35"/>
      <c r="M440" s="164"/>
    </row>
    <row r="441" customFormat="false" ht="12.8" hidden="false" customHeight="false" outlineLevel="0" collapsed="false">
      <c r="L441" s="35"/>
      <c r="M441" s="164"/>
    </row>
    <row r="442" customFormat="false" ht="12.8" hidden="false" customHeight="false" outlineLevel="0" collapsed="false">
      <c r="L442" s="35"/>
      <c r="M442" s="164"/>
    </row>
    <row r="443" customFormat="false" ht="12.8" hidden="false" customHeight="false" outlineLevel="0" collapsed="false">
      <c r="L443" s="35"/>
      <c r="M443" s="164"/>
    </row>
    <row r="444" customFormat="false" ht="12.8" hidden="false" customHeight="false" outlineLevel="0" collapsed="false">
      <c r="L444" s="35"/>
      <c r="M444" s="164"/>
    </row>
    <row r="445" customFormat="false" ht="12.8" hidden="false" customHeight="false" outlineLevel="0" collapsed="false">
      <c r="L445" s="35"/>
      <c r="M445" s="164"/>
    </row>
    <row r="446" customFormat="false" ht="12.8" hidden="false" customHeight="false" outlineLevel="0" collapsed="false">
      <c r="L446" s="35"/>
      <c r="M446" s="164"/>
    </row>
    <row r="447" customFormat="false" ht="12.8" hidden="false" customHeight="false" outlineLevel="0" collapsed="false">
      <c r="L447" s="35"/>
      <c r="M447" s="164"/>
    </row>
    <row r="448" customFormat="false" ht="12.8" hidden="false" customHeight="false" outlineLevel="0" collapsed="false">
      <c r="L448" s="35"/>
      <c r="M448" s="164"/>
    </row>
    <row r="449" customFormat="false" ht="12.8" hidden="false" customHeight="false" outlineLevel="0" collapsed="false">
      <c r="L449" s="35"/>
      <c r="M449" s="164"/>
    </row>
    <row r="450" customFormat="false" ht="12.8" hidden="false" customHeight="false" outlineLevel="0" collapsed="false">
      <c r="L450" s="35"/>
      <c r="M450" s="164"/>
    </row>
    <row r="451" customFormat="false" ht="12.8" hidden="false" customHeight="false" outlineLevel="0" collapsed="false">
      <c r="L451" s="35"/>
      <c r="M451" s="164"/>
    </row>
    <row r="452" customFormat="false" ht="12.8" hidden="false" customHeight="false" outlineLevel="0" collapsed="false">
      <c r="L452" s="35"/>
      <c r="M452" s="164"/>
    </row>
    <row r="453" customFormat="false" ht="12.8" hidden="false" customHeight="false" outlineLevel="0" collapsed="false">
      <c r="L453" s="35"/>
      <c r="M453" s="164"/>
    </row>
    <row r="454" customFormat="false" ht="12.8" hidden="false" customHeight="false" outlineLevel="0" collapsed="false">
      <c r="L454" s="35"/>
      <c r="M454" s="164"/>
    </row>
    <row r="455" customFormat="false" ht="12.8" hidden="false" customHeight="false" outlineLevel="0" collapsed="false">
      <c r="L455" s="35"/>
      <c r="M455" s="164"/>
    </row>
    <row r="456" customFormat="false" ht="12.8" hidden="false" customHeight="false" outlineLevel="0" collapsed="false">
      <c r="L456" s="35"/>
      <c r="M456" s="164"/>
    </row>
    <row r="457" customFormat="false" ht="12.8" hidden="false" customHeight="false" outlineLevel="0" collapsed="false">
      <c r="L457" s="35"/>
      <c r="M457" s="164"/>
    </row>
    <row r="458" customFormat="false" ht="12.8" hidden="false" customHeight="false" outlineLevel="0" collapsed="false">
      <c r="L458" s="35"/>
      <c r="M458" s="164"/>
    </row>
    <row r="459" customFormat="false" ht="12.8" hidden="false" customHeight="false" outlineLevel="0" collapsed="false">
      <c r="L459" s="35"/>
      <c r="M459" s="164"/>
    </row>
    <row r="460" customFormat="false" ht="12.8" hidden="false" customHeight="false" outlineLevel="0" collapsed="false">
      <c r="L460" s="35"/>
      <c r="M460" s="164"/>
    </row>
    <row r="461" customFormat="false" ht="12.8" hidden="false" customHeight="false" outlineLevel="0" collapsed="false">
      <c r="L461" s="35"/>
      <c r="M461" s="164"/>
    </row>
    <row r="462" customFormat="false" ht="12.8" hidden="false" customHeight="false" outlineLevel="0" collapsed="false">
      <c r="L462" s="35"/>
      <c r="M462" s="164"/>
    </row>
    <row r="463" customFormat="false" ht="12.8" hidden="false" customHeight="false" outlineLevel="0" collapsed="false">
      <c r="L463" s="35"/>
      <c r="M463" s="164"/>
    </row>
    <row r="464" customFormat="false" ht="12.8" hidden="false" customHeight="false" outlineLevel="0" collapsed="false">
      <c r="L464" s="35"/>
      <c r="M464" s="164"/>
    </row>
    <row r="465" customFormat="false" ht="12.8" hidden="false" customHeight="false" outlineLevel="0" collapsed="false">
      <c r="L465" s="35"/>
      <c r="M465" s="164"/>
    </row>
    <row r="466" customFormat="false" ht="12.8" hidden="false" customHeight="false" outlineLevel="0" collapsed="false">
      <c r="L466" s="35"/>
      <c r="M466" s="164"/>
    </row>
    <row r="467" customFormat="false" ht="12.8" hidden="false" customHeight="false" outlineLevel="0" collapsed="false">
      <c r="L467" s="35"/>
      <c r="M467" s="164"/>
    </row>
    <row r="468" customFormat="false" ht="12.8" hidden="false" customHeight="false" outlineLevel="0" collapsed="false">
      <c r="L468" s="35"/>
      <c r="M468" s="164"/>
    </row>
    <row r="469" customFormat="false" ht="12.8" hidden="false" customHeight="false" outlineLevel="0" collapsed="false">
      <c r="L469" s="35"/>
      <c r="M469" s="164"/>
    </row>
    <row r="470" customFormat="false" ht="12.8" hidden="false" customHeight="false" outlineLevel="0" collapsed="false">
      <c r="L470" s="35"/>
      <c r="M470" s="164"/>
    </row>
    <row r="471" customFormat="false" ht="12.8" hidden="false" customHeight="false" outlineLevel="0" collapsed="false">
      <c r="L471" s="35"/>
      <c r="M471" s="164"/>
    </row>
    <row r="472" customFormat="false" ht="12.8" hidden="false" customHeight="false" outlineLevel="0" collapsed="false">
      <c r="L472" s="35"/>
      <c r="M472" s="164"/>
    </row>
    <row r="473" customFormat="false" ht="12.8" hidden="false" customHeight="false" outlineLevel="0" collapsed="false">
      <c r="L473" s="35"/>
      <c r="M473" s="164"/>
    </row>
    <row r="474" customFormat="false" ht="12.8" hidden="false" customHeight="false" outlineLevel="0" collapsed="false">
      <c r="L474" s="35"/>
      <c r="M474" s="164"/>
    </row>
    <row r="475" customFormat="false" ht="12.8" hidden="false" customHeight="false" outlineLevel="0" collapsed="false">
      <c r="L475" s="35"/>
      <c r="M475" s="164"/>
    </row>
    <row r="476" customFormat="false" ht="12.8" hidden="false" customHeight="false" outlineLevel="0" collapsed="false">
      <c r="L476" s="35"/>
      <c r="M476" s="164"/>
    </row>
    <row r="477" customFormat="false" ht="12.8" hidden="false" customHeight="false" outlineLevel="0" collapsed="false">
      <c r="L477" s="35"/>
      <c r="M477" s="164"/>
    </row>
    <row r="478" customFormat="false" ht="12.8" hidden="false" customHeight="false" outlineLevel="0" collapsed="false">
      <c r="L478" s="35"/>
      <c r="M478" s="164"/>
    </row>
    <row r="479" customFormat="false" ht="12.8" hidden="false" customHeight="false" outlineLevel="0" collapsed="false">
      <c r="L479" s="35"/>
      <c r="M479" s="164"/>
    </row>
    <row r="480" customFormat="false" ht="12.8" hidden="false" customHeight="false" outlineLevel="0" collapsed="false">
      <c r="L480" s="35"/>
      <c r="M480" s="164"/>
    </row>
    <row r="481" customFormat="false" ht="12.8" hidden="false" customHeight="false" outlineLevel="0" collapsed="false">
      <c r="L481" s="35"/>
      <c r="M481" s="164"/>
    </row>
    <row r="482" customFormat="false" ht="12.8" hidden="false" customHeight="false" outlineLevel="0" collapsed="false">
      <c r="L482" s="35"/>
      <c r="M482" s="164"/>
    </row>
    <row r="483" customFormat="false" ht="12.8" hidden="false" customHeight="false" outlineLevel="0" collapsed="false">
      <c r="L483" s="35"/>
      <c r="M483" s="164"/>
    </row>
    <row r="484" customFormat="false" ht="12.8" hidden="false" customHeight="false" outlineLevel="0" collapsed="false">
      <c r="L484" s="35"/>
      <c r="M484" s="164"/>
    </row>
    <row r="485" customFormat="false" ht="12.8" hidden="false" customHeight="false" outlineLevel="0" collapsed="false">
      <c r="L485" s="35"/>
      <c r="M485" s="164"/>
    </row>
    <row r="486" customFormat="false" ht="12.8" hidden="false" customHeight="false" outlineLevel="0" collapsed="false">
      <c r="L486" s="35"/>
      <c r="M486" s="164"/>
    </row>
    <row r="487" customFormat="false" ht="12.8" hidden="false" customHeight="false" outlineLevel="0" collapsed="false">
      <c r="L487" s="35"/>
      <c r="M487" s="164"/>
    </row>
    <row r="488" customFormat="false" ht="12.8" hidden="false" customHeight="false" outlineLevel="0" collapsed="false">
      <c r="L488" s="35"/>
      <c r="M488" s="164"/>
    </row>
    <row r="489" customFormat="false" ht="12.8" hidden="false" customHeight="false" outlineLevel="0" collapsed="false">
      <c r="L489" s="35"/>
      <c r="M489" s="164"/>
    </row>
    <row r="490" customFormat="false" ht="12.8" hidden="false" customHeight="false" outlineLevel="0" collapsed="false">
      <c r="L490" s="35"/>
      <c r="M490" s="164"/>
    </row>
    <row r="491" customFormat="false" ht="12.8" hidden="false" customHeight="false" outlineLevel="0" collapsed="false">
      <c r="L491" s="35"/>
      <c r="M491" s="164"/>
    </row>
    <row r="492" customFormat="false" ht="12.8" hidden="false" customHeight="false" outlineLevel="0" collapsed="false">
      <c r="L492" s="35"/>
      <c r="M492" s="164"/>
    </row>
    <row r="493" customFormat="false" ht="12.8" hidden="false" customHeight="false" outlineLevel="0" collapsed="false">
      <c r="L493" s="35"/>
      <c r="M493" s="164"/>
    </row>
    <row r="494" customFormat="false" ht="12.8" hidden="false" customHeight="false" outlineLevel="0" collapsed="false">
      <c r="L494" s="35"/>
      <c r="M494" s="164"/>
    </row>
    <row r="495" customFormat="false" ht="12.8" hidden="false" customHeight="false" outlineLevel="0" collapsed="false">
      <c r="L495" s="35"/>
      <c r="M495" s="164"/>
    </row>
    <row r="496" customFormat="false" ht="12.8" hidden="false" customHeight="false" outlineLevel="0" collapsed="false">
      <c r="L496" s="35"/>
      <c r="M496" s="164"/>
    </row>
    <row r="497" customFormat="false" ht="12.8" hidden="false" customHeight="false" outlineLevel="0" collapsed="false">
      <c r="L497" s="35"/>
      <c r="M497" s="164"/>
    </row>
    <row r="498" customFormat="false" ht="12.8" hidden="false" customHeight="false" outlineLevel="0" collapsed="false">
      <c r="L498" s="35"/>
      <c r="M498" s="164"/>
    </row>
    <row r="499" customFormat="false" ht="12.8" hidden="false" customHeight="false" outlineLevel="0" collapsed="false">
      <c r="L499" s="35"/>
      <c r="M499" s="164"/>
    </row>
    <row r="500" customFormat="false" ht="12.8" hidden="false" customHeight="false" outlineLevel="0" collapsed="false">
      <c r="L500" s="35"/>
      <c r="M500" s="164"/>
    </row>
    <row r="501" customFormat="false" ht="12.8" hidden="false" customHeight="false" outlineLevel="0" collapsed="false">
      <c r="L501" s="35"/>
      <c r="M501" s="164"/>
    </row>
    <row r="502" customFormat="false" ht="12.8" hidden="false" customHeight="false" outlineLevel="0" collapsed="false">
      <c r="L502" s="35"/>
      <c r="M502" s="164"/>
    </row>
    <row r="503" customFormat="false" ht="12.8" hidden="false" customHeight="false" outlineLevel="0" collapsed="false">
      <c r="L503" s="35"/>
      <c r="M503" s="164"/>
    </row>
    <row r="504" customFormat="false" ht="12.8" hidden="false" customHeight="false" outlineLevel="0" collapsed="false">
      <c r="L504" s="35"/>
      <c r="M504" s="164"/>
    </row>
    <row r="505" customFormat="false" ht="12.8" hidden="false" customHeight="false" outlineLevel="0" collapsed="false">
      <c r="L505" s="35"/>
      <c r="M505" s="164"/>
    </row>
    <row r="506" customFormat="false" ht="12.8" hidden="false" customHeight="false" outlineLevel="0" collapsed="false">
      <c r="L506" s="35"/>
      <c r="M506" s="164"/>
    </row>
    <row r="507" customFormat="false" ht="12.8" hidden="false" customHeight="false" outlineLevel="0" collapsed="false">
      <c r="L507" s="35"/>
      <c r="M507" s="164"/>
    </row>
    <row r="508" customFormat="false" ht="12.8" hidden="false" customHeight="false" outlineLevel="0" collapsed="false">
      <c r="L508" s="35"/>
      <c r="M508" s="164"/>
    </row>
    <row r="509" customFormat="false" ht="12.8" hidden="false" customHeight="false" outlineLevel="0" collapsed="false">
      <c r="L509" s="35"/>
      <c r="M509" s="164"/>
    </row>
    <row r="510" customFormat="false" ht="12.8" hidden="false" customHeight="false" outlineLevel="0" collapsed="false">
      <c r="L510" s="35"/>
      <c r="M510" s="164"/>
    </row>
    <row r="511" customFormat="false" ht="12.8" hidden="false" customHeight="false" outlineLevel="0" collapsed="false">
      <c r="L511" s="35"/>
      <c r="M511" s="164"/>
    </row>
    <row r="512" customFormat="false" ht="12.8" hidden="false" customHeight="false" outlineLevel="0" collapsed="false">
      <c r="L512" s="35"/>
      <c r="M512" s="164"/>
    </row>
    <row r="513" customFormat="false" ht="12.8" hidden="false" customHeight="false" outlineLevel="0" collapsed="false">
      <c r="L513" s="35"/>
      <c r="M513" s="164"/>
    </row>
    <row r="514" customFormat="false" ht="12.8" hidden="false" customHeight="false" outlineLevel="0" collapsed="false">
      <c r="L514" s="35"/>
      <c r="M514" s="164"/>
    </row>
    <row r="515" customFormat="false" ht="12.8" hidden="false" customHeight="false" outlineLevel="0" collapsed="false">
      <c r="L515" s="35"/>
      <c r="M515" s="164"/>
    </row>
    <row r="516" customFormat="false" ht="12.8" hidden="false" customHeight="false" outlineLevel="0" collapsed="false">
      <c r="L516" s="35"/>
      <c r="M516" s="164"/>
    </row>
    <row r="517" customFormat="false" ht="12.8" hidden="false" customHeight="false" outlineLevel="0" collapsed="false">
      <c r="L517" s="35"/>
      <c r="M517" s="164"/>
    </row>
    <row r="518" customFormat="false" ht="12.8" hidden="false" customHeight="false" outlineLevel="0" collapsed="false">
      <c r="L518" s="35"/>
      <c r="M518" s="164"/>
    </row>
    <row r="519" customFormat="false" ht="12.8" hidden="false" customHeight="false" outlineLevel="0" collapsed="false">
      <c r="L519" s="35"/>
      <c r="M519" s="164"/>
    </row>
    <row r="520" customFormat="false" ht="12.8" hidden="false" customHeight="false" outlineLevel="0" collapsed="false">
      <c r="L520" s="35"/>
      <c r="M520" s="164"/>
    </row>
    <row r="521" customFormat="false" ht="12.8" hidden="false" customHeight="false" outlineLevel="0" collapsed="false">
      <c r="L521" s="35"/>
      <c r="M521" s="164"/>
    </row>
    <row r="522" customFormat="false" ht="12.8" hidden="false" customHeight="false" outlineLevel="0" collapsed="false">
      <c r="L522" s="35"/>
      <c r="M522" s="164"/>
    </row>
    <row r="523" customFormat="false" ht="12.8" hidden="false" customHeight="false" outlineLevel="0" collapsed="false">
      <c r="L523" s="35"/>
      <c r="M523" s="164"/>
    </row>
    <row r="524" customFormat="false" ht="12.8" hidden="false" customHeight="false" outlineLevel="0" collapsed="false">
      <c r="L524" s="35"/>
      <c r="M524" s="164"/>
    </row>
    <row r="525" customFormat="false" ht="12.8" hidden="false" customHeight="false" outlineLevel="0" collapsed="false">
      <c r="L525" s="35"/>
      <c r="M525" s="164"/>
    </row>
    <row r="526" customFormat="false" ht="12.8" hidden="false" customHeight="false" outlineLevel="0" collapsed="false">
      <c r="L526" s="35"/>
      <c r="M526" s="164"/>
    </row>
    <row r="527" customFormat="false" ht="12.8" hidden="false" customHeight="false" outlineLevel="0" collapsed="false">
      <c r="L527" s="35"/>
      <c r="M527" s="164"/>
    </row>
    <row r="528" customFormat="false" ht="12.8" hidden="false" customHeight="false" outlineLevel="0" collapsed="false">
      <c r="L528" s="35"/>
      <c r="M528" s="164"/>
    </row>
    <row r="529" customFormat="false" ht="12.8" hidden="false" customHeight="false" outlineLevel="0" collapsed="false">
      <c r="L529" s="35"/>
      <c r="M529" s="164"/>
    </row>
    <row r="530" customFormat="false" ht="12.8" hidden="false" customHeight="false" outlineLevel="0" collapsed="false">
      <c r="L530" s="35"/>
      <c r="M530" s="164"/>
    </row>
    <row r="531" customFormat="false" ht="12.8" hidden="false" customHeight="false" outlineLevel="0" collapsed="false">
      <c r="L531" s="35"/>
      <c r="M531" s="164"/>
    </row>
    <row r="532" customFormat="false" ht="12.8" hidden="false" customHeight="false" outlineLevel="0" collapsed="false">
      <c r="L532" s="35"/>
      <c r="M532" s="164"/>
    </row>
    <row r="533" customFormat="false" ht="12.8" hidden="false" customHeight="false" outlineLevel="0" collapsed="false">
      <c r="L533" s="35"/>
      <c r="M533" s="164"/>
    </row>
    <row r="534" customFormat="false" ht="12.8" hidden="false" customHeight="false" outlineLevel="0" collapsed="false">
      <c r="L534" s="35"/>
      <c r="M534" s="164"/>
    </row>
    <row r="535" customFormat="false" ht="12.8" hidden="false" customHeight="false" outlineLevel="0" collapsed="false">
      <c r="L535" s="35"/>
      <c r="M535" s="164"/>
    </row>
    <row r="536" customFormat="false" ht="12.8" hidden="false" customHeight="false" outlineLevel="0" collapsed="false">
      <c r="L536" s="35"/>
      <c r="M536" s="164"/>
    </row>
    <row r="537" customFormat="false" ht="12.8" hidden="false" customHeight="false" outlineLevel="0" collapsed="false">
      <c r="L537" s="35"/>
      <c r="M537" s="164"/>
    </row>
    <row r="538" customFormat="false" ht="12.8" hidden="false" customHeight="false" outlineLevel="0" collapsed="false">
      <c r="L538" s="35"/>
      <c r="M538" s="164"/>
    </row>
    <row r="539" customFormat="false" ht="12.8" hidden="false" customHeight="false" outlineLevel="0" collapsed="false">
      <c r="L539" s="35"/>
      <c r="M539" s="164"/>
    </row>
    <row r="540" customFormat="false" ht="12.8" hidden="false" customHeight="false" outlineLevel="0" collapsed="false">
      <c r="L540" s="35"/>
      <c r="M540" s="164"/>
    </row>
    <row r="541" customFormat="false" ht="12.8" hidden="false" customHeight="false" outlineLevel="0" collapsed="false">
      <c r="L541" s="35"/>
      <c r="M541" s="164"/>
    </row>
    <row r="542" customFormat="false" ht="12.8" hidden="false" customHeight="false" outlineLevel="0" collapsed="false">
      <c r="L542" s="35"/>
      <c r="M542" s="164"/>
    </row>
    <row r="543" customFormat="false" ht="12.8" hidden="false" customHeight="false" outlineLevel="0" collapsed="false">
      <c r="L543" s="35"/>
      <c r="M543" s="164"/>
    </row>
    <row r="544" customFormat="false" ht="12.8" hidden="false" customHeight="false" outlineLevel="0" collapsed="false">
      <c r="L544" s="35"/>
      <c r="M544" s="164"/>
    </row>
    <row r="545" customFormat="false" ht="12.8" hidden="false" customHeight="false" outlineLevel="0" collapsed="false">
      <c r="L545" s="35"/>
      <c r="M545" s="164"/>
    </row>
    <row r="546" customFormat="false" ht="12.8" hidden="false" customHeight="false" outlineLevel="0" collapsed="false">
      <c r="L546" s="35"/>
      <c r="M546" s="164"/>
    </row>
    <row r="547" customFormat="false" ht="12.8" hidden="false" customHeight="false" outlineLevel="0" collapsed="false">
      <c r="L547" s="35"/>
      <c r="M547" s="164"/>
    </row>
    <row r="548" customFormat="false" ht="12.8" hidden="false" customHeight="false" outlineLevel="0" collapsed="false">
      <c r="L548" s="35"/>
      <c r="M548" s="164"/>
    </row>
    <row r="549" customFormat="false" ht="12.8" hidden="false" customHeight="false" outlineLevel="0" collapsed="false">
      <c r="L549" s="35"/>
      <c r="M549" s="164"/>
    </row>
    <row r="550" customFormat="false" ht="12.8" hidden="false" customHeight="false" outlineLevel="0" collapsed="false">
      <c r="L550" s="35"/>
      <c r="M550" s="164"/>
    </row>
    <row r="551" customFormat="false" ht="12.8" hidden="false" customHeight="false" outlineLevel="0" collapsed="false">
      <c r="L551" s="35"/>
      <c r="M551" s="164"/>
    </row>
    <row r="552" customFormat="false" ht="12.8" hidden="false" customHeight="false" outlineLevel="0" collapsed="false">
      <c r="L552" s="35"/>
      <c r="M552" s="164"/>
    </row>
    <row r="553" customFormat="false" ht="12.8" hidden="false" customHeight="false" outlineLevel="0" collapsed="false">
      <c r="L553" s="35"/>
      <c r="M553" s="164"/>
    </row>
    <row r="554" customFormat="false" ht="12.8" hidden="false" customHeight="false" outlineLevel="0" collapsed="false">
      <c r="L554" s="35"/>
      <c r="M554" s="164"/>
    </row>
    <row r="555" customFormat="false" ht="12.8" hidden="false" customHeight="false" outlineLevel="0" collapsed="false">
      <c r="L555" s="35"/>
      <c r="M555" s="164"/>
    </row>
    <row r="556" customFormat="false" ht="12.8" hidden="false" customHeight="false" outlineLevel="0" collapsed="false">
      <c r="L556" s="35"/>
      <c r="M556" s="164"/>
    </row>
    <row r="557" customFormat="false" ht="12.8" hidden="false" customHeight="false" outlineLevel="0" collapsed="false">
      <c r="L557" s="35"/>
      <c r="M557" s="164"/>
    </row>
    <row r="558" customFormat="false" ht="12.8" hidden="false" customHeight="false" outlineLevel="0" collapsed="false">
      <c r="L558" s="35"/>
      <c r="M558" s="164"/>
    </row>
    <row r="559" customFormat="false" ht="12.8" hidden="false" customHeight="false" outlineLevel="0" collapsed="false">
      <c r="L559" s="35"/>
      <c r="M559" s="164"/>
    </row>
    <row r="560" customFormat="false" ht="12.8" hidden="false" customHeight="false" outlineLevel="0" collapsed="false">
      <c r="L560" s="35"/>
      <c r="M560" s="164"/>
    </row>
    <row r="561" customFormat="false" ht="12.8" hidden="false" customHeight="false" outlineLevel="0" collapsed="false">
      <c r="L561" s="35"/>
      <c r="M561" s="164"/>
    </row>
    <row r="562" customFormat="false" ht="12.8" hidden="false" customHeight="false" outlineLevel="0" collapsed="false">
      <c r="L562" s="35"/>
      <c r="M562" s="164"/>
    </row>
    <row r="563" customFormat="false" ht="12.8" hidden="false" customHeight="false" outlineLevel="0" collapsed="false">
      <c r="L563" s="35"/>
      <c r="M563" s="164"/>
    </row>
    <row r="564" customFormat="false" ht="12.8" hidden="false" customHeight="false" outlineLevel="0" collapsed="false">
      <c r="L564" s="35"/>
      <c r="M564" s="164"/>
    </row>
    <row r="565" customFormat="false" ht="12.8" hidden="false" customHeight="false" outlineLevel="0" collapsed="false">
      <c r="L565" s="35"/>
      <c r="M565" s="164"/>
    </row>
    <row r="566" customFormat="false" ht="12.8" hidden="false" customHeight="false" outlineLevel="0" collapsed="false">
      <c r="L566" s="35"/>
      <c r="M566" s="164"/>
    </row>
    <row r="567" customFormat="false" ht="12.8" hidden="false" customHeight="false" outlineLevel="0" collapsed="false">
      <c r="L567" s="35"/>
      <c r="M567" s="164"/>
    </row>
    <row r="568" customFormat="false" ht="12.8" hidden="false" customHeight="false" outlineLevel="0" collapsed="false">
      <c r="L568" s="35"/>
      <c r="M568" s="164"/>
    </row>
    <row r="569" customFormat="false" ht="12.8" hidden="false" customHeight="false" outlineLevel="0" collapsed="false">
      <c r="L569" s="35"/>
      <c r="M569" s="164"/>
    </row>
    <row r="570" customFormat="false" ht="12.8" hidden="false" customHeight="false" outlineLevel="0" collapsed="false">
      <c r="L570" s="35"/>
      <c r="M570" s="164"/>
    </row>
    <row r="571" customFormat="false" ht="12.8" hidden="false" customHeight="false" outlineLevel="0" collapsed="false">
      <c r="L571" s="35"/>
      <c r="M571" s="164"/>
    </row>
    <row r="572" customFormat="false" ht="12.8" hidden="false" customHeight="false" outlineLevel="0" collapsed="false">
      <c r="L572" s="35"/>
      <c r="M572" s="164"/>
    </row>
    <row r="573" customFormat="false" ht="12.8" hidden="false" customHeight="false" outlineLevel="0" collapsed="false">
      <c r="L573" s="35"/>
      <c r="M573" s="164"/>
    </row>
    <row r="574" customFormat="false" ht="12.8" hidden="false" customHeight="false" outlineLevel="0" collapsed="false">
      <c r="L574" s="35"/>
      <c r="M574" s="164"/>
    </row>
    <row r="575" customFormat="false" ht="12.8" hidden="false" customHeight="false" outlineLevel="0" collapsed="false">
      <c r="L575" s="35"/>
      <c r="M575" s="164"/>
    </row>
    <row r="576" customFormat="false" ht="12.8" hidden="false" customHeight="false" outlineLevel="0" collapsed="false">
      <c r="L576" s="35"/>
      <c r="M576" s="164"/>
    </row>
    <row r="577" customFormat="false" ht="12.8" hidden="false" customHeight="false" outlineLevel="0" collapsed="false">
      <c r="L577" s="35"/>
      <c r="M577" s="164"/>
    </row>
    <row r="578" customFormat="false" ht="12.8" hidden="false" customHeight="false" outlineLevel="0" collapsed="false">
      <c r="L578" s="35"/>
      <c r="M578" s="164"/>
    </row>
    <row r="579" customFormat="false" ht="12.8" hidden="false" customHeight="false" outlineLevel="0" collapsed="false">
      <c r="L579" s="35"/>
      <c r="M579" s="164"/>
    </row>
    <row r="580" customFormat="false" ht="12.8" hidden="false" customHeight="false" outlineLevel="0" collapsed="false">
      <c r="L580" s="35"/>
      <c r="M580" s="164"/>
    </row>
    <row r="581" customFormat="false" ht="12.8" hidden="false" customHeight="false" outlineLevel="0" collapsed="false">
      <c r="L581" s="35"/>
      <c r="M581" s="164"/>
    </row>
    <row r="582" customFormat="false" ht="12.8" hidden="false" customHeight="false" outlineLevel="0" collapsed="false">
      <c r="L582" s="35"/>
      <c r="M582" s="164"/>
    </row>
    <row r="583" customFormat="false" ht="12.8" hidden="false" customHeight="false" outlineLevel="0" collapsed="false">
      <c r="L583" s="35"/>
      <c r="M583" s="164"/>
    </row>
    <row r="584" customFormat="false" ht="12.8" hidden="false" customHeight="false" outlineLevel="0" collapsed="false">
      <c r="L584" s="35"/>
      <c r="M584" s="164"/>
    </row>
    <row r="585" customFormat="false" ht="12.8" hidden="false" customHeight="false" outlineLevel="0" collapsed="false">
      <c r="L585" s="35"/>
      <c r="M585" s="164"/>
    </row>
    <row r="586" customFormat="false" ht="12.8" hidden="false" customHeight="false" outlineLevel="0" collapsed="false">
      <c r="L586" s="35"/>
      <c r="M586" s="164"/>
    </row>
    <row r="587" customFormat="false" ht="12.8" hidden="false" customHeight="false" outlineLevel="0" collapsed="false">
      <c r="L587" s="35"/>
      <c r="M587" s="164"/>
    </row>
    <row r="588" customFormat="false" ht="12.8" hidden="false" customHeight="false" outlineLevel="0" collapsed="false">
      <c r="L588" s="35"/>
      <c r="M588" s="164"/>
    </row>
    <row r="589" customFormat="false" ht="12.8" hidden="false" customHeight="false" outlineLevel="0" collapsed="false">
      <c r="L589" s="35"/>
      <c r="M589" s="164"/>
    </row>
    <row r="590" customFormat="false" ht="12.8" hidden="false" customHeight="false" outlineLevel="0" collapsed="false">
      <c r="L590" s="35"/>
      <c r="M590" s="164"/>
    </row>
    <row r="591" customFormat="false" ht="12.8" hidden="false" customHeight="false" outlineLevel="0" collapsed="false">
      <c r="L591" s="35"/>
      <c r="M591" s="164"/>
    </row>
    <row r="592" customFormat="false" ht="12.8" hidden="false" customHeight="false" outlineLevel="0" collapsed="false">
      <c r="L592" s="35"/>
      <c r="M592" s="164"/>
    </row>
    <row r="593" customFormat="false" ht="12.8" hidden="false" customHeight="false" outlineLevel="0" collapsed="false">
      <c r="L593" s="35"/>
      <c r="M593" s="164"/>
    </row>
    <row r="594" customFormat="false" ht="12.8" hidden="false" customHeight="false" outlineLevel="0" collapsed="false">
      <c r="L594" s="35"/>
      <c r="M594" s="164"/>
    </row>
    <row r="595" customFormat="false" ht="12.8" hidden="false" customHeight="false" outlineLevel="0" collapsed="false">
      <c r="L595" s="35"/>
      <c r="M595" s="164"/>
    </row>
    <row r="596" customFormat="false" ht="12.8" hidden="false" customHeight="false" outlineLevel="0" collapsed="false">
      <c r="L596" s="35"/>
      <c r="M596" s="164"/>
    </row>
    <row r="597" customFormat="false" ht="12.8" hidden="false" customHeight="false" outlineLevel="0" collapsed="false">
      <c r="L597" s="35"/>
      <c r="M597" s="164"/>
    </row>
    <row r="598" customFormat="false" ht="12.8" hidden="false" customHeight="false" outlineLevel="0" collapsed="false">
      <c r="L598" s="35"/>
      <c r="M598" s="164"/>
    </row>
    <row r="599" customFormat="false" ht="12.8" hidden="false" customHeight="false" outlineLevel="0" collapsed="false">
      <c r="L599" s="35"/>
      <c r="M599" s="164"/>
    </row>
    <row r="600" customFormat="false" ht="12.8" hidden="false" customHeight="false" outlineLevel="0" collapsed="false">
      <c r="L600" s="35"/>
      <c r="M600" s="164"/>
    </row>
    <row r="601" customFormat="false" ht="12.8" hidden="false" customHeight="false" outlineLevel="0" collapsed="false">
      <c r="L601" s="35"/>
      <c r="M601" s="164"/>
    </row>
    <row r="602" customFormat="false" ht="12.8" hidden="false" customHeight="false" outlineLevel="0" collapsed="false">
      <c r="L602" s="35"/>
      <c r="M602" s="164"/>
    </row>
    <row r="603" customFormat="false" ht="12.8" hidden="false" customHeight="false" outlineLevel="0" collapsed="false">
      <c r="L603" s="35"/>
      <c r="M603" s="164"/>
    </row>
    <row r="604" customFormat="false" ht="12.8" hidden="false" customHeight="false" outlineLevel="0" collapsed="false">
      <c r="L604" s="35"/>
      <c r="M604" s="164"/>
    </row>
    <row r="605" customFormat="false" ht="12.8" hidden="false" customHeight="false" outlineLevel="0" collapsed="false">
      <c r="L605" s="35"/>
      <c r="M605" s="164"/>
    </row>
    <row r="606" customFormat="false" ht="12.8" hidden="false" customHeight="false" outlineLevel="0" collapsed="false">
      <c r="L606" s="35"/>
      <c r="M606" s="164"/>
    </row>
    <row r="607" customFormat="false" ht="12.8" hidden="false" customHeight="false" outlineLevel="0" collapsed="false">
      <c r="L607" s="35"/>
      <c r="M607" s="164"/>
    </row>
    <row r="608" customFormat="false" ht="12.8" hidden="false" customHeight="false" outlineLevel="0" collapsed="false">
      <c r="L608" s="35"/>
      <c r="M608" s="164"/>
    </row>
    <row r="609" customFormat="false" ht="12.8" hidden="false" customHeight="false" outlineLevel="0" collapsed="false">
      <c r="L609" s="35"/>
      <c r="M609" s="164"/>
    </row>
    <row r="610" customFormat="false" ht="12.8" hidden="false" customHeight="false" outlineLevel="0" collapsed="false">
      <c r="L610" s="35"/>
      <c r="M610" s="164"/>
    </row>
    <row r="611" customFormat="false" ht="12.8" hidden="false" customHeight="false" outlineLevel="0" collapsed="false">
      <c r="L611" s="35"/>
      <c r="M611" s="164"/>
    </row>
    <row r="612" customFormat="false" ht="12.8" hidden="false" customHeight="false" outlineLevel="0" collapsed="false">
      <c r="L612" s="35"/>
      <c r="M612" s="164"/>
    </row>
    <row r="613" customFormat="false" ht="12.8" hidden="false" customHeight="false" outlineLevel="0" collapsed="false">
      <c r="L613" s="35"/>
      <c r="M613" s="164"/>
    </row>
    <row r="614" customFormat="false" ht="12.8" hidden="false" customHeight="false" outlineLevel="0" collapsed="false">
      <c r="L614" s="35"/>
      <c r="M614" s="164"/>
    </row>
    <row r="615" customFormat="false" ht="12.8" hidden="false" customHeight="false" outlineLevel="0" collapsed="false">
      <c r="L615" s="35"/>
      <c r="M615" s="164"/>
    </row>
    <row r="616" customFormat="false" ht="12.8" hidden="false" customHeight="false" outlineLevel="0" collapsed="false">
      <c r="L616" s="35"/>
      <c r="M616" s="164"/>
    </row>
    <row r="617" customFormat="false" ht="12.8" hidden="false" customHeight="false" outlineLevel="0" collapsed="false">
      <c r="L617" s="35"/>
      <c r="M617" s="164"/>
    </row>
    <row r="618" customFormat="false" ht="12.8" hidden="false" customHeight="false" outlineLevel="0" collapsed="false">
      <c r="L618" s="35"/>
      <c r="M618" s="164"/>
    </row>
    <row r="619" customFormat="false" ht="12.8" hidden="false" customHeight="false" outlineLevel="0" collapsed="false">
      <c r="L619" s="35"/>
      <c r="M619" s="164"/>
    </row>
    <row r="620" customFormat="false" ht="12.8" hidden="false" customHeight="false" outlineLevel="0" collapsed="false">
      <c r="L620" s="35"/>
      <c r="M620" s="164"/>
    </row>
    <row r="621" customFormat="false" ht="12.8" hidden="false" customHeight="false" outlineLevel="0" collapsed="false">
      <c r="L621" s="35"/>
      <c r="M621" s="164"/>
    </row>
    <row r="622" customFormat="false" ht="12.8" hidden="false" customHeight="false" outlineLevel="0" collapsed="false">
      <c r="L622" s="35"/>
      <c r="M622" s="164"/>
    </row>
    <row r="623" customFormat="false" ht="12.8" hidden="false" customHeight="false" outlineLevel="0" collapsed="false">
      <c r="L623" s="35"/>
      <c r="M623" s="164"/>
    </row>
    <row r="624" customFormat="false" ht="12.8" hidden="false" customHeight="false" outlineLevel="0" collapsed="false">
      <c r="L624" s="35"/>
      <c r="M624" s="164"/>
    </row>
    <row r="625" customFormat="false" ht="12.8" hidden="false" customHeight="false" outlineLevel="0" collapsed="false">
      <c r="L625" s="35"/>
      <c r="M625" s="164"/>
    </row>
    <row r="626" customFormat="false" ht="12.8" hidden="false" customHeight="false" outlineLevel="0" collapsed="false">
      <c r="L626" s="35"/>
      <c r="M626" s="164"/>
    </row>
    <row r="627" customFormat="false" ht="12.8" hidden="false" customHeight="false" outlineLevel="0" collapsed="false">
      <c r="L627" s="35"/>
      <c r="M627" s="164"/>
    </row>
    <row r="628" customFormat="false" ht="12.8" hidden="false" customHeight="false" outlineLevel="0" collapsed="false">
      <c r="L628" s="35"/>
      <c r="M628" s="164"/>
    </row>
    <row r="629" customFormat="false" ht="12.8" hidden="false" customHeight="false" outlineLevel="0" collapsed="false">
      <c r="L629" s="35"/>
      <c r="M629" s="164"/>
    </row>
    <row r="630" customFormat="false" ht="12.8" hidden="false" customHeight="false" outlineLevel="0" collapsed="false">
      <c r="L630" s="35"/>
      <c r="M630" s="164"/>
    </row>
    <row r="631" customFormat="false" ht="12.8" hidden="false" customHeight="false" outlineLevel="0" collapsed="false">
      <c r="L631" s="35"/>
      <c r="M631" s="164"/>
    </row>
    <row r="632" customFormat="false" ht="12.8" hidden="false" customHeight="false" outlineLevel="0" collapsed="false">
      <c r="L632" s="35"/>
      <c r="M632" s="164"/>
    </row>
    <row r="633" customFormat="false" ht="12.8" hidden="false" customHeight="false" outlineLevel="0" collapsed="false">
      <c r="L633" s="35"/>
      <c r="M633" s="164"/>
    </row>
    <row r="634" customFormat="false" ht="12.8" hidden="false" customHeight="false" outlineLevel="0" collapsed="false">
      <c r="L634" s="35"/>
      <c r="M634" s="164"/>
    </row>
    <row r="635" customFormat="false" ht="12.8" hidden="false" customHeight="false" outlineLevel="0" collapsed="false">
      <c r="L635" s="35"/>
      <c r="M635" s="164"/>
    </row>
    <row r="636" customFormat="false" ht="12.8" hidden="false" customHeight="false" outlineLevel="0" collapsed="false">
      <c r="L636" s="35"/>
      <c r="M636" s="164"/>
    </row>
    <row r="637" customFormat="false" ht="12.8" hidden="false" customHeight="false" outlineLevel="0" collapsed="false">
      <c r="L637" s="35"/>
      <c r="M637" s="164"/>
    </row>
    <row r="638" customFormat="false" ht="12.8" hidden="false" customHeight="false" outlineLevel="0" collapsed="false">
      <c r="L638" s="35"/>
      <c r="M638" s="164"/>
    </row>
    <row r="639" customFormat="false" ht="12.8" hidden="false" customHeight="false" outlineLevel="0" collapsed="false">
      <c r="L639" s="35"/>
      <c r="M639" s="164"/>
    </row>
    <row r="640" customFormat="false" ht="12.8" hidden="false" customHeight="false" outlineLevel="0" collapsed="false">
      <c r="L640" s="35"/>
      <c r="M640" s="164"/>
    </row>
    <row r="641" customFormat="false" ht="12.8" hidden="false" customHeight="false" outlineLevel="0" collapsed="false">
      <c r="L641" s="35"/>
      <c r="M641" s="164"/>
    </row>
    <row r="642" customFormat="false" ht="12.8" hidden="false" customHeight="false" outlineLevel="0" collapsed="false">
      <c r="L642" s="35"/>
      <c r="M642" s="164"/>
    </row>
    <row r="643" customFormat="false" ht="12.8" hidden="false" customHeight="false" outlineLevel="0" collapsed="false">
      <c r="L643" s="35"/>
      <c r="M643" s="164"/>
    </row>
    <row r="644" customFormat="false" ht="12.8" hidden="false" customHeight="false" outlineLevel="0" collapsed="false">
      <c r="L644" s="35"/>
      <c r="M644" s="164"/>
    </row>
    <row r="645" customFormat="false" ht="12.8" hidden="false" customHeight="false" outlineLevel="0" collapsed="false">
      <c r="L645" s="35"/>
      <c r="M645" s="164"/>
    </row>
    <row r="646" customFormat="false" ht="12.8" hidden="false" customHeight="false" outlineLevel="0" collapsed="false">
      <c r="L646" s="35"/>
      <c r="M646" s="164"/>
    </row>
    <row r="647" customFormat="false" ht="12.8" hidden="false" customHeight="false" outlineLevel="0" collapsed="false">
      <c r="L647" s="35"/>
      <c r="M647" s="164"/>
    </row>
    <row r="648" customFormat="false" ht="12.8" hidden="false" customHeight="false" outlineLevel="0" collapsed="false">
      <c r="L648" s="35"/>
      <c r="M648" s="164"/>
    </row>
    <row r="649" customFormat="false" ht="12.8" hidden="false" customHeight="false" outlineLevel="0" collapsed="false">
      <c r="L649" s="35"/>
      <c r="M649" s="164"/>
    </row>
    <row r="650" customFormat="false" ht="12.8" hidden="false" customHeight="false" outlineLevel="0" collapsed="false">
      <c r="L650" s="35"/>
      <c r="M650" s="164"/>
    </row>
    <row r="651" customFormat="false" ht="12.8" hidden="false" customHeight="false" outlineLevel="0" collapsed="false">
      <c r="L651" s="35"/>
      <c r="M651" s="164"/>
    </row>
    <row r="652" customFormat="false" ht="12.8" hidden="false" customHeight="false" outlineLevel="0" collapsed="false">
      <c r="L652" s="35"/>
      <c r="M652" s="164"/>
    </row>
    <row r="653" customFormat="false" ht="12.8" hidden="false" customHeight="false" outlineLevel="0" collapsed="false">
      <c r="L653" s="35"/>
      <c r="M653" s="164"/>
    </row>
    <row r="654" customFormat="false" ht="12.8" hidden="false" customHeight="false" outlineLevel="0" collapsed="false">
      <c r="L654" s="35"/>
      <c r="M654" s="164"/>
    </row>
    <row r="655" customFormat="false" ht="12.8" hidden="false" customHeight="false" outlineLevel="0" collapsed="false">
      <c r="L655" s="35"/>
      <c r="M655" s="164"/>
    </row>
    <row r="656" customFormat="false" ht="12.8" hidden="false" customHeight="false" outlineLevel="0" collapsed="false">
      <c r="L656" s="35"/>
      <c r="M656" s="164"/>
    </row>
    <row r="657" customFormat="false" ht="12.8" hidden="false" customHeight="false" outlineLevel="0" collapsed="false">
      <c r="L657" s="35"/>
      <c r="M657" s="164"/>
    </row>
    <row r="658" customFormat="false" ht="12.8" hidden="false" customHeight="false" outlineLevel="0" collapsed="false">
      <c r="L658" s="35"/>
      <c r="M658" s="164"/>
    </row>
    <row r="659" customFormat="false" ht="12.8" hidden="false" customHeight="false" outlineLevel="0" collapsed="false">
      <c r="L659" s="35"/>
      <c r="M659" s="164"/>
    </row>
    <row r="660" customFormat="false" ht="12.8" hidden="false" customHeight="false" outlineLevel="0" collapsed="false">
      <c r="L660" s="35"/>
      <c r="M660" s="164"/>
    </row>
    <row r="661" customFormat="false" ht="12.8" hidden="false" customHeight="false" outlineLevel="0" collapsed="false">
      <c r="L661" s="35"/>
      <c r="M661" s="164"/>
    </row>
    <row r="662" customFormat="false" ht="12.8" hidden="false" customHeight="false" outlineLevel="0" collapsed="false">
      <c r="L662" s="35"/>
      <c r="M662" s="164"/>
    </row>
    <row r="663" customFormat="false" ht="12.8" hidden="false" customHeight="false" outlineLevel="0" collapsed="false">
      <c r="L663" s="35"/>
      <c r="M663" s="164"/>
    </row>
    <row r="664" customFormat="false" ht="12.8" hidden="false" customHeight="false" outlineLevel="0" collapsed="false">
      <c r="L664" s="35"/>
      <c r="M664" s="164"/>
    </row>
    <row r="665" customFormat="false" ht="12.8" hidden="false" customHeight="false" outlineLevel="0" collapsed="false">
      <c r="L665" s="35"/>
      <c r="M665" s="164"/>
    </row>
    <row r="666" customFormat="false" ht="12.8" hidden="false" customHeight="false" outlineLevel="0" collapsed="false">
      <c r="L666" s="35"/>
      <c r="M666" s="164"/>
    </row>
    <row r="667" customFormat="false" ht="12.8" hidden="false" customHeight="false" outlineLevel="0" collapsed="false">
      <c r="L667" s="35"/>
      <c r="M667" s="164"/>
    </row>
    <row r="668" customFormat="false" ht="12.8" hidden="false" customHeight="false" outlineLevel="0" collapsed="false">
      <c r="L668" s="35"/>
      <c r="M668" s="164"/>
    </row>
    <row r="669" customFormat="false" ht="12.8" hidden="false" customHeight="false" outlineLevel="0" collapsed="false">
      <c r="L669" s="35"/>
      <c r="M669" s="164"/>
    </row>
    <row r="670" customFormat="false" ht="12.8" hidden="false" customHeight="false" outlineLevel="0" collapsed="false">
      <c r="L670" s="35"/>
      <c r="M670" s="164"/>
    </row>
    <row r="671" customFormat="false" ht="12.8" hidden="false" customHeight="false" outlineLevel="0" collapsed="false">
      <c r="L671" s="35"/>
      <c r="M671" s="164"/>
    </row>
    <row r="672" customFormat="false" ht="12.8" hidden="false" customHeight="false" outlineLevel="0" collapsed="false">
      <c r="L672" s="35"/>
      <c r="M672" s="164"/>
    </row>
    <row r="673" customFormat="false" ht="12.8" hidden="false" customHeight="false" outlineLevel="0" collapsed="false">
      <c r="L673" s="35"/>
      <c r="M673" s="164"/>
    </row>
    <row r="674" customFormat="false" ht="12.8" hidden="false" customHeight="false" outlineLevel="0" collapsed="false">
      <c r="L674" s="35"/>
      <c r="M674" s="164"/>
    </row>
    <row r="675" customFormat="false" ht="12.8" hidden="false" customHeight="false" outlineLevel="0" collapsed="false">
      <c r="L675" s="35"/>
      <c r="M675" s="164"/>
    </row>
    <row r="676" customFormat="false" ht="12.8" hidden="false" customHeight="false" outlineLevel="0" collapsed="false">
      <c r="L676" s="35"/>
      <c r="M676" s="164"/>
    </row>
    <row r="677" customFormat="false" ht="12.8" hidden="false" customHeight="false" outlineLevel="0" collapsed="false">
      <c r="L677" s="35"/>
      <c r="M677" s="164"/>
    </row>
    <row r="678" customFormat="false" ht="12.8" hidden="false" customHeight="false" outlineLevel="0" collapsed="false">
      <c r="L678" s="35"/>
      <c r="M678" s="164"/>
    </row>
    <row r="679" customFormat="false" ht="12.8" hidden="false" customHeight="false" outlineLevel="0" collapsed="false">
      <c r="L679" s="35"/>
      <c r="M679" s="164"/>
    </row>
    <row r="680" customFormat="false" ht="12.8" hidden="false" customHeight="false" outlineLevel="0" collapsed="false">
      <c r="L680" s="35"/>
      <c r="M680" s="164"/>
    </row>
    <row r="681" customFormat="false" ht="12.8" hidden="false" customHeight="false" outlineLevel="0" collapsed="false">
      <c r="L681" s="35"/>
      <c r="M681" s="164"/>
    </row>
    <row r="682" customFormat="false" ht="12.8" hidden="false" customHeight="false" outlineLevel="0" collapsed="false">
      <c r="L682" s="35"/>
      <c r="M682" s="164"/>
    </row>
    <row r="683" customFormat="false" ht="12.8" hidden="false" customHeight="false" outlineLevel="0" collapsed="false">
      <c r="L683" s="35"/>
      <c r="M683" s="164"/>
    </row>
    <row r="684" customFormat="false" ht="12.8" hidden="false" customHeight="false" outlineLevel="0" collapsed="false">
      <c r="L684" s="35"/>
      <c r="M684" s="164"/>
    </row>
    <row r="685" customFormat="false" ht="12.8" hidden="false" customHeight="false" outlineLevel="0" collapsed="false">
      <c r="L685" s="35"/>
      <c r="M685" s="164"/>
    </row>
    <row r="686" customFormat="false" ht="12.8" hidden="false" customHeight="false" outlineLevel="0" collapsed="false">
      <c r="L686" s="35"/>
      <c r="M686" s="164"/>
    </row>
    <row r="687" customFormat="false" ht="12.8" hidden="false" customHeight="false" outlineLevel="0" collapsed="false">
      <c r="L687" s="35"/>
      <c r="M687" s="164"/>
    </row>
    <row r="688" customFormat="false" ht="12.8" hidden="false" customHeight="false" outlineLevel="0" collapsed="false">
      <c r="L688" s="35"/>
      <c r="M688" s="164"/>
    </row>
    <row r="689" customFormat="false" ht="12.8" hidden="false" customHeight="false" outlineLevel="0" collapsed="false">
      <c r="L689" s="35"/>
      <c r="M689" s="164"/>
    </row>
    <row r="690" customFormat="false" ht="12.8" hidden="false" customHeight="false" outlineLevel="0" collapsed="false">
      <c r="L690" s="35"/>
      <c r="M690" s="164"/>
    </row>
    <row r="691" customFormat="false" ht="12.8" hidden="false" customHeight="false" outlineLevel="0" collapsed="false">
      <c r="L691" s="35"/>
      <c r="M691" s="164"/>
    </row>
    <row r="692" customFormat="false" ht="12.8" hidden="false" customHeight="false" outlineLevel="0" collapsed="false">
      <c r="L692" s="35"/>
      <c r="M692" s="164"/>
    </row>
    <row r="693" customFormat="false" ht="12.8" hidden="false" customHeight="false" outlineLevel="0" collapsed="false">
      <c r="L693" s="35"/>
      <c r="M693" s="164"/>
    </row>
    <row r="694" customFormat="false" ht="12.8" hidden="false" customHeight="false" outlineLevel="0" collapsed="false">
      <c r="L694" s="35"/>
      <c r="M694" s="164"/>
    </row>
    <row r="695" customFormat="false" ht="12.8" hidden="false" customHeight="false" outlineLevel="0" collapsed="false">
      <c r="L695" s="35"/>
      <c r="M695" s="164"/>
    </row>
    <row r="696" customFormat="false" ht="12.8" hidden="false" customHeight="false" outlineLevel="0" collapsed="false">
      <c r="L696" s="35"/>
      <c r="M696" s="164"/>
    </row>
    <row r="697" customFormat="false" ht="12.8" hidden="false" customHeight="false" outlineLevel="0" collapsed="false">
      <c r="L697" s="35"/>
      <c r="M697" s="164"/>
    </row>
    <row r="698" customFormat="false" ht="12.8" hidden="false" customHeight="false" outlineLevel="0" collapsed="false">
      <c r="L698" s="35"/>
      <c r="M698" s="164"/>
    </row>
    <row r="699" customFormat="false" ht="12.8" hidden="false" customHeight="false" outlineLevel="0" collapsed="false">
      <c r="L699" s="35"/>
      <c r="M699" s="164"/>
    </row>
    <row r="700" customFormat="false" ht="12.8" hidden="false" customHeight="false" outlineLevel="0" collapsed="false">
      <c r="L700" s="35"/>
      <c r="M700" s="164"/>
    </row>
    <row r="701" customFormat="false" ht="12.8" hidden="false" customHeight="false" outlineLevel="0" collapsed="false">
      <c r="L701" s="35"/>
      <c r="M701" s="164"/>
    </row>
    <row r="702" customFormat="false" ht="12.8" hidden="false" customHeight="false" outlineLevel="0" collapsed="false">
      <c r="L702" s="35"/>
      <c r="M702" s="164"/>
    </row>
    <row r="703" customFormat="false" ht="12.8" hidden="false" customHeight="false" outlineLevel="0" collapsed="false">
      <c r="L703" s="35"/>
      <c r="M703" s="164"/>
    </row>
    <row r="704" customFormat="false" ht="12.8" hidden="false" customHeight="false" outlineLevel="0" collapsed="false">
      <c r="L704" s="35"/>
      <c r="M704" s="164"/>
    </row>
    <row r="705" customFormat="false" ht="12.8" hidden="false" customHeight="false" outlineLevel="0" collapsed="false">
      <c r="L705" s="35"/>
      <c r="M705" s="164"/>
    </row>
    <row r="706" customFormat="false" ht="12.8" hidden="false" customHeight="false" outlineLevel="0" collapsed="false">
      <c r="L706" s="35"/>
      <c r="M706" s="164"/>
    </row>
    <row r="707" customFormat="false" ht="12.8" hidden="false" customHeight="false" outlineLevel="0" collapsed="false">
      <c r="L707" s="35"/>
      <c r="M707" s="164"/>
    </row>
    <row r="708" customFormat="false" ht="12.8" hidden="false" customHeight="false" outlineLevel="0" collapsed="false">
      <c r="L708" s="35"/>
      <c r="M708" s="164"/>
    </row>
    <row r="709" customFormat="false" ht="12.8" hidden="false" customHeight="false" outlineLevel="0" collapsed="false">
      <c r="L709" s="35"/>
      <c r="M709" s="164"/>
    </row>
    <row r="710" customFormat="false" ht="12.8" hidden="false" customHeight="false" outlineLevel="0" collapsed="false">
      <c r="L710" s="35"/>
      <c r="M710" s="164"/>
    </row>
    <row r="711" customFormat="false" ht="12.8" hidden="false" customHeight="false" outlineLevel="0" collapsed="false">
      <c r="L711" s="35"/>
      <c r="M711" s="164"/>
    </row>
    <row r="712" customFormat="false" ht="12.8" hidden="false" customHeight="false" outlineLevel="0" collapsed="false">
      <c r="L712" s="35"/>
      <c r="M712" s="164"/>
    </row>
    <row r="713" customFormat="false" ht="12.8" hidden="false" customHeight="false" outlineLevel="0" collapsed="false">
      <c r="L713" s="35"/>
      <c r="M713" s="164"/>
    </row>
    <row r="714" customFormat="false" ht="12.8" hidden="false" customHeight="false" outlineLevel="0" collapsed="false">
      <c r="L714" s="35"/>
      <c r="M714" s="164"/>
    </row>
    <row r="715" customFormat="false" ht="12.8" hidden="false" customHeight="false" outlineLevel="0" collapsed="false">
      <c r="L715" s="35"/>
      <c r="M715" s="164"/>
    </row>
    <row r="716" customFormat="false" ht="12.8" hidden="false" customHeight="false" outlineLevel="0" collapsed="false">
      <c r="L716" s="35"/>
      <c r="M716" s="164"/>
    </row>
    <row r="717" customFormat="false" ht="12.8" hidden="false" customHeight="false" outlineLevel="0" collapsed="false">
      <c r="L717" s="35"/>
      <c r="M717" s="164"/>
    </row>
    <row r="718" customFormat="false" ht="12.8" hidden="false" customHeight="false" outlineLevel="0" collapsed="false">
      <c r="L718" s="35"/>
      <c r="M718" s="164"/>
    </row>
    <row r="719" customFormat="false" ht="12.8" hidden="false" customHeight="false" outlineLevel="0" collapsed="false">
      <c r="L719" s="35"/>
      <c r="M719" s="164"/>
    </row>
    <row r="720" customFormat="false" ht="12.8" hidden="false" customHeight="false" outlineLevel="0" collapsed="false">
      <c r="L720" s="35"/>
      <c r="M720" s="164"/>
    </row>
    <row r="721" customFormat="false" ht="12.8" hidden="false" customHeight="false" outlineLevel="0" collapsed="false">
      <c r="L721" s="35"/>
      <c r="M721" s="164"/>
    </row>
    <row r="722" customFormat="false" ht="12.8" hidden="false" customHeight="false" outlineLevel="0" collapsed="false">
      <c r="L722" s="35"/>
      <c r="M722" s="164"/>
    </row>
    <row r="723" customFormat="false" ht="12.8" hidden="false" customHeight="false" outlineLevel="0" collapsed="false">
      <c r="L723" s="35"/>
      <c r="M723" s="164"/>
    </row>
    <row r="724" customFormat="false" ht="12.8" hidden="false" customHeight="false" outlineLevel="0" collapsed="false">
      <c r="L724" s="35"/>
      <c r="M724" s="164"/>
    </row>
    <row r="725" customFormat="false" ht="12.8" hidden="false" customHeight="false" outlineLevel="0" collapsed="false">
      <c r="L725" s="35"/>
      <c r="M725" s="164"/>
    </row>
    <row r="726" customFormat="false" ht="12.8" hidden="false" customHeight="false" outlineLevel="0" collapsed="false">
      <c r="L726" s="35"/>
      <c r="M726" s="164"/>
    </row>
    <row r="727" customFormat="false" ht="12.8" hidden="false" customHeight="false" outlineLevel="0" collapsed="false">
      <c r="L727" s="35"/>
      <c r="M727" s="164"/>
    </row>
    <row r="728" customFormat="false" ht="12.8" hidden="false" customHeight="false" outlineLevel="0" collapsed="false">
      <c r="L728" s="35"/>
      <c r="M728" s="164"/>
    </row>
    <row r="729" customFormat="false" ht="12.8" hidden="false" customHeight="false" outlineLevel="0" collapsed="false">
      <c r="L729" s="35"/>
      <c r="M729" s="164"/>
    </row>
    <row r="730" customFormat="false" ht="12.8" hidden="false" customHeight="false" outlineLevel="0" collapsed="false">
      <c r="L730" s="35"/>
      <c r="M730" s="164"/>
    </row>
    <row r="731" customFormat="false" ht="12.8" hidden="false" customHeight="false" outlineLevel="0" collapsed="false">
      <c r="L731" s="35"/>
      <c r="M731" s="164"/>
    </row>
    <row r="732" customFormat="false" ht="12.8" hidden="false" customHeight="false" outlineLevel="0" collapsed="false">
      <c r="L732" s="35"/>
      <c r="M732" s="164"/>
    </row>
    <row r="733" customFormat="false" ht="12.8" hidden="false" customHeight="false" outlineLevel="0" collapsed="false">
      <c r="L733" s="35"/>
      <c r="M733" s="164"/>
    </row>
    <row r="734" customFormat="false" ht="12.8" hidden="false" customHeight="false" outlineLevel="0" collapsed="false">
      <c r="L734" s="35"/>
      <c r="M734" s="164"/>
    </row>
    <row r="735" customFormat="false" ht="12.8" hidden="false" customHeight="false" outlineLevel="0" collapsed="false">
      <c r="L735" s="35"/>
      <c r="M735" s="164"/>
    </row>
    <row r="736" customFormat="false" ht="12.8" hidden="false" customHeight="false" outlineLevel="0" collapsed="false">
      <c r="L736" s="35"/>
      <c r="M736" s="164"/>
    </row>
    <row r="737" customFormat="false" ht="12.8" hidden="false" customHeight="false" outlineLevel="0" collapsed="false">
      <c r="L737" s="35"/>
      <c r="M737" s="164"/>
    </row>
    <row r="738" customFormat="false" ht="12.8" hidden="false" customHeight="false" outlineLevel="0" collapsed="false">
      <c r="L738" s="35"/>
      <c r="M738" s="164"/>
    </row>
    <row r="739" customFormat="false" ht="12.8" hidden="false" customHeight="false" outlineLevel="0" collapsed="false">
      <c r="L739" s="35"/>
      <c r="M739" s="164"/>
    </row>
    <row r="740" customFormat="false" ht="12.8" hidden="false" customHeight="false" outlineLevel="0" collapsed="false">
      <c r="L740" s="35"/>
      <c r="M740" s="164"/>
    </row>
    <row r="741" customFormat="false" ht="12.8" hidden="false" customHeight="false" outlineLevel="0" collapsed="false">
      <c r="L741" s="35"/>
      <c r="M741" s="164"/>
    </row>
    <row r="742" customFormat="false" ht="12.8" hidden="false" customHeight="false" outlineLevel="0" collapsed="false">
      <c r="L742" s="35"/>
      <c r="M742" s="164"/>
    </row>
    <row r="743" customFormat="false" ht="12.8" hidden="false" customHeight="false" outlineLevel="0" collapsed="false">
      <c r="L743" s="35"/>
      <c r="M743" s="164"/>
    </row>
    <row r="744" customFormat="false" ht="12.8" hidden="false" customHeight="false" outlineLevel="0" collapsed="false">
      <c r="L744" s="35"/>
      <c r="M744" s="164"/>
    </row>
    <row r="745" customFormat="false" ht="12.8" hidden="false" customHeight="false" outlineLevel="0" collapsed="false">
      <c r="L745" s="35"/>
      <c r="M745" s="164"/>
    </row>
    <row r="746" customFormat="false" ht="12.8" hidden="false" customHeight="false" outlineLevel="0" collapsed="false">
      <c r="L746" s="35"/>
      <c r="M746" s="164"/>
    </row>
    <row r="747" customFormat="false" ht="12.8" hidden="false" customHeight="false" outlineLevel="0" collapsed="false">
      <c r="L747" s="35"/>
      <c r="M747" s="164"/>
    </row>
    <row r="748" customFormat="false" ht="12.8" hidden="false" customHeight="false" outlineLevel="0" collapsed="false">
      <c r="L748" s="35"/>
      <c r="M748" s="164"/>
    </row>
    <row r="749" customFormat="false" ht="12.8" hidden="false" customHeight="false" outlineLevel="0" collapsed="false">
      <c r="L749" s="35"/>
      <c r="M749" s="164"/>
    </row>
    <row r="750" customFormat="false" ht="12.8" hidden="false" customHeight="false" outlineLevel="0" collapsed="false">
      <c r="L750" s="35"/>
      <c r="M750" s="164"/>
    </row>
    <row r="751" customFormat="false" ht="12.8" hidden="false" customHeight="false" outlineLevel="0" collapsed="false">
      <c r="L751" s="35"/>
      <c r="M751" s="164"/>
    </row>
    <row r="752" customFormat="false" ht="12.8" hidden="false" customHeight="false" outlineLevel="0" collapsed="false">
      <c r="L752" s="35"/>
      <c r="M752" s="164"/>
    </row>
    <row r="753" customFormat="false" ht="12.8" hidden="false" customHeight="false" outlineLevel="0" collapsed="false">
      <c r="L753" s="35"/>
      <c r="M753" s="164"/>
    </row>
    <row r="754" customFormat="false" ht="12.8" hidden="false" customHeight="false" outlineLevel="0" collapsed="false">
      <c r="L754" s="35"/>
      <c r="M754" s="164"/>
    </row>
    <row r="755" customFormat="false" ht="12.8" hidden="false" customHeight="false" outlineLevel="0" collapsed="false">
      <c r="L755" s="35"/>
      <c r="M755" s="164"/>
    </row>
    <row r="756" customFormat="false" ht="12.8" hidden="false" customHeight="false" outlineLevel="0" collapsed="false">
      <c r="L756" s="35"/>
      <c r="M756" s="164"/>
    </row>
    <row r="757" customFormat="false" ht="12.8" hidden="false" customHeight="false" outlineLevel="0" collapsed="false">
      <c r="L757" s="35"/>
      <c r="M757" s="164"/>
    </row>
    <row r="758" customFormat="false" ht="12.8" hidden="false" customHeight="false" outlineLevel="0" collapsed="false">
      <c r="L758" s="35"/>
      <c r="M758" s="164"/>
    </row>
    <row r="759" customFormat="false" ht="12.8" hidden="false" customHeight="false" outlineLevel="0" collapsed="false">
      <c r="L759" s="35"/>
      <c r="M759" s="164"/>
    </row>
    <row r="760" customFormat="false" ht="12.8" hidden="false" customHeight="false" outlineLevel="0" collapsed="false">
      <c r="L760" s="35"/>
      <c r="M760" s="164"/>
    </row>
    <row r="761" customFormat="false" ht="12.8" hidden="false" customHeight="false" outlineLevel="0" collapsed="false">
      <c r="L761" s="35"/>
      <c r="M761" s="164"/>
    </row>
    <row r="762" customFormat="false" ht="12.8" hidden="false" customHeight="false" outlineLevel="0" collapsed="false">
      <c r="L762" s="35"/>
      <c r="M762" s="164"/>
    </row>
    <row r="763" customFormat="false" ht="12.8" hidden="false" customHeight="false" outlineLevel="0" collapsed="false">
      <c r="L763" s="35"/>
      <c r="M763" s="164"/>
    </row>
    <row r="764" customFormat="false" ht="12.8" hidden="false" customHeight="false" outlineLevel="0" collapsed="false">
      <c r="L764" s="35"/>
      <c r="M764" s="164"/>
    </row>
    <row r="765" customFormat="false" ht="12.8" hidden="false" customHeight="false" outlineLevel="0" collapsed="false">
      <c r="L765" s="35"/>
      <c r="M765" s="164"/>
    </row>
    <row r="766" customFormat="false" ht="12.8" hidden="false" customHeight="false" outlineLevel="0" collapsed="false">
      <c r="L766" s="35"/>
      <c r="M766" s="164"/>
    </row>
    <row r="767" customFormat="false" ht="12.8" hidden="false" customHeight="false" outlineLevel="0" collapsed="false">
      <c r="L767" s="35"/>
      <c r="M767" s="164"/>
    </row>
    <row r="768" customFormat="false" ht="12.8" hidden="false" customHeight="false" outlineLevel="0" collapsed="false">
      <c r="L768" s="35"/>
      <c r="M768" s="164"/>
    </row>
    <row r="769" customFormat="false" ht="12.8" hidden="false" customHeight="false" outlineLevel="0" collapsed="false">
      <c r="L769" s="35"/>
      <c r="M769" s="164"/>
    </row>
    <row r="770" customFormat="false" ht="12.8" hidden="false" customHeight="false" outlineLevel="0" collapsed="false">
      <c r="L770" s="35"/>
      <c r="M770" s="164"/>
    </row>
    <row r="771" customFormat="false" ht="12.8" hidden="false" customHeight="false" outlineLevel="0" collapsed="false">
      <c r="L771" s="35"/>
      <c r="M771" s="164"/>
    </row>
    <row r="772" customFormat="false" ht="12.8" hidden="false" customHeight="false" outlineLevel="0" collapsed="false">
      <c r="L772" s="35"/>
      <c r="M772" s="164"/>
    </row>
    <row r="773" customFormat="false" ht="12.8" hidden="false" customHeight="false" outlineLevel="0" collapsed="false">
      <c r="L773" s="35"/>
      <c r="M773" s="164"/>
    </row>
    <row r="774" customFormat="false" ht="12.8" hidden="false" customHeight="false" outlineLevel="0" collapsed="false">
      <c r="L774" s="35"/>
      <c r="M774" s="164"/>
    </row>
    <row r="775" customFormat="false" ht="12.8" hidden="false" customHeight="false" outlineLevel="0" collapsed="false">
      <c r="L775" s="35"/>
      <c r="M775" s="164"/>
    </row>
    <row r="776" customFormat="false" ht="12.8" hidden="false" customHeight="false" outlineLevel="0" collapsed="false">
      <c r="L776" s="35"/>
      <c r="M776" s="164"/>
    </row>
    <row r="777" customFormat="false" ht="12.8" hidden="false" customHeight="false" outlineLevel="0" collapsed="false">
      <c r="L777" s="35"/>
      <c r="M777" s="164"/>
    </row>
    <row r="778" customFormat="false" ht="12.8" hidden="false" customHeight="false" outlineLevel="0" collapsed="false">
      <c r="L778" s="35"/>
      <c r="M778" s="164"/>
    </row>
    <row r="779" customFormat="false" ht="12.8" hidden="false" customHeight="false" outlineLevel="0" collapsed="false">
      <c r="L779" s="35"/>
      <c r="M779" s="164"/>
    </row>
    <row r="780" customFormat="false" ht="12.8" hidden="false" customHeight="false" outlineLevel="0" collapsed="false">
      <c r="L780" s="35"/>
      <c r="M780" s="164"/>
    </row>
    <row r="781" customFormat="false" ht="12.8" hidden="false" customHeight="false" outlineLevel="0" collapsed="false">
      <c r="L781" s="35"/>
      <c r="M781" s="164"/>
    </row>
    <row r="782" customFormat="false" ht="12.8" hidden="false" customHeight="false" outlineLevel="0" collapsed="false">
      <c r="L782" s="35"/>
      <c r="M782" s="164"/>
    </row>
    <row r="783" customFormat="false" ht="12.8" hidden="false" customHeight="false" outlineLevel="0" collapsed="false">
      <c r="L783" s="35"/>
      <c r="M783" s="164"/>
    </row>
    <row r="784" customFormat="false" ht="12.8" hidden="false" customHeight="false" outlineLevel="0" collapsed="false">
      <c r="L784" s="35"/>
      <c r="M784" s="164"/>
    </row>
    <row r="785" customFormat="false" ht="12.8" hidden="false" customHeight="false" outlineLevel="0" collapsed="false">
      <c r="L785" s="35"/>
      <c r="M785" s="164"/>
    </row>
    <row r="786" customFormat="false" ht="12.8" hidden="false" customHeight="false" outlineLevel="0" collapsed="false">
      <c r="L786" s="35"/>
      <c r="M786" s="164"/>
    </row>
    <row r="787" customFormat="false" ht="12.8" hidden="false" customHeight="false" outlineLevel="0" collapsed="false">
      <c r="L787" s="35"/>
      <c r="M787" s="164"/>
    </row>
    <row r="788" customFormat="false" ht="12.8" hidden="false" customHeight="false" outlineLevel="0" collapsed="false">
      <c r="L788" s="35"/>
      <c r="M788" s="164"/>
    </row>
    <row r="789" customFormat="false" ht="12.8" hidden="false" customHeight="false" outlineLevel="0" collapsed="false">
      <c r="L789" s="35"/>
      <c r="M789" s="164"/>
    </row>
    <row r="790" customFormat="false" ht="12.8" hidden="false" customHeight="false" outlineLevel="0" collapsed="false">
      <c r="L790" s="35"/>
      <c r="M790" s="164"/>
    </row>
    <row r="791" customFormat="false" ht="12.8" hidden="false" customHeight="false" outlineLevel="0" collapsed="false">
      <c r="L791" s="35"/>
      <c r="M791" s="164"/>
    </row>
    <row r="792" customFormat="false" ht="12.8" hidden="false" customHeight="false" outlineLevel="0" collapsed="false">
      <c r="D792" s="5" t="s">
        <v>22</v>
      </c>
      <c r="L792" s="35" t="s">
        <v>30</v>
      </c>
      <c r="M792" s="164" t="s">
        <v>31</v>
      </c>
    </row>
    <row r="793" customFormat="false" ht="12.8" hidden="false" customHeight="false" outlineLevel="0" collapsed="false">
      <c r="D793" s="5" t="s">
        <v>22</v>
      </c>
      <c r="L793" s="35" t="s">
        <v>30</v>
      </c>
      <c r="M793" s="164" t="s">
        <v>31</v>
      </c>
    </row>
    <row r="794" customFormat="false" ht="12.8" hidden="false" customHeight="false" outlineLevel="0" collapsed="false">
      <c r="D794" s="5" t="s">
        <v>22</v>
      </c>
      <c r="L794" s="35" t="s">
        <v>30</v>
      </c>
      <c r="M794" s="164" t="s">
        <v>31</v>
      </c>
    </row>
    <row r="795" customFormat="false" ht="12.8" hidden="false" customHeight="false" outlineLevel="0" collapsed="false">
      <c r="D795" s="5" t="s">
        <v>22</v>
      </c>
      <c r="L795" s="35" t="s">
        <v>30</v>
      </c>
      <c r="M795" s="164" t="s">
        <v>31</v>
      </c>
    </row>
  </sheetData>
  <printOptions headings="false" gridLines="false" gridLinesSet="true" horizontalCentered="false" verticalCentered="false"/>
  <pageMargins left="0.7" right="0.7" top="0.75" bottom="0.75" header="0.75" footer="0.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7.7890625" defaultRowHeight="12.8" zeroHeight="false" outlineLevelRow="0" outlineLevelCol="0"/>
  <cols>
    <col collapsed="false" customWidth="true" hidden="true" outlineLevel="0" max="1" min="1" style="116" width="9.64"/>
    <col collapsed="false" customWidth="false" hidden="false" outlineLevel="0" max="2" min="2" style="5" width="7.79"/>
    <col collapsed="false" customWidth="true" hidden="false" outlineLevel="0" max="3" min="3" style="206" width="13.78"/>
    <col collapsed="false" customWidth="true" hidden="false" outlineLevel="0" max="5" min="4" style="5" width="9.5"/>
    <col collapsed="false" customWidth="true" hidden="false" outlineLevel="0" max="6" min="6" style="207" width="16.28"/>
    <col collapsed="false" customWidth="false" hidden="false" outlineLevel="0" max="7" min="7" style="5" width="7.79"/>
    <col collapsed="false" customWidth="true" hidden="false" outlineLevel="0" max="8" min="8" style="5" width="6.64"/>
    <col collapsed="false" customWidth="true" hidden="false" outlineLevel="0" max="9" min="9" style="5" width="5.79"/>
    <col collapsed="false" customWidth="false" hidden="false" outlineLevel="0" max="10" min="10" style="158" width="7.79"/>
    <col collapsed="false" customWidth="true" hidden="false" outlineLevel="0" max="11" min="11" style="239" width="13.35"/>
    <col collapsed="false" customWidth="true" hidden="false" outlineLevel="0" max="12" min="12" style="168" width="9.28"/>
    <col collapsed="false" customWidth="true" hidden="false" outlineLevel="0" max="13" min="13" style="168" width="10.36"/>
    <col collapsed="false" customWidth="true" hidden="false" outlineLevel="0" max="14" min="14" style="168" width="8.85"/>
    <col collapsed="false" customWidth="true" hidden="false" outlineLevel="0" max="15" min="15" style="207" width="12.64"/>
    <col collapsed="false" customWidth="true" hidden="false" outlineLevel="0" max="16" min="16" style="168" width="10.07"/>
    <col collapsed="false" customWidth="true" hidden="false" outlineLevel="0" max="17" min="17" style="168" width="12.64"/>
    <col collapsed="false" customWidth="true" hidden="false" outlineLevel="0" max="18" min="18" style="168" width="10.93"/>
    <col collapsed="false" customWidth="true" hidden="false" outlineLevel="0" max="19" min="19" style="5" width="22.57"/>
    <col collapsed="false" customWidth="false" hidden="false" outlineLevel="0" max="21" min="20" style="207" width="7.79"/>
    <col collapsed="false" customWidth="true" hidden="false" outlineLevel="0" max="22" min="22" style="5" width="12.21"/>
    <col collapsed="false" customWidth="true" hidden="false" outlineLevel="0" max="23" min="23" style="207" width="6.93"/>
    <col collapsed="false" customWidth="true" hidden="false" outlineLevel="0" max="24" min="24" style="173" width="11.21"/>
    <col collapsed="false" customWidth="true" hidden="false" outlineLevel="0" max="25" min="25" style="116" width="8.79"/>
    <col collapsed="false" customWidth="false" hidden="false" outlineLevel="0" max="1023" min="26" style="116" width="7.79"/>
    <col collapsed="false" customWidth="true" hidden="false" outlineLevel="0" max="1024" min="1024" style="116" width="7.5"/>
  </cols>
  <sheetData>
    <row r="1" s="217" customFormat="true" ht="21.75" hidden="false" customHeight="true" outlineLevel="0" collapsed="false">
      <c r="A1" s="240"/>
      <c r="B1" s="241" t="s">
        <v>0</v>
      </c>
      <c r="C1" s="242" t="s">
        <v>4556</v>
      </c>
      <c r="D1" s="243" t="s">
        <v>2</v>
      </c>
      <c r="E1" s="241" t="s">
        <v>3</v>
      </c>
      <c r="F1" s="243" t="s">
        <v>4</v>
      </c>
      <c r="G1" s="241" t="s">
        <v>5</v>
      </c>
      <c r="H1" s="241" t="s">
        <v>6</v>
      </c>
      <c r="I1" s="241" t="s">
        <v>7</v>
      </c>
      <c r="J1" s="244" t="s">
        <v>4102</v>
      </c>
      <c r="K1" s="245" t="s">
        <v>4557</v>
      </c>
      <c r="L1" s="244" t="s">
        <v>4558</v>
      </c>
      <c r="M1" s="246" t="s">
        <v>4559</v>
      </c>
      <c r="N1" s="246" t="s">
        <v>4560</v>
      </c>
      <c r="O1" s="243" t="s">
        <v>11</v>
      </c>
      <c r="P1" s="246" t="s">
        <v>12</v>
      </c>
      <c r="Q1" s="246" t="s">
        <v>4561</v>
      </c>
      <c r="R1" s="246" t="s">
        <v>4562</v>
      </c>
      <c r="S1" s="241" t="s">
        <v>15</v>
      </c>
      <c r="T1" s="243" t="s">
        <v>17</v>
      </c>
      <c r="U1" s="243" t="s">
        <v>18</v>
      </c>
      <c r="V1" s="241" t="s">
        <v>4563</v>
      </c>
      <c r="W1" s="243" t="s">
        <v>19</v>
      </c>
      <c r="X1" s="247" t="s">
        <v>20</v>
      </c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</row>
    <row r="2" s="1" customFormat="true" ht="12.8" hidden="false" customHeight="false" outlineLevel="0" collapsed="false">
      <c r="A2" s="1" t="s">
        <v>4564</v>
      </c>
      <c r="B2" s="2" t="n">
        <v>1597</v>
      </c>
      <c r="C2" s="206" t="n">
        <v>42775</v>
      </c>
      <c r="D2" s="165" t="s">
        <v>22</v>
      </c>
      <c r="E2" s="165" t="s">
        <v>399</v>
      </c>
      <c r="F2" s="157" t="s">
        <v>617</v>
      </c>
      <c r="G2" s="5" t="s">
        <v>36</v>
      </c>
      <c r="H2" s="165" t="s">
        <v>4565</v>
      </c>
      <c r="I2" s="165" t="s">
        <v>26</v>
      </c>
      <c r="J2" s="158" t="n">
        <v>274.4</v>
      </c>
      <c r="K2" s="239"/>
      <c r="L2" s="199"/>
      <c r="M2" s="199" t="n">
        <v>1923505.68</v>
      </c>
      <c r="N2" s="200" t="n">
        <f aca="false">M2/J2</f>
        <v>7009.86034985423</v>
      </c>
      <c r="O2" s="248" t="s">
        <v>4566</v>
      </c>
      <c r="P2" s="168" t="n">
        <v>0</v>
      </c>
      <c r="Q2" s="168" t="n">
        <f aca="false">M2+P2</f>
        <v>1923505.68</v>
      </c>
      <c r="R2" s="168" t="n">
        <f aca="false">ROUND(Q2/J2, 2)</f>
        <v>7009.86</v>
      </c>
      <c r="S2" s="158" t="s">
        <v>4567</v>
      </c>
      <c r="T2" s="248" t="s">
        <v>29</v>
      </c>
      <c r="U2" s="158" t="s">
        <v>30</v>
      </c>
      <c r="V2" s="47" t="s">
        <v>4568</v>
      </c>
      <c r="W2" s="172" t="s">
        <v>31</v>
      </c>
      <c r="X2" s="196" t="n">
        <v>42885</v>
      </c>
      <c r="Y2" s="1" t="s">
        <v>4569</v>
      </c>
    </row>
    <row r="3" customFormat="false" ht="12.8" hidden="false" customHeight="false" outlineLevel="0" collapsed="false">
      <c r="A3" s="1" t="s">
        <v>4570</v>
      </c>
      <c r="B3" s="2" t="n">
        <v>1539</v>
      </c>
      <c r="C3" s="206" t="n">
        <v>42768</v>
      </c>
      <c r="D3" s="165" t="s">
        <v>22</v>
      </c>
      <c r="E3" s="5" t="s">
        <v>122</v>
      </c>
      <c r="F3" s="157" t="s">
        <v>805</v>
      </c>
      <c r="G3" s="5" t="s">
        <v>473</v>
      </c>
      <c r="H3" s="165" t="s">
        <v>4571</v>
      </c>
      <c r="I3" s="165" t="s">
        <v>36</v>
      </c>
      <c r="J3" s="158" t="n">
        <v>69.15</v>
      </c>
      <c r="L3" s="199"/>
      <c r="M3" s="199" t="n">
        <v>450000</v>
      </c>
      <c r="N3" s="200" t="n">
        <f aca="false">M3/J3</f>
        <v>6507.59219088937</v>
      </c>
      <c r="O3" s="248" t="s">
        <v>4572</v>
      </c>
      <c r="P3" s="168" t="n">
        <v>0</v>
      </c>
      <c r="Q3" s="168" t="n">
        <f aca="false">M3+P3</f>
        <v>450000</v>
      </c>
      <c r="R3" s="168" t="n">
        <f aca="false">ROUND(Q3/J3, 2)</f>
        <v>6507.59</v>
      </c>
      <c r="S3" s="5" t="s">
        <v>4573</v>
      </c>
      <c r="T3" s="248" t="s">
        <v>29</v>
      </c>
      <c r="U3" s="158" t="s">
        <v>30</v>
      </c>
      <c r="V3" s="47" t="s">
        <v>4568</v>
      </c>
      <c r="W3" s="172" t="s">
        <v>31</v>
      </c>
      <c r="X3" s="196" t="n">
        <v>42885</v>
      </c>
      <c r="Y3" s="1" t="s">
        <v>4574</v>
      </c>
    </row>
    <row r="4" customFormat="false" ht="12.8" hidden="false" customHeight="false" outlineLevel="0" collapsed="false">
      <c r="A4" s="1" t="s">
        <v>4575</v>
      </c>
      <c r="B4" s="2" t="n">
        <v>1648</v>
      </c>
      <c r="C4" s="206" t="n">
        <v>42794</v>
      </c>
      <c r="D4" s="165" t="s">
        <v>22</v>
      </c>
      <c r="E4" s="165" t="s">
        <v>80</v>
      </c>
      <c r="F4" s="157" t="s">
        <v>81</v>
      </c>
      <c r="G4" s="5" t="s">
        <v>26</v>
      </c>
      <c r="H4" s="165" t="s">
        <v>4576</v>
      </c>
      <c r="I4" s="165" t="s">
        <v>27</v>
      </c>
      <c r="J4" s="158" t="n">
        <v>84.14</v>
      </c>
      <c r="L4" s="199"/>
      <c r="M4" s="199" t="n">
        <v>984000</v>
      </c>
      <c r="N4" s="200" t="n">
        <f aca="false">M4/J4</f>
        <v>11694.7943903019</v>
      </c>
      <c r="O4" s="248"/>
      <c r="P4" s="168" t="n">
        <v>0</v>
      </c>
      <c r="Q4" s="168" t="n">
        <f aca="false">M4+P4</f>
        <v>984000</v>
      </c>
      <c r="R4" s="168" t="n">
        <f aca="false">ROUND(Q4/J4, 2)</f>
        <v>11694.79</v>
      </c>
      <c r="S4" s="5" t="s">
        <v>4577</v>
      </c>
      <c r="T4" s="248" t="s">
        <v>29</v>
      </c>
      <c r="U4" s="158" t="s">
        <v>30</v>
      </c>
      <c r="V4" s="47" t="s">
        <v>4568</v>
      </c>
      <c r="W4" s="172" t="s">
        <v>31</v>
      </c>
      <c r="X4" s="196" t="n">
        <v>42885</v>
      </c>
    </row>
    <row r="5" customFormat="false" ht="12.8" hidden="false" customHeight="false" outlineLevel="0" collapsed="false">
      <c r="A5" s="1" t="s">
        <v>4578</v>
      </c>
      <c r="B5" s="2" t="n">
        <v>291</v>
      </c>
      <c r="C5" s="206" t="n">
        <v>42769</v>
      </c>
      <c r="D5" s="165" t="s">
        <v>22</v>
      </c>
      <c r="E5" s="165" t="s">
        <v>156</v>
      </c>
      <c r="F5" s="157" t="s">
        <v>4579</v>
      </c>
      <c r="G5" s="5" t="s">
        <v>57</v>
      </c>
      <c r="H5" s="165" t="s">
        <v>4580</v>
      </c>
      <c r="I5" s="165" t="s">
        <v>27</v>
      </c>
      <c r="J5" s="158" t="n">
        <v>92.71</v>
      </c>
      <c r="L5" s="199"/>
      <c r="M5" s="199" t="n">
        <v>649989.81</v>
      </c>
      <c r="N5" s="200" t="n">
        <f aca="false">M5/J5</f>
        <v>7011</v>
      </c>
      <c r="O5" s="248"/>
      <c r="Q5" s="168" t="n">
        <f aca="false">M5+P5</f>
        <v>649989.81</v>
      </c>
      <c r="R5" s="168" t="n">
        <f aca="false">ROUND(Q5/J5, 2)</f>
        <v>7011</v>
      </c>
      <c r="S5" s="5" t="s">
        <v>4581</v>
      </c>
      <c r="T5" s="248" t="s">
        <v>29</v>
      </c>
      <c r="U5" s="158" t="s">
        <v>1915</v>
      </c>
      <c r="V5" s="47" t="s">
        <v>4568</v>
      </c>
      <c r="W5" s="172" t="s">
        <v>31</v>
      </c>
      <c r="X5" s="196" t="n">
        <v>42885</v>
      </c>
    </row>
    <row r="6" customFormat="false" ht="12.8" hidden="false" customHeight="false" outlineLevel="0" collapsed="false">
      <c r="A6" s="1" t="s">
        <v>4582</v>
      </c>
      <c r="B6" s="2" t="n">
        <v>4861</v>
      </c>
      <c r="C6" s="206" t="n">
        <v>42775</v>
      </c>
      <c r="D6" s="165" t="s">
        <v>22</v>
      </c>
      <c r="E6" s="165" t="s">
        <v>522</v>
      </c>
      <c r="F6" s="157" t="s">
        <v>1400</v>
      </c>
      <c r="G6" s="5" t="s">
        <v>82</v>
      </c>
      <c r="H6" s="165" t="s">
        <v>4583</v>
      </c>
      <c r="I6" s="165" t="s">
        <v>27</v>
      </c>
      <c r="J6" s="158" t="n">
        <v>32.47</v>
      </c>
      <c r="L6" s="199"/>
      <c r="M6" s="199" t="n">
        <v>389638.77</v>
      </c>
      <c r="N6" s="200" t="n">
        <f aca="false">M6/J6</f>
        <v>11999.962118879</v>
      </c>
      <c r="O6" s="248" t="s">
        <v>987</v>
      </c>
      <c r="P6" s="168" t="n">
        <v>32000</v>
      </c>
      <c r="Q6" s="168" t="n">
        <f aca="false">M6+P6</f>
        <v>421638.77</v>
      </c>
      <c r="R6" s="168" t="n">
        <f aca="false">ROUND(Q6/J6, 2)</f>
        <v>12985.49</v>
      </c>
      <c r="S6" s="5" t="s">
        <v>4584</v>
      </c>
      <c r="T6" s="248" t="s">
        <v>29</v>
      </c>
      <c r="U6" s="158" t="s">
        <v>1915</v>
      </c>
      <c r="V6" s="47" t="s">
        <v>4568</v>
      </c>
      <c r="W6" s="172" t="s">
        <v>31</v>
      </c>
      <c r="X6" s="196" t="n">
        <v>42885</v>
      </c>
    </row>
    <row r="7" customFormat="false" ht="12.8" hidden="false" customHeight="false" outlineLevel="0" collapsed="false">
      <c r="A7" s="1" t="s">
        <v>4585</v>
      </c>
      <c r="B7" s="2" t="n">
        <v>2241</v>
      </c>
      <c r="C7" s="206" t="n">
        <v>42781</v>
      </c>
      <c r="D7" s="165" t="s">
        <v>22</v>
      </c>
      <c r="E7" s="5" t="s">
        <v>3085</v>
      </c>
      <c r="F7" s="157" t="s">
        <v>323</v>
      </c>
      <c r="G7" s="5" t="s">
        <v>4114</v>
      </c>
      <c r="H7" s="165" t="s">
        <v>4586</v>
      </c>
      <c r="I7" s="165" t="s">
        <v>27</v>
      </c>
      <c r="J7" s="158" t="n">
        <v>39.4</v>
      </c>
      <c r="L7" s="199"/>
      <c r="M7" s="199" t="n">
        <v>270000</v>
      </c>
      <c r="N7" s="200" t="n">
        <f aca="false">M7/J7</f>
        <v>6852.79187817259</v>
      </c>
      <c r="O7" s="167" t="s">
        <v>987</v>
      </c>
      <c r="P7" s="168" t="n">
        <v>28000</v>
      </c>
      <c r="Q7" s="168" t="n">
        <f aca="false">M7+P7</f>
        <v>298000</v>
      </c>
      <c r="R7" s="168" t="n">
        <f aca="false">ROUND(Q7/J7, 2)</f>
        <v>7563.45</v>
      </c>
      <c r="S7" s="158" t="s">
        <v>4587</v>
      </c>
      <c r="T7" s="248" t="s">
        <v>29</v>
      </c>
      <c r="U7" s="158" t="s">
        <v>1915</v>
      </c>
      <c r="V7" s="47" t="s">
        <v>4568</v>
      </c>
      <c r="W7" s="172" t="s">
        <v>31</v>
      </c>
      <c r="X7" s="196" t="n">
        <v>42885</v>
      </c>
    </row>
    <row r="8" customFormat="false" ht="12.8" hidden="false" customHeight="false" outlineLevel="0" collapsed="false">
      <c r="B8" s="2" t="n">
        <v>5632</v>
      </c>
      <c r="C8" s="206" t="n">
        <v>42955</v>
      </c>
      <c r="D8" s="171" t="s">
        <v>22</v>
      </c>
      <c r="E8" s="5" t="s">
        <v>572</v>
      </c>
      <c r="F8" s="157" t="s">
        <v>809</v>
      </c>
      <c r="G8" s="5" t="s">
        <v>27</v>
      </c>
      <c r="H8" s="165" t="s">
        <v>4580</v>
      </c>
      <c r="I8" s="165" t="s">
        <v>27</v>
      </c>
      <c r="J8" s="158" t="n">
        <v>84.36</v>
      </c>
      <c r="K8" s="199" t="n">
        <v>840478.68</v>
      </c>
      <c r="L8" s="200" t="n">
        <f aca="false">K8/1.23*0.23</f>
        <v>157162.68</v>
      </c>
      <c r="M8" s="199" t="n">
        <f aca="false">K8/1.07</f>
        <v>785494.093457944</v>
      </c>
      <c r="N8" s="200" t="n">
        <f aca="false">M8/J8</f>
        <v>9311.21495327103</v>
      </c>
      <c r="O8" s="167"/>
      <c r="Q8" s="168" t="n">
        <f aca="false">M8+P8</f>
        <v>785494.093457944</v>
      </c>
      <c r="R8" s="168" t="n">
        <f aca="false">ROUND(Q8/J8, 2)</f>
        <v>9311.21</v>
      </c>
      <c r="S8" s="239" t="s">
        <v>4588</v>
      </c>
      <c r="T8" s="169" t="s">
        <v>29</v>
      </c>
      <c r="U8" s="158" t="s">
        <v>1915</v>
      </c>
      <c r="V8" s="47" t="s">
        <v>4568</v>
      </c>
      <c r="W8" s="172" t="s">
        <v>31</v>
      </c>
      <c r="X8" s="196" t="n">
        <v>42995</v>
      </c>
    </row>
    <row r="9" s="5" customFormat="true" ht="12.8" hidden="false" customHeight="false" outlineLevel="0" collapsed="false">
      <c r="A9" s="2" t="s">
        <v>4589</v>
      </c>
      <c r="B9" s="2" t="n">
        <v>21426</v>
      </c>
      <c r="C9" s="206" t="n">
        <v>42936</v>
      </c>
      <c r="D9" s="5" t="s">
        <v>22</v>
      </c>
      <c r="E9" s="5" t="s">
        <v>522</v>
      </c>
      <c r="F9" s="157" t="s">
        <v>523</v>
      </c>
      <c r="G9" s="5" t="s">
        <v>294</v>
      </c>
      <c r="H9" s="165" t="s">
        <v>4590</v>
      </c>
      <c r="I9" s="165" t="s">
        <v>27</v>
      </c>
      <c r="J9" s="158" t="n">
        <v>39</v>
      </c>
      <c r="K9" s="199" t="n">
        <v>537998</v>
      </c>
      <c r="L9" s="200" t="n">
        <f aca="false">K9/1.23*0.23</f>
        <v>100601.25203252</v>
      </c>
      <c r="M9" s="199" t="n">
        <f aca="false">K9-L9</f>
        <v>437396.74796748</v>
      </c>
      <c r="N9" s="200" t="n">
        <f aca="false">M9/J9</f>
        <v>11215.3012299354</v>
      </c>
      <c r="O9" s="168"/>
      <c r="P9" s="168"/>
      <c r="Q9" s="168" t="n">
        <f aca="false">M9+P9</f>
        <v>437396.74796748</v>
      </c>
      <c r="R9" s="168" t="n">
        <f aca="false">ROUND(Q9/J9, 2)</f>
        <v>11215.3</v>
      </c>
      <c r="S9" s="1" t="s">
        <v>4591</v>
      </c>
      <c r="T9" s="158" t="s">
        <v>29</v>
      </c>
      <c r="U9" s="35" t="s">
        <v>30</v>
      </c>
      <c r="V9" s="47" t="s">
        <v>4568</v>
      </c>
      <c r="W9" s="172" t="s">
        <v>31</v>
      </c>
      <c r="X9" s="196" t="n">
        <v>42995</v>
      </c>
      <c r="Y9" s="171"/>
      <c r="Z9" s="157"/>
      <c r="AB9" s="165"/>
      <c r="AC9" s="165"/>
      <c r="AD9" s="158"/>
      <c r="AE9" s="199"/>
      <c r="AF9" s="200"/>
      <c r="AG9" s="167"/>
      <c r="AH9" s="168"/>
      <c r="AI9" s="168"/>
      <c r="AJ9" s="168"/>
      <c r="AK9" s="158"/>
      <c r="AM9" s="169"/>
      <c r="AN9" s="158"/>
      <c r="AO9" s="35"/>
      <c r="AP9" s="164"/>
      <c r="AQ9" s="2"/>
      <c r="AR9" s="171"/>
      <c r="AU9" s="157"/>
      <c r="AW9" s="165"/>
      <c r="AX9" s="165"/>
      <c r="AY9" s="158"/>
      <c r="AZ9" s="199"/>
      <c r="BA9" s="200"/>
      <c r="BB9" s="167"/>
      <c r="BC9" s="168"/>
      <c r="BD9" s="168"/>
      <c r="BE9" s="168"/>
      <c r="BF9" s="158"/>
      <c r="BH9" s="169"/>
      <c r="BI9" s="158"/>
      <c r="BJ9" s="35"/>
      <c r="BK9" s="164"/>
      <c r="BL9" s="2"/>
      <c r="BM9" s="171"/>
      <c r="BP9" s="157"/>
      <c r="BR9" s="165"/>
      <c r="BS9" s="165"/>
      <c r="BT9" s="158"/>
      <c r="BU9" s="199"/>
      <c r="BV9" s="200"/>
      <c r="BW9" s="167"/>
      <c r="BX9" s="168"/>
      <c r="BY9" s="168"/>
      <c r="BZ9" s="168"/>
      <c r="CA9" s="158"/>
      <c r="CC9" s="169"/>
      <c r="CD9" s="158"/>
      <c r="CE9" s="35"/>
      <c r="CF9" s="164"/>
      <c r="CG9" s="2"/>
      <c r="CH9" s="171"/>
      <c r="CK9" s="157"/>
      <c r="CM9" s="165"/>
      <c r="CN9" s="165"/>
      <c r="CO9" s="158"/>
      <c r="CP9" s="199"/>
      <c r="CQ9" s="200"/>
      <c r="CR9" s="167"/>
      <c r="CS9" s="168"/>
      <c r="CT9" s="168"/>
      <c r="CU9" s="168"/>
      <c r="CV9" s="158"/>
      <c r="CX9" s="169"/>
      <c r="CY9" s="158"/>
      <c r="CZ9" s="35"/>
      <c r="DA9" s="164"/>
      <c r="DB9" s="2"/>
      <c r="DC9" s="171"/>
      <c r="DF9" s="157"/>
      <c r="DH9" s="165"/>
      <c r="DI9" s="165"/>
      <c r="DJ9" s="158"/>
      <c r="DK9" s="199"/>
      <c r="DL9" s="200"/>
      <c r="DM9" s="167"/>
      <c r="DN9" s="168"/>
      <c r="DO9" s="168"/>
      <c r="DP9" s="168"/>
      <c r="DQ9" s="158"/>
      <c r="DS9" s="169"/>
      <c r="DT9" s="158"/>
      <c r="DU9" s="35"/>
      <c r="DV9" s="164"/>
      <c r="DW9" s="2"/>
      <c r="DX9" s="171"/>
      <c r="EA9" s="157"/>
      <c r="EC9" s="165"/>
      <c r="ED9" s="165"/>
      <c r="EE9" s="158"/>
      <c r="EF9" s="199"/>
      <c r="EG9" s="200"/>
      <c r="EH9" s="167"/>
      <c r="EI9" s="168"/>
      <c r="EJ9" s="168"/>
      <c r="EK9" s="168"/>
      <c r="EL9" s="158"/>
      <c r="EN9" s="169"/>
      <c r="EO9" s="158"/>
      <c r="EP9" s="35"/>
      <c r="EQ9" s="164"/>
      <c r="ER9" s="2"/>
      <c r="ES9" s="171"/>
      <c r="EV9" s="157"/>
      <c r="EX9" s="165"/>
      <c r="EY9" s="165"/>
      <c r="EZ9" s="158"/>
      <c r="FA9" s="199"/>
      <c r="FB9" s="200"/>
      <c r="FC9" s="167"/>
      <c r="FD9" s="168"/>
      <c r="FE9" s="168"/>
      <c r="FF9" s="168"/>
      <c r="FG9" s="158"/>
      <c r="FI9" s="169"/>
      <c r="FJ9" s="158"/>
      <c r="FK9" s="35"/>
      <c r="FL9" s="164"/>
      <c r="FM9" s="2"/>
      <c r="FN9" s="171"/>
      <c r="FQ9" s="157"/>
      <c r="FS9" s="165"/>
      <c r="FT9" s="165"/>
      <c r="FU9" s="158"/>
      <c r="FV9" s="199"/>
      <c r="FW9" s="200"/>
      <c r="FX9" s="167"/>
      <c r="FY9" s="168"/>
      <c r="FZ9" s="168"/>
      <c r="GA9" s="168"/>
      <c r="GB9" s="158"/>
      <c r="GD9" s="169"/>
      <c r="GE9" s="158"/>
      <c r="GF9" s="35"/>
      <c r="GG9" s="164"/>
      <c r="GH9" s="2"/>
      <c r="GI9" s="171"/>
      <c r="GL9" s="157"/>
      <c r="GN9" s="165"/>
      <c r="GO9" s="165"/>
      <c r="GP9" s="158"/>
      <c r="GQ9" s="199"/>
      <c r="GR9" s="200"/>
      <c r="GS9" s="167"/>
      <c r="GT9" s="168"/>
      <c r="GU9" s="168"/>
      <c r="GV9" s="168"/>
      <c r="GW9" s="158"/>
      <c r="GY9" s="169"/>
      <c r="GZ9" s="158"/>
      <c r="HA9" s="35"/>
      <c r="HB9" s="164"/>
      <c r="HC9" s="2"/>
      <c r="HD9" s="171"/>
      <c r="HG9" s="157"/>
      <c r="HI9" s="165"/>
      <c r="HJ9" s="165"/>
      <c r="HK9" s="158"/>
      <c r="HL9" s="199"/>
      <c r="HM9" s="200"/>
      <c r="HN9" s="167"/>
      <c r="HO9" s="168"/>
      <c r="HP9" s="168"/>
      <c r="HQ9" s="168"/>
      <c r="HR9" s="158"/>
      <c r="HT9" s="169"/>
      <c r="HU9" s="158"/>
      <c r="HV9" s="35"/>
      <c r="HW9" s="164"/>
      <c r="HX9" s="2"/>
      <c r="HY9" s="171"/>
      <c r="IB9" s="157"/>
      <c r="ID9" s="165"/>
      <c r="IE9" s="165"/>
      <c r="IF9" s="158"/>
      <c r="IG9" s="199"/>
      <c r="IH9" s="200"/>
      <c r="II9" s="167"/>
      <c r="IJ9" s="168"/>
      <c r="IK9" s="168"/>
      <c r="IL9" s="168"/>
      <c r="IM9" s="158"/>
      <c r="IO9" s="169"/>
      <c r="IP9" s="158"/>
      <c r="IQ9" s="35"/>
      <c r="IR9" s="164"/>
      <c r="IS9" s="2"/>
      <c r="IT9" s="171"/>
      <c r="IW9" s="157"/>
      <c r="IY9" s="165"/>
      <c r="IZ9" s="165"/>
      <c r="JA9" s="158"/>
      <c r="JB9" s="199"/>
      <c r="JC9" s="200"/>
      <c r="JD9" s="167"/>
      <c r="JE9" s="168"/>
      <c r="JF9" s="168"/>
      <c r="JG9" s="168"/>
      <c r="JH9" s="158"/>
      <c r="JJ9" s="169"/>
      <c r="JK9" s="158"/>
      <c r="JL9" s="35"/>
      <c r="JM9" s="164"/>
      <c r="JN9" s="2"/>
      <c r="JO9" s="171"/>
      <c r="JR9" s="157"/>
      <c r="JT9" s="165"/>
      <c r="JU9" s="165"/>
      <c r="JV9" s="158"/>
      <c r="JW9" s="199"/>
      <c r="JX9" s="200"/>
      <c r="JY9" s="167"/>
      <c r="JZ9" s="168"/>
      <c r="KA9" s="168"/>
      <c r="KB9" s="168"/>
      <c r="KC9" s="158"/>
      <c r="KE9" s="169"/>
      <c r="KF9" s="158"/>
      <c r="KG9" s="35"/>
      <c r="KH9" s="164"/>
      <c r="KI9" s="2"/>
      <c r="KJ9" s="171"/>
      <c r="KM9" s="157"/>
      <c r="KO9" s="165"/>
      <c r="KP9" s="165"/>
      <c r="KQ9" s="158"/>
      <c r="KR9" s="199"/>
      <c r="KS9" s="200"/>
      <c r="KT9" s="167"/>
      <c r="KU9" s="168"/>
      <c r="KV9" s="168"/>
      <c r="KW9" s="168"/>
      <c r="KX9" s="158"/>
      <c r="KZ9" s="169"/>
      <c r="LA9" s="158"/>
      <c r="LB9" s="35"/>
      <c r="LC9" s="164"/>
      <c r="LD9" s="2"/>
      <c r="LE9" s="171"/>
      <c r="LH9" s="157"/>
      <c r="LJ9" s="165"/>
      <c r="LK9" s="165"/>
      <c r="LL9" s="158"/>
      <c r="LM9" s="199"/>
      <c r="LN9" s="200"/>
      <c r="LO9" s="167"/>
      <c r="LP9" s="168"/>
      <c r="LQ9" s="168"/>
      <c r="LR9" s="168"/>
      <c r="LS9" s="158"/>
      <c r="LU9" s="169"/>
      <c r="LV9" s="158"/>
      <c r="LW9" s="35"/>
      <c r="LX9" s="164"/>
      <c r="LY9" s="2"/>
      <c r="LZ9" s="171"/>
      <c r="MC9" s="157"/>
      <c r="ME9" s="165"/>
      <c r="MF9" s="165"/>
      <c r="MG9" s="158"/>
      <c r="MH9" s="199"/>
      <c r="MI9" s="200"/>
      <c r="MJ9" s="167"/>
      <c r="MK9" s="168"/>
      <c r="ML9" s="168"/>
      <c r="MM9" s="168"/>
      <c r="MN9" s="158"/>
      <c r="MP9" s="169"/>
      <c r="MQ9" s="158"/>
      <c r="MR9" s="35"/>
      <c r="MS9" s="164"/>
      <c r="MT9" s="2"/>
      <c r="MU9" s="171"/>
      <c r="MX9" s="157"/>
      <c r="MZ9" s="165"/>
      <c r="NA9" s="165"/>
      <c r="NB9" s="158"/>
      <c r="NC9" s="199"/>
      <c r="ND9" s="200"/>
      <c r="NE9" s="167"/>
      <c r="NF9" s="168"/>
      <c r="NG9" s="168"/>
      <c r="NH9" s="168"/>
      <c r="NI9" s="158"/>
      <c r="NK9" s="169"/>
      <c r="NL9" s="158"/>
      <c r="NM9" s="35"/>
      <c r="NN9" s="164"/>
      <c r="NO9" s="2"/>
      <c r="NP9" s="171"/>
      <c r="NS9" s="157"/>
      <c r="NU9" s="165"/>
      <c r="NV9" s="165"/>
      <c r="NW9" s="158"/>
      <c r="NX9" s="199"/>
      <c r="NY9" s="200"/>
      <c r="NZ9" s="167"/>
      <c r="OA9" s="168"/>
      <c r="OB9" s="168"/>
      <c r="OC9" s="168"/>
      <c r="OD9" s="158"/>
      <c r="OF9" s="169"/>
      <c r="OG9" s="158"/>
      <c r="OH9" s="35"/>
      <c r="OI9" s="164"/>
      <c r="OJ9" s="2"/>
      <c r="OK9" s="171"/>
      <c r="ON9" s="157"/>
      <c r="OP9" s="165"/>
      <c r="OQ9" s="165"/>
      <c r="OR9" s="158"/>
      <c r="OS9" s="199"/>
      <c r="OT9" s="200"/>
      <c r="OU9" s="167"/>
      <c r="OV9" s="168"/>
      <c r="OW9" s="168"/>
      <c r="OX9" s="168"/>
      <c r="OY9" s="158"/>
      <c r="PA9" s="169"/>
      <c r="PB9" s="158"/>
      <c r="PC9" s="35"/>
      <c r="PD9" s="164"/>
      <c r="PE9" s="2"/>
      <c r="PF9" s="171"/>
      <c r="PI9" s="157"/>
      <c r="PK9" s="165"/>
      <c r="PL9" s="165"/>
      <c r="PM9" s="158"/>
      <c r="PN9" s="199"/>
      <c r="PO9" s="200"/>
      <c r="PP9" s="167"/>
      <c r="PQ9" s="168"/>
      <c r="PR9" s="168"/>
      <c r="PS9" s="168"/>
      <c r="PT9" s="158"/>
      <c r="PV9" s="169"/>
      <c r="PW9" s="158"/>
      <c r="PX9" s="35"/>
      <c r="PY9" s="164"/>
      <c r="PZ9" s="2"/>
      <c r="QA9" s="171"/>
      <c r="QD9" s="157"/>
      <c r="QF9" s="165"/>
      <c r="QG9" s="165"/>
      <c r="QH9" s="158"/>
      <c r="QI9" s="199"/>
      <c r="QJ9" s="200"/>
      <c r="QK9" s="167"/>
      <c r="QL9" s="168"/>
      <c r="QM9" s="168"/>
      <c r="QN9" s="168"/>
      <c r="QO9" s="158"/>
      <c r="QQ9" s="169"/>
      <c r="QR9" s="158"/>
      <c r="QS9" s="35"/>
      <c r="QT9" s="164"/>
      <c r="QU9" s="2"/>
      <c r="QV9" s="171"/>
      <c r="QY9" s="157"/>
      <c r="RA9" s="165"/>
      <c r="RB9" s="165"/>
      <c r="RC9" s="158"/>
      <c r="RD9" s="199"/>
      <c r="RE9" s="200"/>
      <c r="RF9" s="167"/>
      <c r="RG9" s="168"/>
      <c r="RH9" s="168"/>
      <c r="RI9" s="168"/>
      <c r="RJ9" s="158"/>
      <c r="RL9" s="169"/>
      <c r="RM9" s="158"/>
      <c r="RN9" s="35"/>
      <c r="RO9" s="164"/>
      <c r="RP9" s="2"/>
      <c r="RQ9" s="171"/>
      <c r="RT9" s="157"/>
      <c r="RV9" s="165"/>
      <c r="RW9" s="165"/>
      <c r="RX9" s="158"/>
      <c r="RY9" s="199"/>
      <c r="RZ9" s="200"/>
      <c r="SA9" s="167"/>
      <c r="SB9" s="168"/>
      <c r="SC9" s="168"/>
      <c r="SD9" s="168"/>
      <c r="SE9" s="158"/>
      <c r="SG9" s="169"/>
      <c r="SH9" s="158"/>
      <c r="SI9" s="35"/>
      <c r="SJ9" s="164"/>
      <c r="SK9" s="2"/>
      <c r="SL9" s="171"/>
      <c r="SO9" s="157"/>
      <c r="SQ9" s="165"/>
      <c r="SR9" s="165"/>
      <c r="SS9" s="158"/>
      <c r="ST9" s="199"/>
      <c r="SU9" s="200"/>
      <c r="SV9" s="167"/>
      <c r="SW9" s="168"/>
      <c r="SX9" s="168"/>
      <c r="SY9" s="168"/>
      <c r="SZ9" s="158"/>
      <c r="TB9" s="169"/>
      <c r="TC9" s="158"/>
      <c r="TD9" s="35"/>
      <c r="TE9" s="164"/>
      <c r="TF9" s="2"/>
      <c r="TG9" s="171"/>
      <c r="TJ9" s="157"/>
      <c r="TL9" s="165"/>
      <c r="TM9" s="165"/>
      <c r="TN9" s="158"/>
      <c r="TO9" s="199"/>
      <c r="TP9" s="200"/>
      <c r="TQ9" s="167"/>
      <c r="TR9" s="168"/>
      <c r="TS9" s="168"/>
      <c r="TT9" s="168"/>
      <c r="TU9" s="158"/>
      <c r="TW9" s="169"/>
      <c r="TX9" s="158"/>
      <c r="TY9" s="35"/>
      <c r="TZ9" s="164"/>
      <c r="UA9" s="2"/>
      <c r="UB9" s="171"/>
      <c r="UE9" s="157"/>
      <c r="UG9" s="165"/>
      <c r="UH9" s="165"/>
      <c r="UI9" s="158"/>
      <c r="UJ9" s="199"/>
      <c r="UK9" s="200"/>
      <c r="UL9" s="167"/>
      <c r="UM9" s="168"/>
      <c r="UN9" s="168"/>
      <c r="UO9" s="168"/>
      <c r="UP9" s="158"/>
      <c r="UR9" s="169"/>
      <c r="US9" s="158"/>
      <c r="UT9" s="35"/>
      <c r="UU9" s="164"/>
      <c r="UV9" s="2"/>
      <c r="UW9" s="171"/>
      <c r="UZ9" s="157"/>
      <c r="VB9" s="165"/>
      <c r="VC9" s="165"/>
      <c r="VD9" s="158"/>
      <c r="VE9" s="199"/>
      <c r="VF9" s="200"/>
      <c r="VG9" s="167"/>
      <c r="VH9" s="168"/>
      <c r="VI9" s="168"/>
      <c r="VJ9" s="168"/>
      <c r="VK9" s="158"/>
      <c r="VM9" s="169"/>
      <c r="VN9" s="158"/>
      <c r="VO9" s="35"/>
      <c r="VP9" s="164"/>
      <c r="VQ9" s="2"/>
      <c r="VR9" s="171"/>
      <c r="VU9" s="157"/>
      <c r="VW9" s="165"/>
      <c r="VX9" s="165"/>
      <c r="VY9" s="158"/>
      <c r="VZ9" s="199"/>
      <c r="WA9" s="200"/>
      <c r="WB9" s="167"/>
      <c r="WC9" s="168"/>
      <c r="WD9" s="168"/>
      <c r="WE9" s="168"/>
      <c r="WF9" s="158"/>
      <c r="WH9" s="169"/>
      <c r="WI9" s="158"/>
      <c r="WJ9" s="35"/>
      <c r="WK9" s="164"/>
      <c r="WL9" s="2"/>
      <c r="WM9" s="171"/>
      <c r="WP9" s="157"/>
      <c r="WR9" s="165"/>
      <c r="WS9" s="165"/>
      <c r="WT9" s="158"/>
      <c r="WU9" s="199"/>
      <c r="WV9" s="200"/>
      <c r="WW9" s="167"/>
      <c r="WX9" s="168"/>
      <c r="WY9" s="168"/>
      <c r="WZ9" s="168"/>
      <c r="XA9" s="158"/>
      <c r="XC9" s="169"/>
      <c r="XD9" s="158"/>
      <c r="XE9" s="35"/>
      <c r="XF9" s="164"/>
      <c r="XG9" s="2"/>
      <c r="XH9" s="171"/>
      <c r="XK9" s="157"/>
      <c r="XM9" s="165"/>
      <c r="XN9" s="165"/>
      <c r="XO9" s="158"/>
      <c r="XP9" s="199"/>
      <c r="XQ9" s="200"/>
      <c r="XR9" s="167"/>
      <c r="XS9" s="168"/>
      <c r="XT9" s="168"/>
      <c r="XU9" s="168"/>
      <c r="XV9" s="158"/>
      <c r="XX9" s="169"/>
      <c r="XY9" s="158"/>
      <c r="XZ9" s="35"/>
      <c r="YA9" s="164"/>
      <c r="YB9" s="2"/>
      <c r="YC9" s="171"/>
      <c r="YF9" s="157"/>
      <c r="YH9" s="165"/>
      <c r="YI9" s="165"/>
      <c r="YJ9" s="158"/>
      <c r="YK9" s="199"/>
      <c r="YL9" s="200"/>
      <c r="YM9" s="167"/>
      <c r="YN9" s="168"/>
      <c r="YO9" s="168"/>
      <c r="YP9" s="168"/>
      <c r="YQ9" s="158"/>
      <c r="YS9" s="169"/>
      <c r="YT9" s="158"/>
      <c r="YU9" s="35"/>
      <c r="YV9" s="164"/>
      <c r="YW9" s="2"/>
      <c r="YX9" s="171"/>
      <c r="ZA9" s="157"/>
      <c r="ZC9" s="165"/>
      <c r="ZD9" s="165"/>
      <c r="ZE9" s="158"/>
      <c r="ZF9" s="199"/>
      <c r="ZG9" s="200"/>
      <c r="ZH9" s="167"/>
      <c r="ZI9" s="168"/>
      <c r="ZJ9" s="168"/>
      <c r="ZK9" s="168"/>
      <c r="ZL9" s="158"/>
      <c r="ZN9" s="169"/>
      <c r="ZO9" s="158"/>
      <c r="ZP9" s="35"/>
      <c r="ZQ9" s="164"/>
      <c r="ZR9" s="2"/>
      <c r="ZS9" s="171"/>
      <c r="ZV9" s="157"/>
      <c r="ZX9" s="165"/>
      <c r="ZY9" s="165"/>
      <c r="ZZ9" s="158"/>
      <c r="AAA9" s="199"/>
      <c r="AAB9" s="200"/>
      <c r="AAC9" s="167"/>
      <c r="AAD9" s="168"/>
      <c r="AAE9" s="168"/>
      <c r="AAF9" s="168"/>
      <c r="AAG9" s="158"/>
      <c r="AAI9" s="169"/>
      <c r="AAJ9" s="158"/>
      <c r="AAK9" s="35"/>
      <c r="AAL9" s="164"/>
      <c r="AAM9" s="2"/>
      <c r="AAN9" s="171"/>
      <c r="AAQ9" s="157"/>
      <c r="AAS9" s="165"/>
      <c r="AAT9" s="165"/>
      <c r="AAU9" s="158"/>
      <c r="AAV9" s="199"/>
      <c r="AAW9" s="200"/>
      <c r="AAX9" s="167"/>
      <c r="AAY9" s="168"/>
      <c r="AAZ9" s="168"/>
      <c r="ABA9" s="168"/>
      <c r="ABB9" s="158"/>
      <c r="ABD9" s="169"/>
      <c r="ABE9" s="158"/>
      <c r="ABF9" s="35"/>
      <c r="ABG9" s="164"/>
      <c r="ABH9" s="2"/>
      <c r="ABI9" s="171"/>
      <c r="ABL9" s="157"/>
      <c r="ABN9" s="165"/>
      <c r="ABO9" s="165"/>
      <c r="ABP9" s="158"/>
      <c r="ABQ9" s="199"/>
      <c r="ABR9" s="200"/>
      <c r="ABS9" s="167"/>
      <c r="ABT9" s="168"/>
      <c r="ABU9" s="168"/>
      <c r="ABV9" s="168"/>
      <c r="ABW9" s="158"/>
      <c r="ABY9" s="169"/>
      <c r="ABZ9" s="158"/>
      <c r="ACA9" s="35"/>
      <c r="ACB9" s="164"/>
      <c r="ACC9" s="2"/>
      <c r="ACD9" s="171"/>
      <c r="ACG9" s="157"/>
      <c r="ACI9" s="165"/>
      <c r="ACJ9" s="165"/>
      <c r="ACK9" s="158"/>
      <c r="ACL9" s="199"/>
      <c r="ACM9" s="200"/>
      <c r="ACN9" s="167"/>
      <c r="ACO9" s="168"/>
      <c r="ACP9" s="168"/>
      <c r="ACQ9" s="168"/>
      <c r="ACR9" s="158"/>
      <c r="ACT9" s="169"/>
      <c r="ACU9" s="158"/>
      <c r="ACV9" s="35"/>
      <c r="ACW9" s="164"/>
      <c r="ACX9" s="2"/>
      <c r="ACY9" s="171"/>
      <c r="ADB9" s="157"/>
      <c r="ADD9" s="165"/>
      <c r="ADE9" s="165"/>
      <c r="ADF9" s="158"/>
      <c r="ADG9" s="199"/>
      <c r="ADH9" s="200"/>
      <c r="ADI9" s="167"/>
      <c r="ADJ9" s="168"/>
      <c r="ADK9" s="168"/>
      <c r="ADL9" s="168"/>
      <c r="ADM9" s="158"/>
      <c r="ADO9" s="169"/>
      <c r="ADP9" s="158"/>
      <c r="ADQ9" s="35"/>
      <c r="ADR9" s="164"/>
      <c r="ADS9" s="2"/>
      <c r="ADT9" s="171"/>
      <c r="ADW9" s="157"/>
      <c r="ADY9" s="165"/>
      <c r="ADZ9" s="165"/>
      <c r="AEA9" s="158"/>
      <c r="AEB9" s="199"/>
      <c r="AEC9" s="200"/>
      <c r="AED9" s="167"/>
      <c r="AEE9" s="168"/>
      <c r="AEF9" s="168"/>
      <c r="AEG9" s="168"/>
      <c r="AEH9" s="158"/>
      <c r="AEJ9" s="169"/>
      <c r="AEK9" s="158"/>
      <c r="AEL9" s="35"/>
      <c r="AEM9" s="164"/>
      <c r="AEN9" s="2"/>
      <c r="AEO9" s="171"/>
      <c r="AER9" s="157"/>
      <c r="AET9" s="165"/>
      <c r="AEU9" s="165"/>
      <c r="AEV9" s="158"/>
      <c r="AEW9" s="199"/>
      <c r="AEX9" s="200"/>
      <c r="AEY9" s="167"/>
      <c r="AEZ9" s="168"/>
      <c r="AFA9" s="168"/>
      <c r="AFB9" s="168"/>
      <c r="AFC9" s="158"/>
      <c r="AFE9" s="169"/>
      <c r="AFF9" s="158"/>
      <c r="AFG9" s="35"/>
      <c r="AFH9" s="164"/>
      <c r="AFI9" s="2"/>
      <c r="AFJ9" s="171"/>
      <c r="AFM9" s="157"/>
      <c r="AFO9" s="165"/>
      <c r="AFP9" s="165"/>
      <c r="AFQ9" s="158"/>
      <c r="AFR9" s="199"/>
      <c r="AFS9" s="200"/>
      <c r="AFT9" s="167"/>
      <c r="AFU9" s="168"/>
      <c r="AFV9" s="168"/>
      <c r="AFW9" s="168"/>
      <c r="AFX9" s="158"/>
      <c r="AFZ9" s="169"/>
      <c r="AGA9" s="158"/>
      <c r="AGB9" s="35"/>
      <c r="AGC9" s="164"/>
      <c r="AGD9" s="2"/>
      <c r="AGE9" s="171"/>
      <c r="AGH9" s="157"/>
      <c r="AGJ9" s="165"/>
      <c r="AGK9" s="165"/>
      <c r="AGL9" s="158"/>
      <c r="AGM9" s="199"/>
      <c r="AGN9" s="200"/>
      <c r="AGO9" s="167"/>
      <c r="AGP9" s="168"/>
      <c r="AGQ9" s="168"/>
      <c r="AGR9" s="168"/>
      <c r="AGS9" s="158"/>
      <c r="AGU9" s="169"/>
      <c r="AGV9" s="158"/>
      <c r="AGW9" s="35"/>
      <c r="AGX9" s="164"/>
      <c r="AGY9" s="2"/>
      <c r="AGZ9" s="171"/>
      <c r="AHC9" s="157"/>
      <c r="AHE9" s="165"/>
      <c r="AHF9" s="165"/>
      <c r="AHG9" s="158"/>
      <c r="AHH9" s="199"/>
      <c r="AHI9" s="200"/>
      <c r="AHJ9" s="167"/>
      <c r="AHK9" s="168"/>
      <c r="AHL9" s="168"/>
      <c r="AHM9" s="168"/>
      <c r="AHN9" s="158"/>
      <c r="AHP9" s="169"/>
      <c r="AHQ9" s="158"/>
      <c r="AHR9" s="35"/>
      <c r="AHS9" s="164"/>
      <c r="AHT9" s="2"/>
      <c r="AHU9" s="171"/>
      <c r="AHX9" s="157"/>
      <c r="AHZ9" s="165"/>
      <c r="AIA9" s="165"/>
      <c r="AIB9" s="158"/>
      <c r="AIC9" s="199"/>
      <c r="AID9" s="200"/>
      <c r="AIE9" s="167"/>
      <c r="AIF9" s="168"/>
      <c r="AIG9" s="168"/>
      <c r="AIH9" s="168"/>
      <c r="AII9" s="158"/>
      <c r="AIK9" s="169"/>
      <c r="AIL9" s="158"/>
      <c r="AIM9" s="35"/>
      <c r="AIN9" s="164"/>
      <c r="AIO9" s="2"/>
      <c r="AIP9" s="171"/>
      <c r="AIS9" s="157"/>
      <c r="AIU9" s="165"/>
      <c r="AIV9" s="165"/>
      <c r="AIW9" s="158"/>
      <c r="AIX9" s="199"/>
      <c r="AIY9" s="200"/>
      <c r="AIZ9" s="167"/>
      <c r="AJA9" s="168"/>
      <c r="AJB9" s="168"/>
      <c r="AJC9" s="168"/>
      <c r="AJD9" s="158"/>
      <c r="AJF9" s="169"/>
      <c r="AJG9" s="158"/>
      <c r="AJH9" s="35"/>
      <c r="AJI9" s="164"/>
      <c r="AJJ9" s="2"/>
      <c r="AJK9" s="171"/>
      <c r="AJN9" s="157"/>
      <c r="AJP9" s="165"/>
      <c r="AJQ9" s="165"/>
      <c r="AJR9" s="158"/>
      <c r="AJS9" s="199"/>
      <c r="AJT9" s="200"/>
      <c r="AJU9" s="167"/>
      <c r="AJV9" s="168"/>
      <c r="AJW9" s="168"/>
      <c r="AJX9" s="168"/>
      <c r="AJY9" s="158"/>
      <c r="AKA9" s="169"/>
      <c r="AKB9" s="158"/>
      <c r="AKC9" s="35"/>
      <c r="AKD9" s="164"/>
      <c r="AKE9" s="2"/>
      <c r="AKF9" s="171"/>
      <c r="AKI9" s="157"/>
      <c r="AKK9" s="165"/>
      <c r="AKL9" s="165"/>
      <c r="AKM9" s="158"/>
      <c r="AKN9" s="199"/>
      <c r="AKO9" s="200"/>
      <c r="AKP9" s="167"/>
      <c r="AKQ9" s="168"/>
      <c r="AKR9" s="168"/>
      <c r="AKS9" s="168"/>
      <c r="AKT9" s="158"/>
      <c r="AKV9" s="169"/>
      <c r="AKW9" s="158"/>
      <c r="AKX9" s="35"/>
      <c r="AKY9" s="164"/>
      <c r="AKZ9" s="2"/>
      <c r="ALA9" s="171"/>
      <c r="ALD9" s="157"/>
      <c r="ALF9" s="165"/>
      <c r="ALG9" s="165"/>
      <c r="ALH9" s="158"/>
      <c r="ALI9" s="199"/>
      <c r="ALJ9" s="200"/>
      <c r="ALK9" s="167"/>
      <c r="ALL9" s="168"/>
      <c r="ALM9" s="168"/>
      <c r="ALN9" s="168"/>
      <c r="ALO9" s="158"/>
      <c r="ALQ9" s="169"/>
      <c r="ALR9" s="158"/>
      <c r="ALS9" s="35"/>
      <c r="ALT9" s="164"/>
      <c r="ALU9" s="2"/>
      <c r="ALV9" s="171"/>
      <c r="ALY9" s="157"/>
      <c r="AMA9" s="165"/>
      <c r="AMB9" s="165"/>
      <c r="AMC9" s="158"/>
      <c r="AMD9" s="199"/>
      <c r="AME9" s="200"/>
      <c r="AMF9" s="167"/>
      <c r="AMG9" s="168"/>
      <c r="AMH9" s="168"/>
      <c r="AMI9" s="168"/>
      <c r="AMJ9" s="158"/>
    </row>
    <row r="10" customFormat="false" ht="12.8" hidden="false" customHeight="false" outlineLevel="0" collapsed="false">
      <c r="A10" s="2" t="n">
        <v>120635</v>
      </c>
      <c r="B10" s="2" t="n">
        <v>7794</v>
      </c>
      <c r="C10" s="206" t="n">
        <v>42922</v>
      </c>
      <c r="D10" s="5" t="s">
        <v>22</v>
      </c>
      <c r="E10" s="5" t="s">
        <v>80</v>
      </c>
      <c r="F10" s="157" t="s">
        <v>81</v>
      </c>
      <c r="G10" s="5" t="s">
        <v>112</v>
      </c>
      <c r="H10" s="165" t="s">
        <v>4592</v>
      </c>
      <c r="I10" s="165" t="s">
        <v>27</v>
      </c>
      <c r="J10" s="158" t="n">
        <v>70.38</v>
      </c>
      <c r="K10" s="199" t="n">
        <v>530000</v>
      </c>
      <c r="L10" s="200" t="n">
        <f aca="false">K10/1.23*0.23</f>
        <v>99105.6910569106</v>
      </c>
      <c r="M10" s="199" t="n">
        <f aca="false">K10-L10</f>
        <v>430894.30894309</v>
      </c>
      <c r="N10" s="200" t="n">
        <f aca="false">M10/J10</f>
        <v>6122.39711484924</v>
      </c>
      <c r="O10" s="168" t="s">
        <v>4593</v>
      </c>
      <c r="P10" s="168" t="n">
        <f aca="false">20000/1.23</f>
        <v>16260.162601626</v>
      </c>
      <c r="Q10" s="168" t="n">
        <f aca="false">M10+P10</f>
        <v>447154.471544715</v>
      </c>
      <c r="R10" s="168" t="n">
        <f aca="false">ROUND(Q10/J10, 2)</f>
        <v>6353.43</v>
      </c>
      <c r="S10" s="5" t="s">
        <v>4594</v>
      </c>
      <c r="T10" s="158" t="s">
        <v>29</v>
      </c>
      <c r="U10" s="35" t="s">
        <v>30</v>
      </c>
      <c r="V10" s="47" t="s">
        <v>4568</v>
      </c>
      <c r="W10" s="172" t="s">
        <v>31</v>
      </c>
      <c r="X10" s="196" t="n">
        <v>42995</v>
      </c>
    </row>
    <row r="11" customFormat="false" ht="12.8" hidden="false" customHeight="false" outlineLevel="0" collapsed="false">
      <c r="A11" s="2" t="n">
        <v>122025</v>
      </c>
      <c r="B11" s="2" t="n">
        <v>7383</v>
      </c>
      <c r="C11" s="206" t="n">
        <v>42898</v>
      </c>
      <c r="D11" s="5" t="s">
        <v>22</v>
      </c>
      <c r="E11" s="5" t="s">
        <v>198</v>
      </c>
      <c r="F11" s="157" t="s">
        <v>199</v>
      </c>
      <c r="G11" s="5" t="s">
        <v>912</v>
      </c>
      <c r="H11" s="165" t="s">
        <v>4595</v>
      </c>
      <c r="I11" s="165" t="s">
        <v>27</v>
      </c>
      <c r="J11" s="158" t="n">
        <v>90.08</v>
      </c>
      <c r="K11" s="199" t="n">
        <v>609391.2</v>
      </c>
      <c r="L11" s="200" t="n">
        <f aca="false">K11/1.23*0.23</f>
        <v>113951.2</v>
      </c>
      <c r="M11" s="199" t="n">
        <f aca="false">K11-L11</f>
        <v>495440</v>
      </c>
      <c r="N11" s="200" t="n">
        <f aca="false">M11/J11</f>
        <v>5500</v>
      </c>
      <c r="O11" s="168"/>
      <c r="Q11" s="168" t="n">
        <f aca="false">M11+P11</f>
        <v>495440</v>
      </c>
      <c r="R11" s="168" t="n">
        <f aca="false">ROUND(Q11/J11, 2)</f>
        <v>5500</v>
      </c>
      <c r="S11" s="158" t="s">
        <v>4596</v>
      </c>
      <c r="T11" s="158" t="s">
        <v>29</v>
      </c>
      <c r="U11" s="35" t="s">
        <v>30</v>
      </c>
      <c r="V11" s="47" t="s">
        <v>4568</v>
      </c>
      <c r="W11" s="172" t="s">
        <v>31</v>
      </c>
      <c r="X11" s="196" t="n">
        <v>42995</v>
      </c>
    </row>
    <row r="12" customFormat="false" ht="12.8" hidden="false" customHeight="false" outlineLevel="0" collapsed="false">
      <c r="A12" s="2" t="n">
        <v>123153</v>
      </c>
      <c r="B12" s="2" t="n">
        <v>4794</v>
      </c>
      <c r="C12" s="206" t="n">
        <v>42916</v>
      </c>
      <c r="D12" s="5" t="s">
        <v>22</v>
      </c>
      <c r="E12" s="5" t="s">
        <v>3085</v>
      </c>
      <c r="F12" s="157" t="s">
        <v>323</v>
      </c>
      <c r="G12" s="5" t="s">
        <v>715</v>
      </c>
      <c r="H12" s="165" t="s">
        <v>4597</v>
      </c>
      <c r="I12" s="165" t="s">
        <v>27</v>
      </c>
      <c r="J12" s="158" t="n">
        <v>63.14</v>
      </c>
      <c r="K12" s="199" t="n">
        <v>884251</v>
      </c>
      <c r="L12" s="200" t="n">
        <f aca="false">K12/1.23*0.23</f>
        <v>165347.74796748</v>
      </c>
      <c r="M12" s="199" t="n">
        <f aca="false">K12-L12</f>
        <v>718903.25203252</v>
      </c>
      <c r="N12" s="200" t="n">
        <f aca="false">M12/J12</f>
        <v>11385.8608177466</v>
      </c>
      <c r="O12" s="168"/>
      <c r="Q12" s="168" t="n">
        <f aca="false">M12+P12</f>
        <v>718903.25203252</v>
      </c>
      <c r="R12" s="168" t="n">
        <f aca="false">ROUND(Q12/J12, 2)</f>
        <v>11385.86</v>
      </c>
      <c r="S12" s="158" t="s">
        <v>4598</v>
      </c>
      <c r="T12" s="158" t="s">
        <v>29</v>
      </c>
      <c r="U12" s="35" t="s">
        <v>30</v>
      </c>
      <c r="V12" s="47" t="s">
        <v>4568</v>
      </c>
      <c r="W12" s="172" t="s">
        <v>31</v>
      </c>
      <c r="X12" s="196" t="n">
        <v>42995</v>
      </c>
    </row>
    <row r="13" customFormat="false" ht="12.8" hidden="false" customHeight="false" outlineLevel="0" collapsed="false">
      <c r="A13" s="2" t="n">
        <v>123520</v>
      </c>
      <c r="B13" s="2" t="n">
        <v>4787</v>
      </c>
      <c r="C13" s="206" t="n">
        <v>42916</v>
      </c>
      <c r="D13" s="5" t="s">
        <v>22</v>
      </c>
      <c r="E13" s="5" t="s">
        <v>3085</v>
      </c>
      <c r="F13" s="157" t="s">
        <v>323</v>
      </c>
      <c r="G13" s="5" t="s">
        <v>715</v>
      </c>
      <c r="H13" s="165" t="s">
        <v>4599</v>
      </c>
      <c r="I13" s="165" t="s">
        <v>27</v>
      </c>
      <c r="J13" s="158" t="n">
        <v>81.86</v>
      </c>
      <c r="K13" s="199" t="n">
        <v>1125749</v>
      </c>
      <c r="L13" s="200" t="n">
        <f aca="false">K13/1.23*0.23</f>
        <v>210505.910569106</v>
      </c>
      <c r="M13" s="199" t="n">
        <f aca="false">K13-L13</f>
        <v>915243.089430894</v>
      </c>
      <c r="N13" s="200" t="n">
        <f aca="false">M13/J13</f>
        <v>11180.5899026496</v>
      </c>
      <c r="O13" s="168"/>
      <c r="Q13" s="168" t="n">
        <f aca="false">M13+P13</f>
        <v>915243.089430894</v>
      </c>
      <c r="R13" s="168" t="n">
        <f aca="false">ROUND(Q13/J13, 2)</f>
        <v>11180.59</v>
      </c>
      <c r="S13" s="158" t="s">
        <v>4600</v>
      </c>
      <c r="T13" s="158" t="s">
        <v>29</v>
      </c>
      <c r="U13" s="35" t="s">
        <v>30</v>
      </c>
      <c r="V13" s="47" t="s">
        <v>4568</v>
      </c>
      <c r="W13" s="172" t="s">
        <v>31</v>
      </c>
      <c r="X13" s="196" t="n">
        <v>42995</v>
      </c>
    </row>
    <row r="14" customFormat="false" ht="12.8" hidden="false" customHeight="false" outlineLevel="0" collapsed="false">
      <c r="A14" s="2" t="n">
        <v>130103</v>
      </c>
      <c r="B14" s="2" t="n">
        <v>1615</v>
      </c>
      <c r="C14" s="206" t="n">
        <v>42931</v>
      </c>
      <c r="D14" s="5" t="s">
        <v>22</v>
      </c>
      <c r="E14" s="5" t="s">
        <v>308</v>
      </c>
      <c r="F14" s="157" t="s">
        <v>309</v>
      </c>
      <c r="G14" s="5" t="s">
        <v>304</v>
      </c>
      <c r="H14" s="165" t="s">
        <v>89</v>
      </c>
      <c r="I14" s="165" t="s">
        <v>27</v>
      </c>
      <c r="J14" s="158" t="n">
        <f aca="false">311.51-71.05</f>
        <v>240.46</v>
      </c>
      <c r="K14" s="199" t="n">
        <v>2100000</v>
      </c>
      <c r="L14" s="200" t="n">
        <f aca="false">K14/1.23*0.23</f>
        <v>392682.926829268</v>
      </c>
      <c r="M14" s="199" t="n">
        <f aca="false">K14-L14</f>
        <v>1707317.07317073</v>
      </c>
      <c r="N14" s="200" t="n">
        <f aca="false">M14/J14</f>
        <v>7100.2123977823</v>
      </c>
      <c r="O14" s="167" t="s">
        <v>4601</v>
      </c>
      <c r="Q14" s="168" t="n">
        <f aca="false">M14+P14</f>
        <v>1707317.07317073</v>
      </c>
      <c r="R14" s="168" t="n">
        <f aca="false">ROUND(Q14/J14, 2)</f>
        <v>7100.21</v>
      </c>
      <c r="S14" s="158" t="s">
        <v>4602</v>
      </c>
      <c r="T14" s="158" t="s">
        <v>29</v>
      </c>
      <c r="U14" s="35" t="s">
        <v>30</v>
      </c>
      <c r="V14" s="47" t="s">
        <v>4568</v>
      </c>
      <c r="W14" s="172" t="s">
        <v>31</v>
      </c>
      <c r="X14" s="196" t="n">
        <v>42995</v>
      </c>
      <c r="Y14" s="1" t="s">
        <v>4603</v>
      </c>
    </row>
    <row r="15" customFormat="false" ht="12.8" hidden="false" customHeight="false" outlineLevel="0" collapsed="false">
      <c r="A15" s="2" t="n">
        <v>130108</v>
      </c>
      <c r="B15" s="2" t="n">
        <v>9001</v>
      </c>
      <c r="C15" s="206" t="n">
        <v>42930</v>
      </c>
      <c r="D15" s="5" t="s">
        <v>22</v>
      </c>
      <c r="E15" s="5" t="s">
        <v>122</v>
      </c>
      <c r="F15" s="157" t="s">
        <v>805</v>
      </c>
      <c r="G15" s="5" t="s">
        <v>473</v>
      </c>
      <c r="H15" s="165" t="s">
        <v>821</v>
      </c>
      <c r="I15" s="165" t="s">
        <v>36</v>
      </c>
      <c r="J15" s="158" t="n">
        <v>110.28</v>
      </c>
      <c r="K15" s="199" t="n">
        <v>1413118</v>
      </c>
      <c r="L15" s="200" t="n">
        <f aca="false">K15/1.23*0.23</f>
        <v>264241.577235772</v>
      </c>
      <c r="M15" s="199" t="n">
        <f aca="false">K15-L15</f>
        <v>1148876.42276423</v>
      </c>
      <c r="N15" s="200" t="n">
        <f aca="false">M15/J15</f>
        <v>10417.8130464656</v>
      </c>
      <c r="O15" s="167" t="s">
        <v>205</v>
      </c>
      <c r="Q15" s="168" t="n">
        <f aca="false">M15+P15</f>
        <v>1148876.42276423</v>
      </c>
      <c r="R15" s="168" t="n">
        <f aca="false">ROUND(Q15/J15, 2)</f>
        <v>10417.81</v>
      </c>
      <c r="S15" s="158" t="s">
        <v>4604</v>
      </c>
      <c r="T15" s="158" t="s">
        <v>29</v>
      </c>
      <c r="U15" s="35" t="s">
        <v>30</v>
      </c>
      <c r="V15" s="47" t="s">
        <v>4568</v>
      </c>
      <c r="W15" s="172" t="s">
        <v>31</v>
      </c>
      <c r="X15" s="196" t="n">
        <v>42995</v>
      </c>
    </row>
    <row r="16" customFormat="false" ht="12.8" hidden="false" customHeight="false" outlineLevel="0" collapsed="false">
      <c r="A16" s="2" t="n">
        <v>130108</v>
      </c>
      <c r="B16" s="2" t="n">
        <v>9001</v>
      </c>
      <c r="C16" s="206" t="n">
        <v>42930</v>
      </c>
      <c r="D16" s="5" t="s">
        <v>22</v>
      </c>
      <c r="E16" s="5" t="s">
        <v>122</v>
      </c>
      <c r="F16" s="157" t="s">
        <v>805</v>
      </c>
      <c r="G16" s="5" t="s">
        <v>473</v>
      </c>
      <c r="H16" s="165" t="s">
        <v>489</v>
      </c>
      <c r="I16" s="165" t="s">
        <v>36</v>
      </c>
      <c r="J16" s="158" t="n">
        <v>65.65</v>
      </c>
      <c r="K16" s="199" t="n">
        <v>841233</v>
      </c>
      <c r="L16" s="200" t="n">
        <f aca="false">K16/1.23*0.23</f>
        <v>157303.731707317</v>
      </c>
      <c r="M16" s="199" t="n">
        <f aca="false">K16-L16</f>
        <v>683929.268292683</v>
      </c>
      <c r="N16" s="200" t="n">
        <f aca="false">M16/J16</f>
        <v>10417.8106365984</v>
      </c>
      <c r="O16" s="167" t="s">
        <v>4605</v>
      </c>
      <c r="P16" s="168" t="n">
        <v>80000</v>
      </c>
      <c r="Q16" s="168" t="n">
        <f aca="false">M16+P16</f>
        <v>763929.268292683</v>
      </c>
      <c r="R16" s="168" t="n">
        <f aca="false">ROUND(Q16/J16, 2)</f>
        <v>11636.39</v>
      </c>
      <c r="S16" s="158" t="s">
        <v>4606</v>
      </c>
      <c r="T16" s="158" t="s">
        <v>29</v>
      </c>
      <c r="U16" s="35" t="s">
        <v>30</v>
      </c>
      <c r="V16" s="47" t="s">
        <v>4568</v>
      </c>
      <c r="W16" s="172" t="s">
        <v>31</v>
      </c>
      <c r="X16" s="196" t="n">
        <v>42995</v>
      </c>
    </row>
    <row r="17" customFormat="false" ht="12.8" hidden="false" customHeight="false" outlineLevel="0" collapsed="false">
      <c r="A17" s="2" t="n">
        <v>130108</v>
      </c>
      <c r="B17" s="2" t="n">
        <v>9001</v>
      </c>
      <c r="C17" s="206" t="n">
        <v>42930</v>
      </c>
      <c r="D17" s="5" t="s">
        <v>22</v>
      </c>
      <c r="E17" s="5" t="s">
        <v>122</v>
      </c>
      <c r="F17" s="157" t="s">
        <v>805</v>
      </c>
      <c r="G17" s="5" t="s">
        <v>473</v>
      </c>
      <c r="H17" s="165" t="s">
        <v>457</v>
      </c>
      <c r="I17" s="165" t="s">
        <v>36</v>
      </c>
      <c r="J17" s="158" t="n">
        <f aca="false">190.31-1.48</f>
        <v>188.83</v>
      </c>
      <c r="K17" s="199" t="n">
        <v>2339650</v>
      </c>
      <c r="L17" s="200" t="n">
        <f aca="false">K17/1.23*0.23</f>
        <v>437495.528455285</v>
      </c>
      <c r="M17" s="199" t="n">
        <f aca="false">K17-L17</f>
        <v>1902154.47154472</v>
      </c>
      <c r="N17" s="200" t="n">
        <f aca="false">M17/J17</f>
        <v>10073.3700764959</v>
      </c>
      <c r="O17" s="167" t="s">
        <v>4607</v>
      </c>
      <c r="Q17" s="168" t="n">
        <f aca="false">M17+P17</f>
        <v>1902154.47154472</v>
      </c>
      <c r="R17" s="168" t="n">
        <f aca="false">ROUND(Q17/J17, 2)</f>
        <v>10073.37</v>
      </c>
      <c r="S17" s="158" t="s">
        <v>4608</v>
      </c>
      <c r="T17" s="158" t="s">
        <v>29</v>
      </c>
      <c r="U17" s="35" t="s">
        <v>30</v>
      </c>
      <c r="V17" s="47" t="s">
        <v>4568</v>
      </c>
      <c r="W17" s="172" t="s">
        <v>31</v>
      </c>
      <c r="X17" s="196" t="n">
        <v>42995</v>
      </c>
    </row>
    <row r="18" customFormat="false" ht="12.8" hidden="false" customHeight="false" outlineLevel="0" collapsed="false">
      <c r="A18" s="2" t="n">
        <v>132828</v>
      </c>
      <c r="B18" s="2" t="n">
        <v>4850</v>
      </c>
      <c r="C18" s="206" t="n">
        <v>42880</v>
      </c>
      <c r="D18" s="5" t="s">
        <v>22</v>
      </c>
      <c r="E18" s="5" t="s">
        <v>178</v>
      </c>
      <c r="F18" s="157" t="s">
        <v>219</v>
      </c>
      <c r="G18" s="5" t="s">
        <v>26</v>
      </c>
      <c r="H18" s="165" t="s">
        <v>4609</v>
      </c>
      <c r="I18" s="165" t="s">
        <v>27</v>
      </c>
      <c r="J18" s="158" t="n">
        <v>412.57</v>
      </c>
      <c r="K18" s="199" t="n">
        <v>3198000</v>
      </c>
      <c r="L18" s="200" t="n">
        <f aca="false">K18/1.23*0.23</f>
        <v>598000</v>
      </c>
      <c r="M18" s="199" t="n">
        <f aca="false">K18-L18</f>
        <v>2600000</v>
      </c>
      <c r="N18" s="200" t="n">
        <f aca="false">M18/J18</f>
        <v>6301.96087936593</v>
      </c>
      <c r="O18" s="167" t="s">
        <v>4610</v>
      </c>
      <c r="Q18" s="168" t="n">
        <f aca="false">M18+P18</f>
        <v>2600000</v>
      </c>
      <c r="R18" s="168" t="n">
        <f aca="false">ROUND(Q18/J18, 2)</f>
        <v>6301.96</v>
      </c>
      <c r="S18" s="158" t="s">
        <v>4611</v>
      </c>
      <c r="T18" s="158" t="s">
        <v>29</v>
      </c>
      <c r="U18" s="35" t="s">
        <v>30</v>
      </c>
      <c r="V18" s="47" t="s">
        <v>4568</v>
      </c>
      <c r="W18" s="172" t="s">
        <v>31</v>
      </c>
      <c r="X18" s="196" t="n">
        <v>42995</v>
      </c>
    </row>
    <row r="19" customFormat="false" ht="12.8" hidden="false" customHeight="false" outlineLevel="0" collapsed="false">
      <c r="A19" s="2" t="n">
        <v>140112</v>
      </c>
      <c r="B19" s="2" t="n">
        <v>1393</v>
      </c>
      <c r="C19" s="206" t="n">
        <v>42900</v>
      </c>
      <c r="D19" s="5" t="s">
        <v>22</v>
      </c>
      <c r="E19" s="5" t="s">
        <v>306</v>
      </c>
      <c r="F19" s="157" t="s">
        <v>138</v>
      </c>
      <c r="G19" s="5" t="s">
        <v>36</v>
      </c>
      <c r="H19" s="165" t="s">
        <v>4583</v>
      </c>
      <c r="I19" s="165" t="s">
        <v>27</v>
      </c>
      <c r="J19" s="158" t="n">
        <v>122.5</v>
      </c>
      <c r="K19" s="199" t="n">
        <v>1394820</v>
      </c>
      <c r="L19" s="200" t="n">
        <f aca="false">K19/1.23*0.23</f>
        <v>260820</v>
      </c>
      <c r="M19" s="199" t="n">
        <f aca="false">K19-L19</f>
        <v>1134000</v>
      </c>
      <c r="N19" s="200" t="n">
        <f aca="false">M19/J19</f>
        <v>9257.14285714286</v>
      </c>
      <c r="O19" s="167"/>
      <c r="Q19" s="168" t="n">
        <f aca="false">M19+P19</f>
        <v>1134000</v>
      </c>
      <c r="R19" s="168" t="n">
        <f aca="false">ROUND(Q19/J19, 2)</f>
        <v>9257.14</v>
      </c>
      <c r="S19" s="158" t="s">
        <v>4612</v>
      </c>
      <c r="T19" s="158" t="s">
        <v>29</v>
      </c>
      <c r="U19" s="35" t="s">
        <v>30</v>
      </c>
      <c r="V19" s="47" t="s">
        <v>4568</v>
      </c>
      <c r="W19" s="172" t="s">
        <v>31</v>
      </c>
      <c r="X19" s="196" t="n">
        <v>42995</v>
      </c>
    </row>
    <row r="20" customFormat="false" ht="12.8" hidden="false" customHeight="false" outlineLevel="0" collapsed="false">
      <c r="A20" s="2" t="n">
        <v>142719</v>
      </c>
      <c r="B20" s="2" t="n">
        <v>3537</v>
      </c>
      <c r="C20" s="206" t="n">
        <v>42817</v>
      </c>
      <c r="D20" s="5" t="s">
        <v>22</v>
      </c>
      <c r="E20" s="5" t="s">
        <v>122</v>
      </c>
      <c r="F20" s="157" t="s">
        <v>805</v>
      </c>
      <c r="G20" s="5" t="s">
        <v>473</v>
      </c>
      <c r="H20" s="165" t="s">
        <v>89</v>
      </c>
      <c r="I20" s="165" t="s">
        <v>36</v>
      </c>
      <c r="J20" s="158" t="n">
        <v>108.88</v>
      </c>
      <c r="K20" s="199" t="n">
        <v>1575107</v>
      </c>
      <c r="L20" s="200" t="n">
        <f aca="false">K20/1.23*0.23</f>
        <v>294532.203252033</v>
      </c>
      <c r="M20" s="199" t="n">
        <f aca="false">K20-L20</f>
        <v>1280574.79674797</v>
      </c>
      <c r="N20" s="200" t="n">
        <f aca="false">M20/J20</f>
        <v>11761.3408959218</v>
      </c>
      <c r="O20" s="167" t="s">
        <v>4613</v>
      </c>
      <c r="Q20" s="168" t="n">
        <f aca="false">M20+P20</f>
        <v>1280574.79674797</v>
      </c>
      <c r="R20" s="168" t="n">
        <f aca="false">ROUND(Q20/J20, 2)</f>
        <v>11761.34</v>
      </c>
      <c r="S20" s="158" t="s">
        <v>4614</v>
      </c>
      <c r="T20" s="158" t="s">
        <v>29</v>
      </c>
      <c r="U20" s="35" t="s">
        <v>30</v>
      </c>
      <c r="V20" s="47" t="s">
        <v>4568</v>
      </c>
      <c r="W20" s="172" t="s">
        <v>31</v>
      </c>
      <c r="X20" s="196" t="n">
        <v>42995</v>
      </c>
      <c r="Y20" s="1" t="s">
        <v>4615</v>
      </c>
    </row>
    <row r="21" customFormat="false" ht="12.8" hidden="false" customHeight="false" outlineLevel="0" collapsed="false">
      <c r="A21" s="2" t="n">
        <v>131712</v>
      </c>
      <c r="B21" s="2" t="n">
        <v>2416</v>
      </c>
      <c r="C21" s="206" t="n">
        <v>42874</v>
      </c>
      <c r="D21" s="5" t="s">
        <v>22</v>
      </c>
      <c r="E21" s="5" t="s">
        <v>284</v>
      </c>
      <c r="F21" s="157" t="s">
        <v>46</v>
      </c>
      <c r="G21" s="5" t="s">
        <v>222</v>
      </c>
      <c r="H21" s="165" t="s">
        <v>48</v>
      </c>
      <c r="I21" s="165" t="s">
        <v>27</v>
      </c>
      <c r="J21" s="158" t="n">
        <v>42.51</v>
      </c>
      <c r="K21" s="199" t="n">
        <v>1650000</v>
      </c>
      <c r="L21" s="200" t="n">
        <f aca="false">K21/1.23*0.23</f>
        <v>308536.585365854</v>
      </c>
      <c r="M21" s="199" t="n">
        <f aca="false">K21-L21</f>
        <v>1341463.41463415</v>
      </c>
      <c r="N21" s="200" t="n">
        <f aca="false">M21/J21</f>
        <v>31556.4200102128</v>
      </c>
      <c r="O21" s="168"/>
      <c r="Q21" s="168" t="n">
        <f aca="false">M21+P21</f>
        <v>1341463.41463415</v>
      </c>
      <c r="R21" s="168" t="n">
        <f aca="false">ROUND(Q21/J21, 2)</f>
        <v>31556.42</v>
      </c>
      <c r="S21" s="158" t="s">
        <v>4616</v>
      </c>
      <c r="T21" s="158" t="s">
        <v>29</v>
      </c>
      <c r="U21" s="35" t="s">
        <v>30</v>
      </c>
      <c r="V21" s="47" t="s">
        <v>4568</v>
      </c>
      <c r="W21" s="172" t="s">
        <v>31</v>
      </c>
      <c r="X21" s="196" t="n">
        <v>42995</v>
      </c>
    </row>
    <row r="22" customFormat="false" ht="23.85" hidden="false" customHeight="false" outlineLevel="0" collapsed="false">
      <c r="A22" s="2" t="n">
        <v>132038</v>
      </c>
      <c r="B22" s="2" t="n">
        <v>5774</v>
      </c>
      <c r="C22" s="206" t="n">
        <v>42879</v>
      </c>
      <c r="D22" s="5" t="s">
        <v>22</v>
      </c>
      <c r="E22" s="5" t="s">
        <v>3085</v>
      </c>
      <c r="F22" s="157" t="s">
        <v>323</v>
      </c>
      <c r="G22" s="5" t="s">
        <v>715</v>
      </c>
      <c r="H22" s="165" t="s">
        <v>4617</v>
      </c>
      <c r="I22" s="165" t="s">
        <v>27</v>
      </c>
      <c r="J22" s="158" t="n">
        <f aca="false">51+57.29+35.15+72.17</f>
        <v>215.61</v>
      </c>
      <c r="K22" s="199" t="n">
        <v>2100000</v>
      </c>
      <c r="L22" s="200" t="n">
        <f aca="false">K22/1.23*0.23</f>
        <v>392682.926829268</v>
      </c>
      <c r="M22" s="199" t="n">
        <f aca="false">K22-L22</f>
        <v>1707317.07317073</v>
      </c>
      <c r="N22" s="200" t="n">
        <f aca="false">M22/J22</f>
        <v>7918.54307857118</v>
      </c>
      <c r="O22" s="168"/>
      <c r="Q22" s="168" t="n">
        <f aca="false">M22+P22</f>
        <v>1707317.07317073</v>
      </c>
      <c r="R22" s="168" t="n">
        <f aca="false">ROUND(Q22/J22, 2)</f>
        <v>7918.54</v>
      </c>
      <c r="S22" s="158" t="s">
        <v>4618</v>
      </c>
      <c r="T22" s="158" t="s">
        <v>29</v>
      </c>
      <c r="U22" s="35" t="s">
        <v>30</v>
      </c>
      <c r="V22" s="47" t="s">
        <v>4568</v>
      </c>
      <c r="W22" s="172" t="s">
        <v>31</v>
      </c>
      <c r="X22" s="196" t="n">
        <v>42995</v>
      </c>
    </row>
    <row r="23" customFormat="false" ht="12.8" hidden="false" customHeight="false" outlineLevel="0" collapsed="false">
      <c r="A23" s="1" t="n">
        <v>94219</v>
      </c>
      <c r="B23" s="2" t="n">
        <v>14939</v>
      </c>
      <c r="C23" s="206" t="n">
        <v>43010</v>
      </c>
      <c r="D23" s="5" t="s">
        <v>22</v>
      </c>
      <c r="E23" s="165" t="s">
        <v>399</v>
      </c>
      <c r="F23" s="157" t="s">
        <v>617</v>
      </c>
      <c r="G23" s="5" t="s">
        <v>25</v>
      </c>
      <c r="H23" s="165" t="s">
        <v>4619</v>
      </c>
      <c r="I23" s="165" t="s">
        <v>26</v>
      </c>
      <c r="J23" s="179" t="n">
        <f aca="false">109.39+42.39</f>
        <v>151.78</v>
      </c>
      <c r="K23" s="199" t="n">
        <f aca="false">M23*1.23</f>
        <v>1205400</v>
      </c>
      <c r="L23" s="200" t="n">
        <f aca="false">K23/1.23*0.23</f>
        <v>225400</v>
      </c>
      <c r="M23" s="199" t="n">
        <f aca="false">735000+245000</f>
        <v>980000</v>
      </c>
      <c r="N23" s="200" t="n">
        <f aca="false">M23/J23</f>
        <v>6456.71366451443</v>
      </c>
      <c r="O23" s="168" t="s">
        <v>4620</v>
      </c>
      <c r="Q23" s="168" t="n">
        <f aca="false">M23+P23</f>
        <v>980000</v>
      </c>
      <c r="R23" s="168" t="n">
        <f aca="false">ROUND(Q23/J23, 2)</f>
        <v>6456.71</v>
      </c>
      <c r="S23" s="158" t="s">
        <v>4621</v>
      </c>
      <c r="T23" s="158" t="s">
        <v>29</v>
      </c>
      <c r="U23" s="35" t="s">
        <v>30</v>
      </c>
      <c r="V23" s="47" t="s">
        <v>4568</v>
      </c>
      <c r="W23" s="172" t="s">
        <v>31</v>
      </c>
      <c r="X23" s="196" t="n">
        <v>43084</v>
      </c>
      <c r="Y23" s="116" t="s">
        <v>4622</v>
      </c>
    </row>
    <row r="24" customFormat="false" ht="12.8" hidden="false" customHeight="false" outlineLevel="0" collapsed="false">
      <c r="A24" s="1"/>
      <c r="B24" s="2" t="n">
        <v>14939</v>
      </c>
      <c r="C24" s="206" t="n">
        <v>43010</v>
      </c>
      <c r="D24" s="5" t="s">
        <v>22</v>
      </c>
      <c r="E24" s="165" t="s">
        <v>399</v>
      </c>
      <c r="F24" s="157" t="s">
        <v>617</v>
      </c>
      <c r="G24" s="5" t="s">
        <v>25</v>
      </c>
      <c r="H24" s="165" t="s">
        <v>4623</v>
      </c>
      <c r="I24" s="165" t="s">
        <v>26</v>
      </c>
      <c r="J24" s="179" t="n">
        <f aca="false">42.39+109.39</f>
        <v>151.78</v>
      </c>
      <c r="K24" s="199" t="n">
        <f aca="false">M24*1.23</f>
        <v>1205400</v>
      </c>
      <c r="L24" s="200" t="n">
        <f aca="false">K24/1.23*0.23</f>
        <v>225400</v>
      </c>
      <c r="M24" s="199" t="n">
        <v>980000</v>
      </c>
      <c r="N24" s="200" t="n">
        <f aca="false">M24/J24</f>
        <v>6456.71366451443</v>
      </c>
      <c r="O24" s="168" t="s">
        <v>4624</v>
      </c>
      <c r="Q24" s="168" t="n">
        <f aca="false">M24+P24</f>
        <v>980000</v>
      </c>
      <c r="R24" s="168" t="n">
        <f aca="false">ROUND(Q24/J24, 2)</f>
        <v>6456.71</v>
      </c>
      <c r="S24" s="158" t="s">
        <v>4625</v>
      </c>
      <c r="T24" s="158" t="s">
        <v>29</v>
      </c>
      <c r="U24" s="35" t="s">
        <v>30</v>
      </c>
      <c r="V24" s="47" t="s">
        <v>4568</v>
      </c>
      <c r="W24" s="172" t="s">
        <v>31</v>
      </c>
      <c r="X24" s="196" t="n">
        <v>43084</v>
      </c>
      <c r="Y24" s="116" t="s">
        <v>4626</v>
      </c>
    </row>
    <row r="25" customFormat="false" ht="12.8" hidden="false" customHeight="false" outlineLevel="0" collapsed="false">
      <c r="A25" s="1"/>
      <c r="B25" s="2" t="n">
        <v>4815</v>
      </c>
      <c r="C25" s="206" t="n">
        <v>43020</v>
      </c>
      <c r="D25" s="5" t="s">
        <v>22</v>
      </c>
      <c r="E25" s="165" t="s">
        <v>343</v>
      </c>
      <c r="F25" s="157" t="s">
        <v>392</v>
      </c>
      <c r="G25" s="5" t="s">
        <v>116</v>
      </c>
      <c r="H25" s="165" t="s">
        <v>4580</v>
      </c>
      <c r="I25" s="165" t="s">
        <v>27</v>
      </c>
      <c r="J25" s="158" t="n">
        <v>118.12</v>
      </c>
      <c r="K25" s="199" t="n">
        <v>700000</v>
      </c>
      <c r="L25" s="200" t="n">
        <f aca="false">K25/1.23*0.23</f>
        <v>130894.308943089</v>
      </c>
      <c r="M25" s="199" t="n">
        <f aca="false">K25-L25</f>
        <v>569105.691056911</v>
      </c>
      <c r="N25" s="200" t="n">
        <f aca="false">M25/J25</f>
        <v>4818.02989381062</v>
      </c>
      <c r="O25" s="168"/>
      <c r="Q25" s="168" t="n">
        <f aca="false">M25+P25</f>
        <v>569105.691056911</v>
      </c>
      <c r="R25" s="168" t="n">
        <f aca="false">ROUND(Q25/J25, 2)</f>
        <v>4818.03</v>
      </c>
      <c r="S25" s="158" t="s">
        <v>4627</v>
      </c>
      <c r="T25" s="158" t="s">
        <v>29</v>
      </c>
      <c r="U25" s="35" t="s">
        <v>30</v>
      </c>
      <c r="V25" s="47" t="s">
        <v>4568</v>
      </c>
      <c r="W25" s="172" t="s">
        <v>31</v>
      </c>
      <c r="X25" s="196" t="n">
        <v>43084</v>
      </c>
    </row>
    <row r="26" customFormat="false" ht="12.8" hidden="false" customHeight="false" outlineLevel="0" collapsed="false">
      <c r="A26" s="1" t="n">
        <v>100414</v>
      </c>
      <c r="B26" s="2" t="n">
        <v>2062</v>
      </c>
      <c r="C26" s="206" t="n">
        <v>43004</v>
      </c>
      <c r="D26" s="5" t="s">
        <v>22</v>
      </c>
      <c r="E26" s="5" t="s">
        <v>251</v>
      </c>
      <c r="F26" s="157" t="s">
        <v>528</v>
      </c>
      <c r="G26" s="5" t="s">
        <v>1210</v>
      </c>
      <c r="H26" s="165" t="s">
        <v>4628</v>
      </c>
      <c r="I26" s="165" t="s">
        <v>27</v>
      </c>
      <c r="J26" s="158" t="n">
        <v>35.76</v>
      </c>
      <c r="K26" s="199" t="n">
        <v>350000</v>
      </c>
      <c r="L26" s="200" t="n">
        <f aca="false">K26/1.23*0.23</f>
        <v>65447.1544715447</v>
      </c>
      <c r="M26" s="199" t="n">
        <f aca="false">K26-L26</f>
        <v>284552.845528455</v>
      </c>
      <c r="N26" s="200" t="n">
        <f aca="false">M26/J26</f>
        <v>7957.29433804405</v>
      </c>
      <c r="O26" s="168"/>
      <c r="P26" s="168" t="n">
        <f aca="false">15000/1.23</f>
        <v>12195.1219512195</v>
      </c>
      <c r="Q26" s="168" t="n">
        <f aca="false">M26+P26</f>
        <v>296747.967479675</v>
      </c>
      <c r="R26" s="168" t="n">
        <f aca="false">ROUND(Q26/J26, 2)</f>
        <v>8298.32</v>
      </c>
      <c r="S26" s="158" t="s">
        <v>4629</v>
      </c>
      <c r="T26" s="158" t="s">
        <v>29</v>
      </c>
      <c r="U26" s="35" t="s">
        <v>30</v>
      </c>
      <c r="V26" s="47" t="s">
        <v>4568</v>
      </c>
      <c r="W26" s="172" t="s">
        <v>31</v>
      </c>
      <c r="X26" s="196" t="n">
        <v>43084</v>
      </c>
      <c r="Y26" s="116" t="s">
        <v>4630</v>
      </c>
    </row>
    <row r="27" customFormat="false" ht="12.8" hidden="false" customHeight="false" outlineLevel="0" collapsed="false">
      <c r="A27" s="1" t="n">
        <v>100921</v>
      </c>
      <c r="B27" s="2" t="n">
        <v>1994</v>
      </c>
      <c r="C27" s="206" t="n">
        <v>43000</v>
      </c>
      <c r="D27" s="5" t="s">
        <v>22</v>
      </c>
      <c r="E27" s="5" t="s">
        <v>229</v>
      </c>
      <c r="F27" s="157" t="s">
        <v>357</v>
      </c>
      <c r="G27" s="5" t="s">
        <v>358</v>
      </c>
      <c r="H27" s="165" t="s">
        <v>4631</v>
      </c>
      <c r="I27" s="165" t="s">
        <v>27</v>
      </c>
      <c r="J27" s="158" t="n">
        <v>43.59</v>
      </c>
      <c r="K27" s="199" t="n">
        <v>480000.12</v>
      </c>
      <c r="L27" s="200" t="n">
        <f aca="false">K27/1.23*0.23</f>
        <v>89756.12</v>
      </c>
      <c r="M27" s="199" t="n">
        <f aca="false">K27-L27</f>
        <v>390244</v>
      </c>
      <c r="N27" s="200" t="n">
        <f aca="false">M27/J27</f>
        <v>8952.60380821289</v>
      </c>
      <c r="O27" s="168"/>
      <c r="Q27" s="168" t="n">
        <f aca="false">M27+P27</f>
        <v>390244</v>
      </c>
      <c r="R27" s="168" t="n">
        <f aca="false">ROUND(Q27/J27, 2)</f>
        <v>8952.6</v>
      </c>
      <c r="S27" s="158" t="s">
        <v>4632</v>
      </c>
      <c r="T27" s="158" t="s">
        <v>29</v>
      </c>
      <c r="U27" s="35" t="s">
        <v>30</v>
      </c>
      <c r="V27" s="47" t="s">
        <v>4568</v>
      </c>
      <c r="W27" s="172" t="s">
        <v>31</v>
      </c>
      <c r="X27" s="196" t="n">
        <v>43084</v>
      </c>
    </row>
    <row r="28" customFormat="false" ht="12.8" hidden="false" customHeight="false" outlineLevel="0" collapsed="false">
      <c r="A28" s="1" t="n">
        <v>101058</v>
      </c>
      <c r="B28" s="2" t="n">
        <v>13079</v>
      </c>
      <c r="C28" s="206" t="n">
        <v>43006</v>
      </c>
      <c r="D28" s="5" t="s">
        <v>22</v>
      </c>
      <c r="E28" s="5" t="s">
        <v>322</v>
      </c>
      <c r="F28" s="157" t="s">
        <v>351</v>
      </c>
      <c r="G28" s="5" t="s">
        <v>525</v>
      </c>
      <c r="H28" s="165" t="s">
        <v>4628</v>
      </c>
      <c r="I28" s="165" t="s">
        <v>27</v>
      </c>
      <c r="J28" s="158" t="n">
        <v>58.19</v>
      </c>
      <c r="K28" s="199" t="n">
        <v>644163.3</v>
      </c>
      <c r="L28" s="200" t="n">
        <f aca="false">K28/1.23*0.23</f>
        <v>120453.3</v>
      </c>
      <c r="M28" s="199" t="n">
        <f aca="false">K28-L28</f>
        <v>523710</v>
      </c>
      <c r="N28" s="200" t="n">
        <f aca="false">M28/J28</f>
        <v>9000</v>
      </c>
      <c r="O28" s="168"/>
      <c r="Q28" s="168" t="n">
        <f aca="false">M28+P28</f>
        <v>523710</v>
      </c>
      <c r="R28" s="168" t="n">
        <f aca="false">ROUND(Q28/J28, 2)</f>
        <v>9000</v>
      </c>
      <c r="S28" s="158" t="s">
        <v>4633</v>
      </c>
      <c r="T28" s="158" t="s">
        <v>29</v>
      </c>
      <c r="U28" s="35" t="s">
        <v>30</v>
      </c>
      <c r="V28" s="47" t="s">
        <v>4568</v>
      </c>
      <c r="W28" s="172" t="s">
        <v>31</v>
      </c>
      <c r="X28" s="196" t="n">
        <v>43084</v>
      </c>
    </row>
    <row r="29" customFormat="false" ht="12.8" hidden="false" customHeight="false" outlineLevel="0" collapsed="false">
      <c r="A29" s="1" t="n">
        <v>101257</v>
      </c>
      <c r="B29" s="2" t="n">
        <v>14317</v>
      </c>
      <c r="C29" s="206" t="n">
        <v>42998</v>
      </c>
      <c r="D29" s="5" t="s">
        <v>22</v>
      </c>
      <c r="E29" s="165" t="s">
        <v>399</v>
      </c>
      <c r="F29" s="157" t="s">
        <v>617</v>
      </c>
      <c r="G29" s="5" t="s">
        <v>25</v>
      </c>
      <c r="H29" s="165" t="s">
        <v>4634</v>
      </c>
      <c r="I29" s="165" t="s">
        <v>26</v>
      </c>
      <c r="J29" s="179" t="n">
        <f aca="false">49.65+76.01</f>
        <v>125.66</v>
      </c>
      <c r="K29" s="199" t="n">
        <f aca="false">M29*1.23</f>
        <v>891750</v>
      </c>
      <c r="L29" s="200" t="n">
        <f aca="false">K29/1.23*0.23</f>
        <v>166750</v>
      </c>
      <c r="M29" s="199" t="n">
        <v>725000</v>
      </c>
      <c r="N29" s="200" t="n">
        <f aca="false">M29/J29</f>
        <v>5769.53684545599</v>
      </c>
      <c r="O29" s="168" t="s">
        <v>4635</v>
      </c>
      <c r="Q29" s="168" t="n">
        <f aca="false">M29+P29</f>
        <v>725000</v>
      </c>
      <c r="R29" s="168" t="n">
        <f aca="false">ROUND(Q29/J29, 2)</f>
        <v>5769.54</v>
      </c>
      <c r="S29" s="158" t="s">
        <v>4636</v>
      </c>
      <c r="T29" s="158" t="s">
        <v>29</v>
      </c>
      <c r="U29" s="35" t="s">
        <v>30</v>
      </c>
      <c r="V29" s="47" t="s">
        <v>4568</v>
      </c>
      <c r="W29" s="172" t="s">
        <v>31</v>
      </c>
      <c r="X29" s="196" t="n">
        <v>43084</v>
      </c>
      <c r="Y29" s="116" t="s">
        <v>4637</v>
      </c>
    </row>
    <row r="30" customFormat="false" ht="12.8" hidden="false" customHeight="false" outlineLevel="0" collapsed="false">
      <c r="A30" s="1"/>
      <c r="B30" s="2" t="n">
        <v>14317</v>
      </c>
      <c r="C30" s="206" t="n">
        <v>42998</v>
      </c>
      <c r="D30" s="5" t="s">
        <v>22</v>
      </c>
      <c r="E30" s="165" t="s">
        <v>399</v>
      </c>
      <c r="F30" s="157" t="s">
        <v>617</v>
      </c>
      <c r="G30" s="5" t="s">
        <v>25</v>
      </c>
      <c r="H30" s="165" t="s">
        <v>4638</v>
      </c>
      <c r="I30" s="165" t="s">
        <v>26</v>
      </c>
      <c r="J30" s="179" t="n">
        <f aca="false">76.01+49.65</f>
        <v>125.66</v>
      </c>
      <c r="K30" s="199" t="n">
        <f aca="false">M30*1.23</f>
        <v>891750</v>
      </c>
      <c r="L30" s="200" t="n">
        <f aca="false">K30/1.23*0.23</f>
        <v>166750</v>
      </c>
      <c r="M30" s="199" t="n">
        <v>725000</v>
      </c>
      <c r="N30" s="200" t="n">
        <f aca="false">M30/J30</f>
        <v>5769.53684545599</v>
      </c>
      <c r="O30" s="168"/>
      <c r="Q30" s="168" t="n">
        <f aca="false">M30+P30</f>
        <v>725000</v>
      </c>
      <c r="R30" s="168" t="n">
        <f aca="false">ROUND(Q30/J30, 2)</f>
        <v>5769.54</v>
      </c>
      <c r="S30" s="158" t="s">
        <v>4639</v>
      </c>
      <c r="T30" s="158" t="s">
        <v>29</v>
      </c>
      <c r="U30" s="35" t="s">
        <v>30</v>
      </c>
      <c r="V30" s="47" t="s">
        <v>4568</v>
      </c>
      <c r="W30" s="172" t="s">
        <v>31</v>
      </c>
      <c r="X30" s="196" t="n">
        <v>43084</v>
      </c>
      <c r="Y30" s="116" t="s">
        <v>4640</v>
      </c>
    </row>
    <row r="31" customFormat="false" ht="12.8" hidden="false" customHeight="false" outlineLevel="0" collapsed="false">
      <c r="A31" s="1" t="n">
        <v>101504</v>
      </c>
      <c r="B31" s="2" t="n">
        <v>3125</v>
      </c>
      <c r="C31" s="206" t="n">
        <v>43006</v>
      </c>
      <c r="D31" s="5" t="s">
        <v>22</v>
      </c>
      <c r="E31" s="5" t="s">
        <v>572</v>
      </c>
      <c r="F31" s="157" t="s">
        <v>809</v>
      </c>
      <c r="G31" s="5" t="s">
        <v>27</v>
      </c>
      <c r="H31" s="165" t="s">
        <v>4580</v>
      </c>
      <c r="I31" s="165" t="s">
        <v>27</v>
      </c>
      <c r="J31" s="158" t="n">
        <v>84.36</v>
      </c>
      <c r="K31" s="199" t="n">
        <v>1432950</v>
      </c>
      <c r="L31" s="200" t="n">
        <f aca="false">K31/1.23*0.23</f>
        <v>267950</v>
      </c>
      <c r="M31" s="199" t="n">
        <f aca="false">K31-L31</f>
        <v>1165000</v>
      </c>
      <c r="N31" s="200" t="n">
        <f aca="false">M31/J31</f>
        <v>13809.862494073</v>
      </c>
      <c r="O31" s="168"/>
      <c r="Q31" s="168" t="n">
        <f aca="false">M31+P31</f>
        <v>1165000</v>
      </c>
      <c r="R31" s="168" t="n">
        <f aca="false">ROUND(Q31/J31, 2)</f>
        <v>13809.86</v>
      </c>
      <c r="S31" s="158" t="s">
        <v>4641</v>
      </c>
      <c r="T31" s="158" t="s">
        <v>29</v>
      </c>
      <c r="U31" s="35" t="s">
        <v>30</v>
      </c>
      <c r="V31" s="47" t="s">
        <v>4568</v>
      </c>
      <c r="W31" s="172" t="s">
        <v>31</v>
      </c>
      <c r="X31" s="196" t="n">
        <v>43084</v>
      </c>
    </row>
    <row r="32" customFormat="false" ht="12.8" hidden="false" customHeight="false" outlineLevel="0" collapsed="false">
      <c r="A32" s="1" t="n">
        <v>102313</v>
      </c>
      <c r="B32" s="2" t="n">
        <v>23711</v>
      </c>
      <c r="C32" s="206" t="n">
        <v>42998</v>
      </c>
      <c r="D32" s="5" t="s">
        <v>22</v>
      </c>
      <c r="E32" s="5" t="s">
        <v>122</v>
      </c>
      <c r="F32" s="157" t="s">
        <v>805</v>
      </c>
      <c r="G32" s="5" t="s">
        <v>473</v>
      </c>
      <c r="H32" s="165" t="s">
        <v>4642</v>
      </c>
      <c r="I32" s="165" t="s">
        <v>27</v>
      </c>
      <c r="J32" s="158" t="n">
        <v>911.78</v>
      </c>
      <c r="K32" s="199" t="n">
        <v>17896500</v>
      </c>
      <c r="L32" s="200" t="n">
        <f aca="false">K32/1.23*0.23</f>
        <v>3346500</v>
      </c>
      <c r="M32" s="199" t="n">
        <f aca="false">K32-L32</f>
        <v>14550000</v>
      </c>
      <c r="N32" s="200" t="n">
        <f aca="false">M32/J32</f>
        <v>15957.7968369563</v>
      </c>
      <c r="O32" s="168" t="s">
        <v>4643</v>
      </c>
      <c r="Q32" s="168" t="n">
        <f aca="false">M32+P32</f>
        <v>14550000</v>
      </c>
      <c r="R32" s="168" t="n">
        <f aca="false">ROUND(Q32/J32, 2)</f>
        <v>15957.8</v>
      </c>
      <c r="S32" s="158" t="s">
        <v>4644</v>
      </c>
      <c r="T32" s="158" t="s">
        <v>29</v>
      </c>
      <c r="U32" s="35" t="s">
        <v>30</v>
      </c>
      <c r="V32" s="47" t="s">
        <v>4568</v>
      </c>
      <c r="W32" s="172" t="s">
        <v>31</v>
      </c>
      <c r="X32" s="196" t="n">
        <v>43084</v>
      </c>
    </row>
    <row r="33" customFormat="false" ht="12.8" hidden="false" customHeight="false" outlineLevel="0" collapsed="false">
      <c r="A33" s="1"/>
      <c r="B33" s="2" t="n">
        <v>1771</v>
      </c>
      <c r="C33" s="206" t="n">
        <v>43006</v>
      </c>
      <c r="D33" s="5" t="s">
        <v>22</v>
      </c>
      <c r="E33" s="5" t="s">
        <v>623</v>
      </c>
      <c r="F33" s="157" t="s">
        <v>272</v>
      </c>
      <c r="G33" s="5" t="s">
        <v>464</v>
      </c>
      <c r="H33" s="165" t="s">
        <v>4645</v>
      </c>
      <c r="I33" s="165" t="s">
        <v>27</v>
      </c>
      <c r="J33" s="158" t="n">
        <v>126.6</v>
      </c>
      <c r="K33" s="199" t="n">
        <v>1057800</v>
      </c>
      <c r="L33" s="200" t="n">
        <f aca="false">K33/1.23*0.23</f>
        <v>197800</v>
      </c>
      <c r="M33" s="199" t="n">
        <f aca="false">K33-L33</f>
        <v>860000</v>
      </c>
      <c r="N33" s="200" t="n">
        <f aca="false">M33/J33</f>
        <v>6793.04897314376</v>
      </c>
      <c r="O33" s="168"/>
      <c r="Q33" s="168" t="n">
        <f aca="false">M33+P33</f>
        <v>860000</v>
      </c>
      <c r="R33" s="168" t="n">
        <f aca="false">ROUND(Q33/J33, 2)</f>
        <v>6793.05</v>
      </c>
      <c r="S33" s="158" t="s">
        <v>4646</v>
      </c>
      <c r="T33" s="158" t="s">
        <v>29</v>
      </c>
      <c r="U33" s="35" t="s">
        <v>30</v>
      </c>
      <c r="V33" s="47" t="s">
        <v>4568</v>
      </c>
      <c r="W33" s="172" t="s">
        <v>31</v>
      </c>
      <c r="X33" s="196" t="n">
        <v>43084</v>
      </c>
    </row>
    <row r="34" customFormat="false" ht="12.8" hidden="false" customHeight="false" outlineLevel="0" collapsed="false">
      <c r="A34" s="1" t="n">
        <v>111728</v>
      </c>
      <c r="B34" s="2" t="n">
        <v>7308</v>
      </c>
      <c r="C34" s="206" t="n">
        <v>42975</v>
      </c>
      <c r="D34" s="5" t="s">
        <v>22</v>
      </c>
      <c r="E34" s="5" t="s">
        <v>322</v>
      </c>
      <c r="F34" s="157" t="s">
        <v>351</v>
      </c>
      <c r="G34" s="5" t="s">
        <v>1648</v>
      </c>
      <c r="H34" s="165" t="s">
        <v>4647</v>
      </c>
      <c r="I34" s="165" t="s">
        <v>26</v>
      </c>
      <c r="J34" s="158" t="n">
        <v>107.14</v>
      </c>
      <c r="K34" s="199" t="n">
        <v>1172800</v>
      </c>
      <c r="L34" s="200" t="n">
        <f aca="false">K34/1.23*0.23</f>
        <v>219304.06504065</v>
      </c>
      <c r="M34" s="199" t="n">
        <f aca="false">K34-L34</f>
        <v>953495.93495935</v>
      </c>
      <c r="N34" s="200" t="n">
        <f aca="false">M34/J34</f>
        <v>8899.5327138263</v>
      </c>
      <c r="O34" s="168" t="s">
        <v>205</v>
      </c>
      <c r="P34" s="168" t="n">
        <f aca="false">25000/1.23</f>
        <v>20325.2032520325</v>
      </c>
      <c r="Q34" s="168" t="n">
        <f aca="false">M34+P34</f>
        <v>973821.138211382</v>
      </c>
      <c r="R34" s="168" t="n">
        <f aca="false">ROUND(Q34/J34, 2)</f>
        <v>9089.24</v>
      </c>
      <c r="S34" s="158" t="s">
        <v>4648</v>
      </c>
      <c r="T34" s="158" t="s">
        <v>29</v>
      </c>
      <c r="U34" s="35" t="s">
        <v>30</v>
      </c>
      <c r="V34" s="47" t="s">
        <v>4568</v>
      </c>
      <c r="W34" s="172" t="s">
        <v>31</v>
      </c>
      <c r="X34" s="196" t="n">
        <v>43084</v>
      </c>
    </row>
    <row r="35" customFormat="false" ht="12.8" hidden="false" customHeight="false" outlineLevel="0" collapsed="false">
      <c r="A35" s="1" t="n">
        <v>112019</v>
      </c>
      <c r="B35" s="2" t="n">
        <v>10864</v>
      </c>
      <c r="C35" s="206" t="n">
        <v>42972</v>
      </c>
      <c r="D35" s="5" t="s">
        <v>22</v>
      </c>
      <c r="E35" s="5" t="s">
        <v>122</v>
      </c>
      <c r="F35" s="157" t="s">
        <v>805</v>
      </c>
      <c r="G35" s="5" t="s">
        <v>473</v>
      </c>
      <c r="H35" s="165" t="s">
        <v>870</v>
      </c>
      <c r="I35" s="165" t="s">
        <v>36</v>
      </c>
      <c r="J35" s="158" t="n">
        <v>132.94</v>
      </c>
      <c r="K35" s="199" t="n">
        <v>1494450</v>
      </c>
      <c r="L35" s="200" t="n">
        <f aca="false">K35/1.23*0.23</f>
        <v>279450</v>
      </c>
      <c r="M35" s="199" t="n">
        <f aca="false">K35-L35</f>
        <v>1215000</v>
      </c>
      <c r="N35" s="200" t="n">
        <f aca="false">M35/J35</f>
        <v>9139.46141116293</v>
      </c>
      <c r="O35" s="168" t="s">
        <v>4649</v>
      </c>
      <c r="Q35" s="168" t="n">
        <f aca="false">M35+P35</f>
        <v>1215000</v>
      </c>
      <c r="R35" s="168" t="n">
        <f aca="false">ROUND(Q35/J35, 2)</f>
        <v>9139.46</v>
      </c>
      <c r="S35" s="158" t="s">
        <v>4650</v>
      </c>
      <c r="T35" s="158" t="s">
        <v>29</v>
      </c>
      <c r="U35" s="35" t="s">
        <v>30</v>
      </c>
      <c r="V35" s="47" t="s">
        <v>4568</v>
      </c>
      <c r="W35" s="172" t="s">
        <v>31</v>
      </c>
      <c r="X35" s="196" t="n">
        <v>43084</v>
      </c>
    </row>
    <row r="36" s="1" customFormat="true" ht="12.8" hidden="false" customHeight="false" outlineLevel="0" collapsed="false">
      <c r="B36" s="2" t="n">
        <v>4207</v>
      </c>
      <c r="C36" s="206" t="n">
        <v>42947</v>
      </c>
      <c r="D36" s="5" t="s">
        <v>22</v>
      </c>
      <c r="E36" s="5" t="s">
        <v>308</v>
      </c>
      <c r="F36" s="157" t="s">
        <v>309</v>
      </c>
      <c r="G36" s="5" t="s">
        <v>95</v>
      </c>
      <c r="H36" s="165" t="s">
        <v>826</v>
      </c>
      <c r="I36" s="165" t="s">
        <v>27</v>
      </c>
      <c r="J36" s="158" t="n">
        <f aca="false">124.56-2.12</f>
        <v>122.44</v>
      </c>
      <c r="K36" s="199" t="n">
        <v>1330000</v>
      </c>
      <c r="L36" s="200" t="n">
        <f aca="false">K36/1.23*0.23</f>
        <v>248699.18699187</v>
      </c>
      <c r="M36" s="199" t="n">
        <f aca="false">K36-L36</f>
        <v>1081300.81300813</v>
      </c>
      <c r="N36" s="200" t="n">
        <f aca="false">M36/J36</f>
        <v>8831.27093276813</v>
      </c>
      <c r="O36" s="168" t="s">
        <v>4651</v>
      </c>
      <c r="P36" s="168"/>
      <c r="Q36" s="168" t="n">
        <f aca="false">M36+P36</f>
        <v>1081300.81300813</v>
      </c>
      <c r="R36" s="168" t="n">
        <f aca="false">ROUND(Q36/J36, 2)</f>
        <v>8831.27</v>
      </c>
      <c r="S36" s="158" t="s">
        <v>4652</v>
      </c>
      <c r="T36" s="158" t="s">
        <v>29</v>
      </c>
      <c r="U36" s="35" t="s">
        <v>30</v>
      </c>
      <c r="V36" s="47" t="s">
        <v>4568</v>
      </c>
      <c r="W36" s="172" t="s">
        <v>31</v>
      </c>
      <c r="X36" s="196" t="n">
        <v>43084</v>
      </c>
    </row>
    <row r="37" customFormat="false" ht="12.8" hidden="false" customHeight="false" outlineLevel="0" collapsed="false">
      <c r="A37" s="1" t="n">
        <v>85407</v>
      </c>
      <c r="B37" s="2" t="n">
        <v>2168</v>
      </c>
      <c r="C37" s="206" t="n">
        <v>43096</v>
      </c>
      <c r="D37" s="5" t="s">
        <v>22</v>
      </c>
      <c r="E37" s="5" t="s">
        <v>45</v>
      </c>
      <c r="F37" s="157" t="s">
        <v>544</v>
      </c>
      <c r="G37" s="5" t="s">
        <v>101</v>
      </c>
      <c r="H37" s="165" t="s">
        <v>280</v>
      </c>
      <c r="I37" s="165" t="s">
        <v>27</v>
      </c>
      <c r="J37" s="158" t="n">
        <v>76.22</v>
      </c>
      <c r="K37" s="199" t="n">
        <v>1000000</v>
      </c>
      <c r="L37" s="200" t="n">
        <f aca="false">K37/1.23*0.23</f>
        <v>186991.869918699</v>
      </c>
      <c r="M37" s="199" t="n">
        <f aca="false">K37-L37</f>
        <v>813008.130081301</v>
      </c>
      <c r="N37" s="200" t="n">
        <f aca="false">M37/J37</f>
        <v>10666.5984004369</v>
      </c>
      <c r="O37" s="168"/>
      <c r="P37" s="168" t="n">
        <f aca="false">ROUND(O37/J37, 2)</f>
        <v>0</v>
      </c>
      <c r="Q37" s="168" t="n">
        <f aca="false">M37+P37</f>
        <v>813008.130081301</v>
      </c>
      <c r="R37" s="168" t="n">
        <f aca="false">ROUND(Q37/J37, 2)</f>
        <v>10666.6</v>
      </c>
      <c r="S37" s="158" t="s">
        <v>4653</v>
      </c>
      <c r="T37" s="158" t="s">
        <v>29</v>
      </c>
      <c r="U37" s="35" t="s">
        <v>30</v>
      </c>
      <c r="V37" s="47" t="s">
        <v>4568</v>
      </c>
      <c r="W37" s="172" t="s">
        <v>31</v>
      </c>
      <c r="X37" s="196" t="n">
        <v>43156</v>
      </c>
    </row>
    <row r="38" customFormat="false" ht="12.8" hidden="false" customHeight="false" outlineLevel="0" collapsed="false">
      <c r="A38" s="1" t="n">
        <v>101850</v>
      </c>
      <c r="B38" s="2" t="n">
        <v>4131</v>
      </c>
      <c r="C38" s="206" t="n">
        <v>43046</v>
      </c>
      <c r="D38" s="5" t="s">
        <v>22</v>
      </c>
      <c r="E38" s="5" t="s">
        <v>375</v>
      </c>
      <c r="F38" s="157" t="s">
        <v>1029</v>
      </c>
      <c r="G38" s="5" t="s">
        <v>4654</v>
      </c>
      <c r="H38" s="165" t="s">
        <v>112</v>
      </c>
      <c r="I38" s="165" t="s">
        <v>3427</v>
      </c>
      <c r="J38" s="158" t="n">
        <v>42.35</v>
      </c>
      <c r="K38" s="199" t="n">
        <v>215000</v>
      </c>
      <c r="L38" s="200" t="n">
        <f aca="false">K38/1.23*0.23</f>
        <v>40203.2520325203</v>
      </c>
      <c r="M38" s="199"/>
      <c r="N38" s="200" t="n">
        <f aca="false">M38/J38</f>
        <v>0</v>
      </c>
      <c r="O38" s="168"/>
      <c r="P38" s="168" t="n">
        <f aca="false">ROUND(O38/J38, 2)</f>
        <v>0</v>
      </c>
      <c r="Q38" s="168" t="n">
        <f aca="false">M38+P38</f>
        <v>0</v>
      </c>
      <c r="R38" s="168" t="n">
        <f aca="false">ROUND(Q38/J38, 2)</f>
        <v>0</v>
      </c>
      <c r="S38" s="158" t="s">
        <v>4655</v>
      </c>
      <c r="T38" s="158" t="s">
        <v>29</v>
      </c>
      <c r="U38" s="35" t="s">
        <v>30</v>
      </c>
      <c r="V38" s="47" t="s">
        <v>4568</v>
      </c>
      <c r="W38" s="172" t="s">
        <v>31</v>
      </c>
      <c r="X38" s="196" t="n">
        <v>43156</v>
      </c>
    </row>
    <row r="39" customFormat="false" ht="12.8" hidden="false" customHeight="false" outlineLevel="0" collapsed="false">
      <c r="A39" s="1" t="n">
        <v>103230</v>
      </c>
      <c r="B39" s="2" t="n">
        <v>5480</v>
      </c>
      <c r="C39" s="206" t="n">
        <v>43038</v>
      </c>
      <c r="D39" s="5" t="s">
        <v>22</v>
      </c>
      <c r="F39" s="157" t="s">
        <v>404</v>
      </c>
      <c r="G39" s="5" t="s">
        <v>4656</v>
      </c>
      <c r="H39" s="165" t="s">
        <v>283</v>
      </c>
      <c r="I39" s="165" t="s">
        <v>27</v>
      </c>
      <c r="J39" s="158" t="n">
        <v>101.52</v>
      </c>
      <c r="K39" s="199" t="n">
        <v>1500000</v>
      </c>
      <c r="L39" s="200" t="n">
        <f aca="false">K39/1.23*0.23</f>
        <v>280487.804878049</v>
      </c>
      <c r="M39" s="199"/>
      <c r="N39" s="200" t="n">
        <f aca="false">M39/J39</f>
        <v>0</v>
      </c>
      <c r="O39" s="168" t="s">
        <v>4657</v>
      </c>
      <c r="P39" s="168" t="n">
        <v>10000</v>
      </c>
      <c r="Q39" s="168" t="n">
        <f aca="false">M39+P39</f>
        <v>10000</v>
      </c>
      <c r="R39" s="168" t="n">
        <f aca="false">ROUND(Q39/J39, 2)</f>
        <v>98.5</v>
      </c>
      <c r="S39" s="158" t="s">
        <v>4658</v>
      </c>
      <c r="T39" s="158" t="s">
        <v>29</v>
      </c>
      <c r="U39" s="35" t="s">
        <v>30</v>
      </c>
      <c r="V39" s="47" t="s">
        <v>4568</v>
      </c>
      <c r="W39" s="172" t="s">
        <v>31</v>
      </c>
      <c r="X39" s="196" t="n">
        <v>43156</v>
      </c>
    </row>
    <row r="40" customFormat="false" ht="12.8" hidden="false" customHeight="false" outlineLevel="0" collapsed="false">
      <c r="A40" s="1" t="n">
        <v>84315</v>
      </c>
      <c r="B40" s="2" t="n">
        <v>16897</v>
      </c>
      <c r="C40" s="206" t="n">
        <v>43097</v>
      </c>
      <c r="D40" s="5" t="s">
        <v>22</v>
      </c>
      <c r="E40" s="5" t="s">
        <v>198</v>
      </c>
      <c r="F40" s="157" t="s">
        <v>199</v>
      </c>
      <c r="G40" s="5" t="s">
        <v>912</v>
      </c>
      <c r="H40" s="165" t="s">
        <v>4583</v>
      </c>
      <c r="I40" s="165" t="s">
        <v>27</v>
      </c>
      <c r="J40" s="158" t="n">
        <v>68.41</v>
      </c>
      <c r="K40" s="199" t="n">
        <v>504300</v>
      </c>
      <c r="L40" s="200" t="n">
        <f aca="false">K40/1.23*0.23</f>
        <v>94300</v>
      </c>
      <c r="M40" s="199" t="n">
        <f aca="false">K40-L40</f>
        <v>410000</v>
      </c>
      <c r="N40" s="200" t="n">
        <f aca="false">M40/J40</f>
        <v>5993.27583686596</v>
      </c>
      <c r="O40" s="168" t="s">
        <v>234</v>
      </c>
      <c r="P40" s="168" t="n">
        <v>0</v>
      </c>
      <c r="Q40" s="168" t="n">
        <f aca="false">M40+P40</f>
        <v>410000</v>
      </c>
      <c r="R40" s="168" t="n">
        <f aca="false">ROUND(Q40/J40, 2)</f>
        <v>5993.28</v>
      </c>
      <c r="S40" s="158" t="s">
        <v>4659</v>
      </c>
      <c r="T40" s="158" t="s">
        <v>29</v>
      </c>
      <c r="U40" s="35" t="s">
        <v>30</v>
      </c>
      <c r="V40" s="47" t="s">
        <v>4568</v>
      </c>
      <c r="W40" s="172" t="s">
        <v>31</v>
      </c>
      <c r="X40" s="196" t="n">
        <v>43156</v>
      </c>
    </row>
    <row r="41" customFormat="false" ht="12.8" hidden="false" customHeight="false" outlineLevel="0" collapsed="false">
      <c r="A41" s="1" t="n">
        <v>85306</v>
      </c>
      <c r="B41" s="2" t="n">
        <v>7414</v>
      </c>
      <c r="C41" s="206" t="n">
        <v>43087</v>
      </c>
      <c r="D41" s="5" t="s">
        <v>22</v>
      </c>
      <c r="E41" s="5" t="s">
        <v>934</v>
      </c>
      <c r="F41" s="157" t="s">
        <v>46</v>
      </c>
      <c r="G41" s="5" t="s">
        <v>4660</v>
      </c>
      <c r="H41" s="165" t="s">
        <v>47</v>
      </c>
      <c r="I41" s="165" t="s">
        <v>3427</v>
      </c>
      <c r="J41" s="158" t="n">
        <v>11.68</v>
      </c>
      <c r="K41" s="199" t="n">
        <v>59000</v>
      </c>
      <c r="L41" s="200" t="n">
        <f aca="false">K41/1.23*0.23</f>
        <v>11032.5203252033</v>
      </c>
      <c r="M41" s="199"/>
      <c r="N41" s="200" t="n">
        <f aca="false">M41/J41</f>
        <v>0</v>
      </c>
      <c r="O41" s="168"/>
      <c r="P41" s="168" t="n">
        <f aca="false">ROUND(O41/J41, 2)</f>
        <v>0</v>
      </c>
      <c r="Q41" s="168" t="n">
        <f aca="false">M41+P41</f>
        <v>0</v>
      </c>
      <c r="R41" s="168" t="n">
        <f aca="false">ROUND(Q41/J41, 2)</f>
        <v>0</v>
      </c>
      <c r="S41" s="158" t="s">
        <v>4661</v>
      </c>
      <c r="T41" s="158" t="s">
        <v>29</v>
      </c>
      <c r="U41" s="35" t="s">
        <v>30</v>
      </c>
      <c r="V41" s="47" t="s">
        <v>4568</v>
      </c>
      <c r="W41" s="172" t="s">
        <v>31</v>
      </c>
      <c r="X41" s="196" t="n">
        <v>43156</v>
      </c>
    </row>
    <row r="42" customFormat="false" ht="12.8" hidden="false" customHeight="false" outlineLevel="0" collapsed="false">
      <c r="A42" s="1" t="n">
        <v>85306</v>
      </c>
      <c r="B42" s="2" t="n">
        <v>7414</v>
      </c>
      <c r="C42" s="206" t="n">
        <v>43087</v>
      </c>
      <c r="D42" s="5" t="s">
        <v>22</v>
      </c>
      <c r="E42" s="5" t="s">
        <v>934</v>
      </c>
      <c r="F42" s="157" t="s">
        <v>46</v>
      </c>
      <c r="G42" s="5" t="s">
        <v>4660</v>
      </c>
      <c r="H42" s="165" t="s">
        <v>300</v>
      </c>
      <c r="I42" s="165" t="s">
        <v>4662</v>
      </c>
      <c r="J42" s="158" t="n">
        <v>67.68</v>
      </c>
      <c r="K42" s="199" t="n">
        <v>338000</v>
      </c>
      <c r="L42" s="200" t="n">
        <f aca="false">K42/1.23*0.23</f>
        <v>63203.2520325203</v>
      </c>
      <c r="M42" s="199"/>
      <c r="N42" s="200" t="n">
        <f aca="false">M42/J42</f>
        <v>0</v>
      </c>
      <c r="O42" s="168"/>
      <c r="P42" s="168" t="n">
        <f aca="false">ROUND(O42/J42, 2)</f>
        <v>0</v>
      </c>
      <c r="Q42" s="168" t="n">
        <f aca="false">M42+P42</f>
        <v>0</v>
      </c>
      <c r="R42" s="168" t="n">
        <f aca="false">ROUND(Q42/J42, 2)</f>
        <v>0</v>
      </c>
      <c r="S42" s="158" t="s">
        <v>4663</v>
      </c>
      <c r="T42" s="158" t="s">
        <v>29</v>
      </c>
      <c r="U42" s="35" t="s">
        <v>30</v>
      </c>
      <c r="V42" s="47" t="s">
        <v>4568</v>
      </c>
      <c r="W42" s="172" t="s">
        <v>31</v>
      </c>
      <c r="X42" s="196" t="n">
        <v>43156</v>
      </c>
    </row>
    <row r="43" customFormat="false" ht="12.8" hidden="false" customHeight="false" outlineLevel="0" collapsed="false">
      <c r="A43" s="116" t="n">
        <v>104524</v>
      </c>
      <c r="B43" s="2" t="s">
        <v>4664</v>
      </c>
      <c r="C43" s="206" t="n">
        <v>43090</v>
      </c>
      <c r="D43" s="5" t="s">
        <v>22</v>
      </c>
      <c r="E43" s="5" t="s">
        <v>322</v>
      </c>
      <c r="F43" s="157" t="s">
        <v>323</v>
      </c>
      <c r="G43" s="5" t="s">
        <v>49</v>
      </c>
      <c r="H43" s="165" t="s">
        <v>4583</v>
      </c>
      <c r="I43" s="165" t="s">
        <v>27</v>
      </c>
      <c r="J43" s="158" t="n">
        <v>126.18</v>
      </c>
      <c r="K43" s="199" t="n">
        <v>1575611.36</v>
      </c>
      <c r="L43" s="200" t="n">
        <f aca="false">K43/1.23*0.23</f>
        <v>294626.514471545</v>
      </c>
      <c r="M43" s="199"/>
      <c r="N43" s="200" t="n">
        <f aca="false">M43/J43</f>
        <v>0</v>
      </c>
      <c r="O43" s="168" t="s">
        <v>4665</v>
      </c>
      <c r="P43" s="168" t="n">
        <f aca="false">36900+25000</f>
        <v>61900</v>
      </c>
      <c r="Q43" s="168" t="n">
        <f aca="false">M43+P43</f>
        <v>61900</v>
      </c>
      <c r="R43" s="168" t="n">
        <f aca="false">ROUND(Q43/J43, 2)</f>
        <v>490.57</v>
      </c>
      <c r="S43" s="158" t="s">
        <v>4666</v>
      </c>
      <c r="T43" s="158" t="s">
        <v>29</v>
      </c>
      <c r="U43" s="35" t="s">
        <v>30</v>
      </c>
      <c r="V43" s="47" t="s">
        <v>4568</v>
      </c>
      <c r="W43" s="172" t="s">
        <v>31</v>
      </c>
      <c r="X43" s="196" t="n">
        <v>43156</v>
      </c>
    </row>
    <row r="44" s="1" customFormat="true" ht="12.8" hidden="false" customHeight="false" outlineLevel="0" collapsed="false">
      <c r="A44" s="1" t="s">
        <v>4667</v>
      </c>
      <c r="B44" s="2" t="n">
        <v>179</v>
      </c>
      <c r="C44" s="206" t="n">
        <v>43125</v>
      </c>
      <c r="D44" s="5" t="s">
        <v>22</v>
      </c>
      <c r="E44" s="5" t="s">
        <v>652</v>
      </c>
      <c r="F44" s="157" t="s">
        <v>46</v>
      </c>
      <c r="G44" s="5" t="s">
        <v>3480</v>
      </c>
      <c r="H44" s="165" t="s">
        <v>4668</v>
      </c>
      <c r="I44" s="165" t="s">
        <v>36</v>
      </c>
      <c r="J44" s="158" t="n">
        <v>68.06</v>
      </c>
      <c r="K44" s="199" t="n">
        <v>748660</v>
      </c>
      <c r="L44" s="200" t="n">
        <f aca="false">K44/1.23*0.23</f>
        <v>139993.333333333</v>
      </c>
      <c r="M44" s="167"/>
      <c r="N44" s="200" t="n">
        <f aca="false">M44/J44</f>
        <v>0</v>
      </c>
      <c r="O44" s="168" t="n">
        <f aca="false">K44+N44</f>
        <v>748660</v>
      </c>
      <c r="P44" s="168"/>
      <c r="Q44" s="168" t="n">
        <f aca="false">M44+P44</f>
        <v>0</v>
      </c>
      <c r="R44" s="168" t="n">
        <f aca="false">ROUND(Q44/J44, 2)</f>
        <v>0</v>
      </c>
      <c r="S44" s="158" t="s">
        <v>4669</v>
      </c>
      <c r="T44" s="158" t="s">
        <v>29</v>
      </c>
      <c r="U44" s="35" t="s">
        <v>30</v>
      </c>
      <c r="V44" s="47" t="s">
        <v>4568</v>
      </c>
      <c r="W44" s="172" t="s">
        <v>31</v>
      </c>
      <c r="X44" s="196" t="n">
        <v>43234</v>
      </c>
    </row>
    <row r="45" customFormat="false" ht="12.8" hidden="false" customHeight="false" outlineLevel="0" collapsed="false">
      <c r="A45" s="1" t="s">
        <v>4670</v>
      </c>
      <c r="B45" s="2" t="n">
        <v>427</v>
      </c>
      <c r="C45" s="206" t="n">
        <v>43130</v>
      </c>
      <c r="D45" s="5" t="s">
        <v>22</v>
      </c>
      <c r="E45" s="5" t="s">
        <v>103</v>
      </c>
      <c r="F45" s="157" t="s">
        <v>104</v>
      </c>
      <c r="G45" s="5" t="s">
        <v>570</v>
      </c>
      <c r="H45" s="165" t="s">
        <v>4671</v>
      </c>
      <c r="I45" s="165" t="s">
        <v>27</v>
      </c>
      <c r="J45" s="158" t="n">
        <v>125</v>
      </c>
      <c r="K45" s="199" t="n">
        <v>1400000</v>
      </c>
      <c r="L45" s="200" t="n">
        <f aca="false">K45/1.23*0.23</f>
        <v>261788.617886179</v>
      </c>
      <c r="M45" s="167"/>
      <c r="N45" s="200" t="n">
        <f aca="false">M45/J45</f>
        <v>0</v>
      </c>
      <c r="O45" s="168" t="n">
        <f aca="false">K45+N45</f>
        <v>1400000</v>
      </c>
      <c r="P45" s="168" t="n">
        <f aca="false">ROUND(O45/J45, 2)</f>
        <v>11200</v>
      </c>
      <c r="Q45" s="168" t="n">
        <f aca="false">M45+P45</f>
        <v>11200</v>
      </c>
      <c r="R45" s="168" t="n">
        <f aca="false">ROUND(Q45/J45, 2)</f>
        <v>89.6</v>
      </c>
      <c r="S45" s="158" t="s">
        <v>4672</v>
      </c>
      <c r="T45" s="158" t="s">
        <v>29</v>
      </c>
      <c r="U45" s="35" t="s">
        <v>30</v>
      </c>
      <c r="V45" s="47" t="s">
        <v>4568</v>
      </c>
      <c r="W45" s="172" t="s">
        <v>31</v>
      </c>
      <c r="X45" s="196" t="n">
        <v>43234</v>
      </c>
    </row>
    <row r="46" customFormat="false" ht="12.8" hidden="false" customHeight="false" outlineLevel="0" collapsed="false">
      <c r="A46" s="1" t="s">
        <v>461</v>
      </c>
      <c r="B46" s="2" t="n">
        <v>2941</v>
      </c>
      <c r="C46" s="206" t="n">
        <v>43147</v>
      </c>
      <c r="D46" s="5" t="s">
        <v>22</v>
      </c>
      <c r="E46" s="5" t="s">
        <v>198</v>
      </c>
      <c r="F46" s="157" t="s">
        <v>199</v>
      </c>
      <c r="G46" s="5" t="s">
        <v>1001</v>
      </c>
      <c r="H46" s="165" t="s">
        <v>4586</v>
      </c>
      <c r="I46" s="165" t="s">
        <v>27</v>
      </c>
      <c r="J46" s="158" t="n">
        <v>74.18</v>
      </c>
      <c r="K46" s="199" t="n">
        <v>575627.7</v>
      </c>
      <c r="L46" s="200" t="n">
        <f aca="false">K46/1.23*0.23</f>
        <v>107637.7</v>
      </c>
      <c r="N46" s="200" t="n">
        <f aca="false">M46/J46</f>
        <v>0</v>
      </c>
      <c r="O46" s="167" t="s">
        <v>4673</v>
      </c>
      <c r="Q46" s="168" t="n">
        <f aca="false">M46+P46</f>
        <v>0</v>
      </c>
      <c r="R46" s="168" t="n">
        <f aca="false">ROUND(Q46/J46, 2)</f>
        <v>0</v>
      </c>
      <c r="S46" s="158" t="s">
        <v>4674</v>
      </c>
      <c r="T46" s="158" t="s">
        <v>29</v>
      </c>
      <c r="U46" s="35" t="s">
        <v>30</v>
      </c>
      <c r="V46" s="47" t="s">
        <v>4568</v>
      </c>
      <c r="W46" s="172" t="s">
        <v>31</v>
      </c>
      <c r="X46" s="196" t="n">
        <v>43234</v>
      </c>
      <c r="Y46" s="1" t="s">
        <v>4675</v>
      </c>
    </row>
    <row r="47" customFormat="false" ht="12.8" hidden="false" customHeight="false" outlineLevel="0" collapsed="false">
      <c r="A47" s="1" t="s">
        <v>4676</v>
      </c>
      <c r="B47" s="2" t="n">
        <v>2027</v>
      </c>
      <c r="C47" s="206" t="n">
        <v>43132</v>
      </c>
      <c r="D47" s="5" t="s">
        <v>22</v>
      </c>
      <c r="E47" s="165" t="s">
        <v>399</v>
      </c>
      <c r="F47" s="157" t="s">
        <v>617</v>
      </c>
      <c r="G47" s="5" t="s">
        <v>49</v>
      </c>
      <c r="H47" s="165" t="s">
        <v>4677</v>
      </c>
      <c r="I47" s="165" t="s">
        <v>26</v>
      </c>
      <c r="J47" s="158" t="n">
        <v>41.4</v>
      </c>
      <c r="K47" s="199" t="n">
        <v>340000</v>
      </c>
      <c r="L47" s="200" t="n">
        <f aca="false">K47/1.23*0.23</f>
        <v>63577.2357723577</v>
      </c>
      <c r="M47" s="199"/>
      <c r="N47" s="200" t="n">
        <f aca="false">M47/J47</f>
        <v>0</v>
      </c>
      <c r="O47" s="168" t="s">
        <v>4613</v>
      </c>
      <c r="Q47" s="168" t="n">
        <f aca="false">M47+P47</f>
        <v>0</v>
      </c>
      <c r="R47" s="168" t="n">
        <f aca="false">ROUND(Q47/J47, 2)</f>
        <v>0</v>
      </c>
      <c r="S47" s="158" t="s">
        <v>4678</v>
      </c>
      <c r="T47" s="158" t="s">
        <v>29</v>
      </c>
      <c r="U47" s="35" t="s">
        <v>30</v>
      </c>
      <c r="V47" s="47" t="s">
        <v>4568</v>
      </c>
      <c r="W47" s="172" t="s">
        <v>31</v>
      </c>
      <c r="X47" s="196" t="n">
        <v>43234</v>
      </c>
    </row>
    <row r="48" customFormat="false" ht="12.8" hidden="false" customHeight="false" outlineLevel="0" collapsed="false">
      <c r="A48" s="1" t="s">
        <v>4679</v>
      </c>
      <c r="B48" s="2" t="n">
        <v>626</v>
      </c>
      <c r="C48" s="206" t="n">
        <v>43159</v>
      </c>
      <c r="D48" s="5" t="s">
        <v>22</v>
      </c>
      <c r="E48" s="5" t="s">
        <v>319</v>
      </c>
      <c r="F48" s="157" t="s">
        <v>320</v>
      </c>
      <c r="G48" s="5" t="s">
        <v>111</v>
      </c>
      <c r="H48" s="165" t="s">
        <v>4576</v>
      </c>
      <c r="I48" s="165" t="s">
        <v>27</v>
      </c>
      <c r="J48" s="158" t="n">
        <v>103.99</v>
      </c>
      <c r="K48" s="199" t="n">
        <f aca="false">M48+L48</f>
        <v>1414500</v>
      </c>
      <c r="L48" s="200" t="n">
        <f aca="false">M48*0.23</f>
        <v>264500</v>
      </c>
      <c r="M48" s="199" t="n">
        <v>1150000</v>
      </c>
      <c r="N48" s="200" t="n">
        <f aca="false">M48/J48</f>
        <v>11058.7556495817</v>
      </c>
      <c r="O48" s="168"/>
      <c r="Q48" s="168" t="n">
        <f aca="false">M48+P48</f>
        <v>1150000</v>
      </c>
      <c r="R48" s="168" t="n">
        <f aca="false">ROUND(Q48/J48, 2)</f>
        <v>11058.76</v>
      </c>
      <c r="S48" s="158" t="s">
        <v>4680</v>
      </c>
      <c r="T48" s="158" t="s">
        <v>29</v>
      </c>
      <c r="U48" s="35" t="s">
        <v>30</v>
      </c>
      <c r="V48" s="47" t="s">
        <v>4568</v>
      </c>
      <c r="W48" s="172" t="s">
        <v>31</v>
      </c>
      <c r="X48" s="196" t="n">
        <v>43234</v>
      </c>
      <c r="Y48" s="1" t="s">
        <v>4681</v>
      </c>
    </row>
    <row r="49" customFormat="false" ht="12.8" hidden="false" customHeight="false" outlineLevel="0" collapsed="false">
      <c r="A49" s="1" t="s">
        <v>4682</v>
      </c>
      <c r="B49" s="2" t="n">
        <v>1049</v>
      </c>
      <c r="C49" s="206" t="n">
        <v>43151</v>
      </c>
      <c r="D49" s="5" t="s">
        <v>22</v>
      </c>
      <c r="E49" s="5" t="s">
        <v>665</v>
      </c>
      <c r="F49" s="157" t="s">
        <v>666</v>
      </c>
      <c r="G49" s="5" t="s">
        <v>101</v>
      </c>
      <c r="H49" s="165" t="s">
        <v>4595</v>
      </c>
      <c r="I49" s="165" t="s">
        <v>27</v>
      </c>
      <c r="J49" s="158" t="n">
        <v>26.3</v>
      </c>
      <c r="K49" s="199" t="n">
        <v>240000</v>
      </c>
      <c r="L49" s="200" t="n">
        <f aca="false">K49/1.23*0.23</f>
        <v>44878.0487804878</v>
      </c>
      <c r="M49" s="167"/>
      <c r="N49" s="200" t="n">
        <f aca="false">M49/J49</f>
        <v>0</v>
      </c>
      <c r="O49" s="168"/>
      <c r="Q49" s="168" t="n">
        <f aca="false">M49+P49</f>
        <v>0</v>
      </c>
      <c r="R49" s="168" t="n">
        <f aca="false">ROUND(Q49/J49, 2)</f>
        <v>0</v>
      </c>
      <c r="S49" s="158" t="s">
        <v>4683</v>
      </c>
      <c r="T49" s="158" t="s">
        <v>29</v>
      </c>
      <c r="U49" s="35" t="s">
        <v>30</v>
      </c>
      <c r="V49" s="47" t="s">
        <v>4568</v>
      </c>
      <c r="W49" s="172" t="s">
        <v>31</v>
      </c>
      <c r="X49" s="196" t="n">
        <v>43234</v>
      </c>
    </row>
    <row r="50" customFormat="false" ht="12.8" hidden="false" customHeight="false" outlineLevel="0" collapsed="false">
      <c r="A50" s="1" t="s">
        <v>4684</v>
      </c>
      <c r="B50" s="2" t="n">
        <v>865</v>
      </c>
      <c r="C50" s="206" t="n">
        <v>43173</v>
      </c>
      <c r="D50" s="5" t="s">
        <v>22</v>
      </c>
      <c r="E50" s="5" t="s">
        <v>284</v>
      </c>
      <c r="F50" s="157" t="s">
        <v>4685</v>
      </c>
      <c r="G50" s="5" t="s">
        <v>112</v>
      </c>
      <c r="H50" s="165" t="s">
        <v>126</v>
      </c>
      <c r="I50" s="165" t="s">
        <v>3427</v>
      </c>
      <c r="J50" s="158" t="n">
        <v>19.34</v>
      </c>
      <c r="K50" s="199" t="n">
        <v>45000</v>
      </c>
      <c r="L50" s="200" t="n">
        <f aca="false">K50/1.23*0.23</f>
        <v>8414.63414634146</v>
      </c>
      <c r="M50" s="199"/>
      <c r="N50" s="200" t="n">
        <f aca="false">M50/J50</f>
        <v>0</v>
      </c>
      <c r="Q50" s="168" t="n">
        <f aca="false">M50+P50</f>
        <v>0</v>
      </c>
      <c r="R50" s="168" t="n">
        <f aca="false">ROUND(Q50/J50, 2)</f>
        <v>0</v>
      </c>
      <c r="S50" s="158" t="s">
        <v>4686</v>
      </c>
      <c r="T50" s="158" t="s">
        <v>29</v>
      </c>
      <c r="U50" s="35" t="s">
        <v>30</v>
      </c>
      <c r="V50" s="47" t="s">
        <v>4568</v>
      </c>
      <c r="W50" s="172" t="s">
        <v>31</v>
      </c>
      <c r="X50" s="196" t="n">
        <v>43234</v>
      </c>
    </row>
    <row r="51" customFormat="false" ht="12.8" hidden="false" customHeight="false" outlineLevel="0" collapsed="false">
      <c r="B51" s="2" t="n">
        <v>865</v>
      </c>
      <c r="C51" s="206" t="n">
        <v>43173</v>
      </c>
      <c r="D51" s="5" t="s">
        <v>22</v>
      </c>
      <c r="E51" s="5" t="s">
        <v>284</v>
      </c>
      <c r="F51" s="157" t="s">
        <v>4685</v>
      </c>
      <c r="G51" s="5" t="s">
        <v>112</v>
      </c>
      <c r="H51" s="165" t="s">
        <v>55</v>
      </c>
      <c r="I51" s="165" t="s">
        <v>3427</v>
      </c>
      <c r="J51" s="158" t="n">
        <v>17.87</v>
      </c>
      <c r="K51" s="199" t="n">
        <v>45000</v>
      </c>
      <c r="L51" s="200" t="n">
        <f aca="false">K51/1.23*0.23</f>
        <v>8414.63414634146</v>
      </c>
      <c r="M51" s="199"/>
      <c r="N51" s="200" t="n">
        <f aca="false">M51/J51</f>
        <v>0</v>
      </c>
      <c r="Q51" s="168" t="n">
        <f aca="false">M51+P51</f>
        <v>0</v>
      </c>
      <c r="R51" s="168" t="n">
        <f aca="false">ROUND(Q51/J51, 2)</f>
        <v>0</v>
      </c>
      <c r="S51" s="158" t="s">
        <v>4687</v>
      </c>
      <c r="T51" s="158" t="s">
        <v>29</v>
      </c>
      <c r="U51" s="35" t="s">
        <v>30</v>
      </c>
      <c r="V51" s="47" t="s">
        <v>4568</v>
      </c>
      <c r="W51" s="172" t="s">
        <v>31</v>
      </c>
      <c r="X51" s="196" t="n">
        <v>43234</v>
      </c>
    </row>
    <row r="52" customFormat="false" ht="12.8" hidden="false" customHeight="false" outlineLevel="0" collapsed="false">
      <c r="A52" s="1" t="s">
        <v>4688</v>
      </c>
      <c r="B52" s="2" t="n">
        <v>4460</v>
      </c>
      <c r="C52" s="206" t="n">
        <v>43172</v>
      </c>
      <c r="D52" s="5" t="s">
        <v>22</v>
      </c>
      <c r="E52" s="5" t="s">
        <v>198</v>
      </c>
      <c r="F52" s="157" t="s">
        <v>199</v>
      </c>
      <c r="G52" s="5" t="s">
        <v>1001</v>
      </c>
      <c r="H52" s="165" t="s">
        <v>4580</v>
      </c>
      <c r="I52" s="165" t="s">
        <v>27</v>
      </c>
      <c r="J52" s="158" t="n">
        <v>117.02</v>
      </c>
      <c r="K52" s="199" t="n">
        <v>865440.3</v>
      </c>
      <c r="L52" s="200" t="n">
        <f aca="false">K52/1.23*0.23</f>
        <v>161830.3</v>
      </c>
      <c r="M52" s="199"/>
      <c r="N52" s="200" t="n">
        <f aca="false">M52/J52</f>
        <v>0</v>
      </c>
      <c r="O52" s="167" t="s">
        <v>4689</v>
      </c>
      <c r="Q52" s="168" t="n">
        <f aca="false">M52+P52</f>
        <v>0</v>
      </c>
      <c r="R52" s="168" t="n">
        <f aca="false">ROUND(Q52/J52, 2)</f>
        <v>0</v>
      </c>
      <c r="S52" s="158" t="s">
        <v>4690</v>
      </c>
      <c r="T52" s="158" t="s">
        <v>29</v>
      </c>
      <c r="U52" s="35" t="s">
        <v>30</v>
      </c>
      <c r="V52" s="47" t="s">
        <v>4568</v>
      </c>
      <c r="W52" s="172" t="s">
        <v>31</v>
      </c>
      <c r="X52" s="196" t="n">
        <v>43234</v>
      </c>
    </row>
    <row r="53" customFormat="false" ht="12.8" hidden="false" customHeight="false" outlineLevel="0" collapsed="false">
      <c r="A53" s="1" t="s">
        <v>4691</v>
      </c>
      <c r="B53" s="2" t="n">
        <v>8267</v>
      </c>
      <c r="C53" s="206" t="n">
        <v>43174</v>
      </c>
      <c r="D53" s="5" t="s">
        <v>22</v>
      </c>
      <c r="E53" s="5" t="s">
        <v>623</v>
      </c>
      <c r="F53" s="157" t="s">
        <v>434</v>
      </c>
      <c r="G53" s="5" t="s">
        <v>624</v>
      </c>
      <c r="H53" s="165" t="s">
        <v>4583</v>
      </c>
      <c r="I53" s="165" t="s">
        <v>27</v>
      </c>
      <c r="J53" s="158" t="n">
        <v>58.06</v>
      </c>
      <c r="K53" s="199" t="n">
        <f aca="false">L53+M53</f>
        <v>725700</v>
      </c>
      <c r="L53" s="200" t="n">
        <f aca="false">M53*0.23</f>
        <v>135700</v>
      </c>
      <c r="M53" s="199" t="n">
        <v>590000</v>
      </c>
      <c r="N53" s="200" t="n">
        <f aca="false">M53/J53</f>
        <v>10161.9014812263</v>
      </c>
      <c r="Q53" s="168" t="n">
        <f aca="false">M53+P53</f>
        <v>590000</v>
      </c>
      <c r="R53" s="168" t="n">
        <f aca="false">ROUND(Q53/J53, 2)</f>
        <v>10161.9</v>
      </c>
      <c r="S53" s="158" t="s">
        <v>4692</v>
      </c>
      <c r="T53" s="158" t="s">
        <v>29</v>
      </c>
      <c r="U53" s="35" t="s">
        <v>30</v>
      </c>
      <c r="V53" s="47" t="s">
        <v>4568</v>
      </c>
      <c r="W53" s="172" t="s">
        <v>31</v>
      </c>
      <c r="X53" s="196" t="n">
        <v>43234</v>
      </c>
    </row>
    <row r="54" customFormat="false" ht="23.85" hidden="false" customHeight="false" outlineLevel="0" collapsed="false">
      <c r="A54" s="1" t="s">
        <v>4693</v>
      </c>
      <c r="B54" s="2" t="n">
        <v>1766</v>
      </c>
      <c r="C54" s="206" t="n">
        <v>43167</v>
      </c>
      <c r="D54" s="5" t="s">
        <v>22</v>
      </c>
      <c r="E54" s="5" t="s">
        <v>3491</v>
      </c>
      <c r="F54" s="157" t="s">
        <v>195</v>
      </c>
      <c r="G54" s="5" t="s">
        <v>147</v>
      </c>
      <c r="H54" s="165" t="s">
        <v>49</v>
      </c>
      <c r="I54" s="165" t="s">
        <v>27</v>
      </c>
      <c r="J54" s="158" t="n">
        <v>131.07</v>
      </c>
      <c r="K54" s="199" t="n">
        <v>1279200</v>
      </c>
      <c r="L54" s="200" t="n">
        <f aca="false">K54/1.23*0.23</f>
        <v>239200</v>
      </c>
      <c r="M54" s="199"/>
      <c r="N54" s="200" t="n">
        <f aca="false">M54/J54</f>
        <v>0</v>
      </c>
      <c r="O54" s="167" t="s">
        <v>258</v>
      </c>
      <c r="P54" s="168" t="n">
        <v>90000</v>
      </c>
      <c r="Q54" s="168" t="n">
        <f aca="false">M54+P54</f>
        <v>90000</v>
      </c>
      <c r="R54" s="168" t="n">
        <f aca="false">ROUND(Q54/J54, 2)</f>
        <v>686.66</v>
      </c>
      <c r="S54" s="158" t="s">
        <v>4694</v>
      </c>
      <c r="T54" s="158" t="s">
        <v>29</v>
      </c>
      <c r="U54" s="35" t="s">
        <v>30</v>
      </c>
      <c r="V54" s="47" t="s">
        <v>4568</v>
      </c>
      <c r="W54" s="172" t="s">
        <v>31</v>
      </c>
      <c r="X54" s="196" t="n">
        <v>43234</v>
      </c>
    </row>
    <row r="55" customFormat="false" ht="12.8" hidden="false" customHeight="false" outlineLevel="0" collapsed="false">
      <c r="A55" s="1" t="s">
        <v>4695</v>
      </c>
      <c r="B55" s="2" t="n">
        <v>583</v>
      </c>
      <c r="C55" s="206" t="n">
        <v>43160</v>
      </c>
      <c r="D55" s="5" t="s">
        <v>22</v>
      </c>
      <c r="E55" s="5" t="s">
        <v>343</v>
      </c>
      <c r="F55" s="157" t="s">
        <v>344</v>
      </c>
      <c r="G55" s="5" t="s">
        <v>472</v>
      </c>
      <c r="H55" s="165" t="s">
        <v>49</v>
      </c>
      <c r="I55" s="165" t="s">
        <v>27</v>
      </c>
      <c r="J55" s="158" t="n">
        <v>71.3</v>
      </c>
      <c r="K55" s="199" t="n">
        <v>719000</v>
      </c>
      <c r="L55" s="200" t="n">
        <f aca="false">K55/1.23*0.23</f>
        <v>134447.154471545</v>
      </c>
      <c r="M55" s="199"/>
      <c r="N55" s="200" t="n">
        <f aca="false">M55/J55</f>
        <v>0</v>
      </c>
      <c r="O55" s="167" t="s">
        <v>727</v>
      </c>
      <c r="P55" s="168" t="n">
        <v>1000</v>
      </c>
      <c r="Q55" s="168" t="n">
        <f aca="false">M55+P55</f>
        <v>1000</v>
      </c>
      <c r="R55" s="168" t="n">
        <f aca="false">ROUND(Q55/J55, 2)</f>
        <v>14.03</v>
      </c>
      <c r="S55" s="158" t="s">
        <v>4696</v>
      </c>
      <c r="T55" s="158" t="s">
        <v>29</v>
      </c>
      <c r="U55" s="35" t="s">
        <v>30</v>
      </c>
      <c r="V55" s="47" t="s">
        <v>4568</v>
      </c>
      <c r="W55" s="172" t="s">
        <v>31</v>
      </c>
      <c r="X55" s="196" t="n">
        <v>43234</v>
      </c>
    </row>
    <row r="56" customFormat="false" ht="12.8" hidden="false" customHeight="false" outlineLevel="0" collapsed="false">
      <c r="A56" s="1" t="s">
        <v>4697</v>
      </c>
      <c r="B56" s="2" t="n">
        <v>2366</v>
      </c>
      <c r="C56" s="206" t="n">
        <v>43118</v>
      </c>
      <c r="D56" s="5" t="s">
        <v>22</v>
      </c>
      <c r="E56" s="5" t="s">
        <v>113</v>
      </c>
      <c r="F56" s="157" t="s">
        <v>851</v>
      </c>
      <c r="G56" s="5" t="s">
        <v>82</v>
      </c>
      <c r="H56" s="165" t="s">
        <v>579</v>
      </c>
      <c r="I56" s="165" t="s">
        <v>143</v>
      </c>
      <c r="J56" s="158" t="n">
        <v>51.1</v>
      </c>
      <c r="K56" s="199" t="n">
        <f aca="false">L56+M56</f>
        <v>247230</v>
      </c>
      <c r="L56" s="200" t="n">
        <f aca="false">M56*0.23</f>
        <v>46230</v>
      </c>
      <c r="M56" s="199" t="n">
        <v>201000</v>
      </c>
      <c r="N56" s="200" t="n">
        <f aca="false">M56/J56</f>
        <v>3933.4637964775</v>
      </c>
      <c r="O56" s="168"/>
      <c r="Q56" s="168" t="n">
        <f aca="false">M56+P56</f>
        <v>201000</v>
      </c>
      <c r="R56" s="168" t="n">
        <f aca="false">ROUND(Q56/J56, 2)</f>
        <v>3933.46</v>
      </c>
      <c r="S56" s="158" t="s">
        <v>4698</v>
      </c>
      <c r="T56" s="158" t="s">
        <v>29</v>
      </c>
      <c r="U56" s="35" t="s">
        <v>30</v>
      </c>
      <c r="V56" s="47" t="s">
        <v>4568</v>
      </c>
      <c r="W56" s="172" t="s">
        <v>31</v>
      </c>
      <c r="X56" s="196" t="n">
        <v>43234</v>
      </c>
    </row>
    <row r="57" s="32" customFormat="true" ht="12.8" hidden="false" customHeight="false" outlineLevel="0" collapsed="false">
      <c r="A57" s="249" t="s">
        <v>4699</v>
      </c>
      <c r="B57" s="80" t="n">
        <v>1711</v>
      </c>
      <c r="C57" s="219" t="n">
        <v>43161</v>
      </c>
      <c r="D57" s="43" t="s">
        <v>22</v>
      </c>
      <c r="E57" s="73" t="s">
        <v>522</v>
      </c>
      <c r="F57" s="72" t="s">
        <v>523</v>
      </c>
      <c r="G57" s="73" t="s">
        <v>294</v>
      </c>
      <c r="H57" s="47" t="s">
        <v>4700</v>
      </c>
      <c r="I57" s="47" t="s">
        <v>27</v>
      </c>
      <c r="J57" s="74" t="n">
        <v>68.8</v>
      </c>
      <c r="K57" s="75" t="n">
        <v>784318.77</v>
      </c>
      <c r="L57" s="76" t="n">
        <f aca="false">M57*0.08</f>
        <v>58097.6866666667</v>
      </c>
      <c r="M57" s="75" t="n">
        <f aca="false">K57/1.08</f>
        <v>726221.083333333</v>
      </c>
      <c r="N57" s="76" t="n">
        <f aca="false">M57/J57</f>
        <v>10555.539001938</v>
      </c>
      <c r="O57" s="78" t="s">
        <v>205</v>
      </c>
      <c r="P57" s="78" t="n">
        <v>30000</v>
      </c>
      <c r="Q57" s="78" t="n">
        <f aca="false">M57+P57</f>
        <v>756221.083333333</v>
      </c>
      <c r="R57" s="78" t="n">
        <f aca="false">ROUND(Q57/J57, 2)</f>
        <v>10991.59</v>
      </c>
      <c r="S57" s="74" t="s">
        <v>4701</v>
      </c>
      <c r="T57" s="79" t="s">
        <v>29</v>
      </c>
      <c r="U57" s="74" t="s">
        <v>1915</v>
      </c>
      <c r="V57" s="47" t="s">
        <v>4568</v>
      </c>
      <c r="W57" s="172" t="s">
        <v>31</v>
      </c>
      <c r="X57" s="250" t="n">
        <v>43234</v>
      </c>
    </row>
    <row r="58" s="1" customFormat="true" ht="12.8" hidden="false" customHeight="false" outlineLevel="0" collapsed="false">
      <c r="A58" s="1" t="s">
        <v>4702</v>
      </c>
      <c r="B58" s="2" t="n">
        <v>703</v>
      </c>
      <c r="C58" s="206" t="n">
        <v>43193</v>
      </c>
      <c r="D58" s="5" t="s">
        <v>22</v>
      </c>
      <c r="E58" s="5" t="s">
        <v>109</v>
      </c>
      <c r="F58" s="157" t="s">
        <v>94</v>
      </c>
      <c r="G58" s="5" t="s">
        <v>2850</v>
      </c>
      <c r="H58" s="165" t="s">
        <v>47</v>
      </c>
      <c r="I58" s="165" t="s">
        <v>27</v>
      </c>
      <c r="J58" s="158" t="n">
        <v>107.32</v>
      </c>
      <c r="K58" s="199" t="n">
        <v>1997784.34</v>
      </c>
      <c r="L58" s="199" t="n">
        <f aca="false">M58*0.23</f>
        <v>373569.4293</v>
      </c>
      <c r="M58" s="199" t="n">
        <v>1624214.91</v>
      </c>
      <c r="N58" s="200" t="n">
        <f aca="false">M58/J58</f>
        <v>15134.3170890794</v>
      </c>
      <c r="O58" s="168"/>
      <c r="P58" s="168" t="n">
        <f aca="false">ROUND(O58/J58, 2)</f>
        <v>0</v>
      </c>
      <c r="Q58" s="168" t="n">
        <f aca="false">M58+P58</f>
        <v>1624214.91</v>
      </c>
      <c r="R58" s="168" t="n">
        <f aca="false">ROUND(Q58/J58, 2)</f>
        <v>15134.32</v>
      </c>
      <c r="S58" s="158" t="s">
        <v>4703</v>
      </c>
      <c r="T58" s="158" t="s">
        <v>29</v>
      </c>
      <c r="U58" s="35" t="s">
        <v>30</v>
      </c>
      <c r="V58" s="47" t="s">
        <v>4568</v>
      </c>
      <c r="W58" s="172" t="s">
        <v>31</v>
      </c>
      <c r="X58" s="196" t="n">
        <v>43343</v>
      </c>
    </row>
    <row r="59" s="1" customFormat="true" ht="12.8" hidden="false" customHeight="false" outlineLevel="0" collapsed="false">
      <c r="A59" s="116"/>
      <c r="B59" s="2" t="n">
        <v>703</v>
      </c>
      <c r="C59" s="206" t="n">
        <v>43193</v>
      </c>
      <c r="D59" s="5" t="s">
        <v>22</v>
      </c>
      <c r="E59" s="5" t="s">
        <v>109</v>
      </c>
      <c r="F59" s="157" t="s">
        <v>94</v>
      </c>
      <c r="G59" s="5" t="s">
        <v>2850</v>
      </c>
      <c r="H59" s="165" t="s">
        <v>300</v>
      </c>
      <c r="I59" s="165" t="s">
        <v>27</v>
      </c>
      <c r="J59" s="158" t="n">
        <v>183.41</v>
      </c>
      <c r="K59" s="199" t="n">
        <v>3414215.66</v>
      </c>
      <c r="L59" s="199" t="n">
        <f aca="false">M59*0.23</f>
        <v>638430.5707</v>
      </c>
      <c r="M59" s="199" t="n">
        <v>2775785.09</v>
      </c>
      <c r="N59" s="200" t="n">
        <f aca="false">M59/J59</f>
        <v>15134.317049234</v>
      </c>
      <c r="O59" s="168" t="s">
        <v>4704</v>
      </c>
      <c r="P59" s="168" t="n">
        <f aca="false">80300*1.23</f>
        <v>98769</v>
      </c>
      <c r="Q59" s="168" t="n">
        <f aca="false">M59+P59</f>
        <v>2874554.09</v>
      </c>
      <c r="R59" s="168" t="n">
        <f aca="false">ROUND(Q59/J59, 2)</f>
        <v>15672.83</v>
      </c>
      <c r="S59" s="158" t="s">
        <v>4705</v>
      </c>
      <c r="T59" s="158" t="s">
        <v>29</v>
      </c>
      <c r="U59" s="35" t="s">
        <v>30</v>
      </c>
      <c r="V59" s="47" t="s">
        <v>4568</v>
      </c>
      <c r="W59" s="172" t="s">
        <v>31</v>
      </c>
      <c r="X59" s="196" t="n">
        <v>43343</v>
      </c>
    </row>
    <row r="60" s="1" customFormat="true" ht="12.8" hidden="false" customHeight="false" outlineLevel="0" collapsed="false">
      <c r="A60" s="1" t="n">
        <v>105837</v>
      </c>
      <c r="B60" s="2" t="n">
        <v>2797</v>
      </c>
      <c r="C60" s="206" t="n">
        <v>43243</v>
      </c>
      <c r="D60" s="5" t="s">
        <v>22</v>
      </c>
      <c r="E60" s="5" t="s">
        <v>389</v>
      </c>
      <c r="F60" s="157" t="s">
        <v>46</v>
      </c>
      <c r="G60" s="5" t="s">
        <v>390</v>
      </c>
      <c r="H60" s="165" t="s">
        <v>4599</v>
      </c>
      <c r="I60" s="165" t="s">
        <v>27</v>
      </c>
      <c r="J60" s="158" t="n">
        <f aca="false">26.84-3.95</f>
        <v>22.89</v>
      </c>
      <c r="K60" s="199" t="n">
        <v>260000</v>
      </c>
      <c r="L60" s="199" t="n">
        <f aca="false">M60*0.23</f>
        <v>0</v>
      </c>
      <c r="M60" s="199"/>
      <c r="N60" s="200" t="n">
        <f aca="false">M60/J60</f>
        <v>0</v>
      </c>
      <c r="O60" s="168" t="s">
        <v>4706</v>
      </c>
      <c r="P60" s="168"/>
      <c r="Q60" s="168" t="n">
        <f aca="false">M60+P60</f>
        <v>0</v>
      </c>
      <c r="R60" s="168" t="n">
        <f aca="false">ROUND(Q60/J60, 2)</f>
        <v>0</v>
      </c>
      <c r="S60" s="158" t="s">
        <v>4707</v>
      </c>
      <c r="T60" s="158" t="s">
        <v>29</v>
      </c>
      <c r="U60" s="35" t="s">
        <v>30</v>
      </c>
      <c r="V60" s="47" t="s">
        <v>4568</v>
      </c>
      <c r="W60" s="172" t="s">
        <v>31</v>
      </c>
      <c r="X60" s="196" t="n">
        <v>43343</v>
      </c>
    </row>
    <row r="61" s="1" customFormat="true" ht="12.8" hidden="false" customHeight="false" outlineLevel="0" collapsed="false">
      <c r="A61" s="1" t="n">
        <v>104743</v>
      </c>
      <c r="B61" s="2" t="n">
        <v>21484</v>
      </c>
      <c r="C61" s="206" t="n">
        <v>43235</v>
      </c>
      <c r="D61" s="5" t="s">
        <v>22</v>
      </c>
      <c r="E61" s="5" t="s">
        <v>72</v>
      </c>
      <c r="F61" s="157" t="s">
        <v>46</v>
      </c>
      <c r="G61" s="5" t="s">
        <v>610</v>
      </c>
      <c r="H61" s="165" t="s">
        <v>111</v>
      </c>
      <c r="I61" s="165" t="s">
        <v>27</v>
      </c>
      <c r="J61" s="158" t="n">
        <v>75.86</v>
      </c>
      <c r="K61" s="199" t="n">
        <v>975000</v>
      </c>
      <c r="L61" s="199" t="n">
        <f aca="false">M61*0.23</f>
        <v>0</v>
      </c>
      <c r="M61" s="199"/>
      <c r="N61" s="200" t="n">
        <f aca="false">M61/J61</f>
        <v>0</v>
      </c>
      <c r="O61" s="168"/>
      <c r="P61" s="168"/>
      <c r="Q61" s="168" t="n">
        <f aca="false">M61+P61</f>
        <v>0</v>
      </c>
      <c r="R61" s="168" t="n">
        <f aca="false">ROUND(Q61/J61, 2)</f>
        <v>0</v>
      </c>
      <c r="S61" s="158" t="s">
        <v>4708</v>
      </c>
      <c r="T61" s="158" t="s">
        <v>29</v>
      </c>
      <c r="U61" s="35" t="s">
        <v>30</v>
      </c>
      <c r="V61" s="47" t="s">
        <v>4568</v>
      </c>
      <c r="W61" s="172" t="s">
        <v>31</v>
      </c>
      <c r="X61" s="196" t="n">
        <v>43343</v>
      </c>
    </row>
    <row r="62" s="1" customFormat="true" ht="12.8" hidden="false" customHeight="false" outlineLevel="0" collapsed="false">
      <c r="A62" s="1" t="n">
        <v>92720</v>
      </c>
      <c r="B62" s="2" t="n">
        <v>1302</v>
      </c>
      <c r="C62" s="206" t="n">
        <v>43185</v>
      </c>
      <c r="D62" s="5" t="s">
        <v>22</v>
      </c>
      <c r="E62" s="5" t="s">
        <v>251</v>
      </c>
      <c r="F62" s="157" t="s">
        <v>1365</v>
      </c>
      <c r="G62" s="5" t="s">
        <v>1210</v>
      </c>
      <c r="H62" s="165" t="s">
        <v>4580</v>
      </c>
      <c r="I62" s="165" t="s">
        <v>27</v>
      </c>
      <c r="J62" s="158" t="n">
        <v>58.41</v>
      </c>
      <c r="K62" s="199" t="n">
        <v>400000</v>
      </c>
      <c r="L62" s="199" t="n">
        <f aca="false">M62*0.23</f>
        <v>0</v>
      </c>
      <c r="M62" s="199"/>
      <c r="N62" s="200" t="n">
        <f aca="false">M62/J62</f>
        <v>0</v>
      </c>
      <c r="O62" s="168" t="s">
        <v>205</v>
      </c>
      <c r="P62" s="168"/>
      <c r="Q62" s="168" t="n">
        <f aca="false">M62+P62</f>
        <v>0</v>
      </c>
      <c r="R62" s="168" t="n">
        <f aca="false">ROUND(Q62/J62, 2)</f>
        <v>0</v>
      </c>
      <c r="S62" s="158" t="s">
        <v>4709</v>
      </c>
      <c r="T62" s="158" t="s">
        <v>29</v>
      </c>
      <c r="U62" s="35" t="s">
        <v>30</v>
      </c>
      <c r="V62" s="47" t="s">
        <v>4568</v>
      </c>
      <c r="W62" s="172" t="s">
        <v>31</v>
      </c>
      <c r="X62" s="196" t="n">
        <v>43343</v>
      </c>
    </row>
    <row r="63" s="1" customFormat="true" ht="12.8" hidden="false" customHeight="false" outlineLevel="0" collapsed="false">
      <c r="A63" s="1" t="n">
        <v>92128</v>
      </c>
      <c r="B63" s="2" t="n">
        <v>2481</v>
      </c>
      <c r="C63" s="206" t="n">
        <v>43175</v>
      </c>
      <c r="D63" s="5" t="s">
        <v>22</v>
      </c>
      <c r="E63" s="5" t="s">
        <v>125</v>
      </c>
      <c r="F63" s="157" t="s">
        <v>94</v>
      </c>
      <c r="G63" s="5" t="s">
        <v>280</v>
      </c>
      <c r="H63" s="165" t="s">
        <v>77</v>
      </c>
      <c r="I63" s="165" t="s">
        <v>27</v>
      </c>
      <c r="J63" s="158" t="n">
        <f aca="false">122.87-15.69</f>
        <v>107.18</v>
      </c>
      <c r="K63" s="199" t="n">
        <v>1300000</v>
      </c>
      <c r="L63" s="199" t="n">
        <f aca="false">M63*0.23</f>
        <v>0</v>
      </c>
      <c r="M63" s="199"/>
      <c r="N63" s="200" t="n">
        <f aca="false">M63/J63</f>
        <v>0</v>
      </c>
      <c r="O63" s="168" t="s">
        <v>4710</v>
      </c>
      <c r="P63" s="168"/>
      <c r="Q63" s="168" t="n">
        <f aca="false">M63+P63</f>
        <v>0</v>
      </c>
      <c r="R63" s="168" t="n">
        <f aca="false">ROUND(Q63/J63, 2)</f>
        <v>0</v>
      </c>
      <c r="S63" s="158" t="s">
        <v>4711</v>
      </c>
      <c r="T63" s="158" t="s">
        <v>29</v>
      </c>
      <c r="U63" s="35" t="s">
        <v>30</v>
      </c>
      <c r="V63" s="47" t="s">
        <v>4568</v>
      </c>
      <c r="W63" s="172" t="s">
        <v>31</v>
      </c>
      <c r="X63" s="196" t="n">
        <v>43343</v>
      </c>
      <c r="Y63" s="1" t="s">
        <v>4712</v>
      </c>
    </row>
    <row r="64" s="1" customFormat="true" ht="12.8" hidden="false" customHeight="false" outlineLevel="0" collapsed="false">
      <c r="A64" s="1" t="n">
        <v>92145</v>
      </c>
      <c r="B64" s="2" t="n">
        <v>710</v>
      </c>
      <c r="C64" s="206" t="n">
        <v>43174</v>
      </c>
      <c r="D64" s="5" t="s">
        <v>22</v>
      </c>
      <c r="E64" s="5" t="s">
        <v>156</v>
      </c>
      <c r="F64" s="157" t="s">
        <v>392</v>
      </c>
      <c r="G64" s="5" t="s">
        <v>408</v>
      </c>
      <c r="H64" s="165" t="s">
        <v>4583</v>
      </c>
      <c r="I64" s="165" t="s">
        <v>27</v>
      </c>
      <c r="J64" s="158" t="n">
        <v>28.27</v>
      </c>
      <c r="K64" s="199" t="n">
        <v>265000</v>
      </c>
      <c r="L64" s="199" t="n">
        <f aca="false">M64*0.23</f>
        <v>0</v>
      </c>
      <c r="M64" s="199"/>
      <c r="N64" s="200" t="n">
        <f aca="false">M64/J64</f>
        <v>0</v>
      </c>
      <c r="O64" s="168" t="s">
        <v>234</v>
      </c>
      <c r="P64" s="168"/>
      <c r="Q64" s="168" t="n">
        <f aca="false">M64+P64</f>
        <v>0</v>
      </c>
      <c r="R64" s="168" t="n">
        <f aca="false">ROUND(Q64/J64, 2)</f>
        <v>0</v>
      </c>
      <c r="S64" s="158" t="s">
        <v>4713</v>
      </c>
      <c r="T64" s="158" t="s">
        <v>29</v>
      </c>
      <c r="U64" s="35" t="s">
        <v>30</v>
      </c>
      <c r="V64" s="47" t="s">
        <v>4568</v>
      </c>
      <c r="W64" s="172" t="s">
        <v>31</v>
      </c>
      <c r="X64" s="196" t="n">
        <v>43343</v>
      </c>
      <c r="Y64" s="116"/>
    </row>
    <row r="65" customFormat="false" ht="12.8" hidden="false" customHeight="false" outlineLevel="0" collapsed="false">
      <c r="A65" s="1" t="n">
        <v>130107</v>
      </c>
      <c r="B65" s="2" t="n">
        <v>10788</v>
      </c>
      <c r="C65" s="206" t="n">
        <v>43271</v>
      </c>
      <c r="D65" s="5" t="s">
        <v>22</v>
      </c>
      <c r="E65" s="5" t="s">
        <v>42</v>
      </c>
      <c r="F65" s="157" t="s">
        <v>24</v>
      </c>
      <c r="G65" s="5" t="s">
        <v>57</v>
      </c>
      <c r="H65" s="165" t="s">
        <v>4595</v>
      </c>
      <c r="I65" s="165" t="s">
        <v>27</v>
      </c>
      <c r="J65" s="158" t="n">
        <f aca="false">86.2-8.04</f>
        <v>78.16</v>
      </c>
      <c r="K65" s="199" t="n">
        <v>1158660</v>
      </c>
      <c r="L65" s="199" t="n">
        <f aca="false">M65*0.23</f>
        <v>216660</v>
      </c>
      <c r="M65" s="200" t="n">
        <f aca="false">K65/1.23</f>
        <v>942000</v>
      </c>
      <c r="N65" s="200" t="n">
        <f aca="false">M65/J65</f>
        <v>12052.2006141249</v>
      </c>
      <c r="O65" s="168" t="s">
        <v>4714</v>
      </c>
      <c r="P65" s="168" t="n">
        <v>98400</v>
      </c>
      <c r="Q65" s="168" t="n">
        <f aca="false">M65+P65</f>
        <v>1040400</v>
      </c>
      <c r="R65" s="168" t="n">
        <f aca="false">ROUND(Q65/J65, 2)</f>
        <v>13311.16</v>
      </c>
      <c r="S65" s="5" t="s">
        <v>4715</v>
      </c>
      <c r="T65" s="169" t="s">
        <v>29</v>
      </c>
      <c r="U65" s="158" t="s">
        <v>1915</v>
      </c>
      <c r="V65" s="47" t="s">
        <v>4568</v>
      </c>
      <c r="W65" s="172" t="s">
        <v>31</v>
      </c>
      <c r="X65" s="196" t="n">
        <v>43343</v>
      </c>
    </row>
    <row r="66" customFormat="false" ht="12.8" hidden="false" customHeight="false" outlineLevel="0" collapsed="false">
      <c r="A66" s="1" t="n">
        <v>113756</v>
      </c>
      <c r="B66" s="2" t="n">
        <v>3567</v>
      </c>
      <c r="C66" s="206" t="n">
        <v>43193</v>
      </c>
      <c r="D66" s="5" t="s">
        <v>22</v>
      </c>
      <c r="E66" s="5" t="s">
        <v>322</v>
      </c>
      <c r="F66" s="157" t="s">
        <v>351</v>
      </c>
      <c r="G66" s="5" t="s">
        <v>1648</v>
      </c>
      <c r="H66" s="165" t="s">
        <v>4716</v>
      </c>
      <c r="I66" s="165" t="s">
        <v>26</v>
      </c>
      <c r="J66" s="158" t="n">
        <v>103.16</v>
      </c>
      <c r="K66" s="199" t="n">
        <v>1446509</v>
      </c>
      <c r="L66" s="199" t="n">
        <f aca="false">M66*0.23</f>
        <v>270485.4257</v>
      </c>
      <c r="M66" s="200" t="n">
        <f aca="false">1446509-270485.41</f>
        <v>1176023.59</v>
      </c>
      <c r="N66" s="200" t="n">
        <f aca="false">M66/J66</f>
        <v>11399.9960255913</v>
      </c>
      <c r="O66" s="168" t="s">
        <v>258</v>
      </c>
      <c r="P66" s="168" t="n">
        <v>42000</v>
      </c>
      <c r="Q66" s="168" t="n">
        <f aca="false">M66+P66</f>
        <v>1218023.59</v>
      </c>
      <c r="R66" s="168" t="n">
        <f aca="false">ROUND(Q66/J66, 2)</f>
        <v>11807.13</v>
      </c>
      <c r="S66" s="158" t="s">
        <v>4717</v>
      </c>
      <c r="T66" s="169" t="s">
        <v>29</v>
      </c>
      <c r="U66" s="35" t="s">
        <v>30</v>
      </c>
      <c r="V66" s="47" t="s">
        <v>4568</v>
      </c>
      <c r="W66" s="172" t="s">
        <v>31</v>
      </c>
      <c r="X66" s="164" t="n">
        <v>43343</v>
      </c>
    </row>
    <row r="67" customFormat="false" ht="12.8" hidden="false" customHeight="false" outlineLevel="0" collapsed="false">
      <c r="B67" s="2" t="n">
        <v>12194</v>
      </c>
      <c r="C67" s="206" t="n">
        <v>43412</v>
      </c>
      <c r="D67" s="5" t="s">
        <v>22</v>
      </c>
      <c r="E67" s="5" t="s">
        <v>23</v>
      </c>
      <c r="F67" s="157" t="s">
        <v>272</v>
      </c>
      <c r="G67" s="5" t="s">
        <v>2158</v>
      </c>
      <c r="H67" s="165" t="s">
        <v>4586</v>
      </c>
      <c r="I67" s="165" t="s">
        <v>27</v>
      </c>
      <c r="J67" s="158" t="n">
        <v>143.11</v>
      </c>
      <c r="K67" s="199" t="n">
        <v>2547551.04</v>
      </c>
      <c r="L67" s="199" t="n">
        <f aca="false">K67/1.23*0.23</f>
        <v>476371.332682927</v>
      </c>
      <c r="M67" s="248" t="n">
        <f aca="false">K67-L67</f>
        <v>2071179.70731707</v>
      </c>
      <c r="N67" s="200" t="n">
        <f aca="false">M67/J67</f>
        <v>14472.641375984</v>
      </c>
      <c r="O67" s="168" t="s">
        <v>1694</v>
      </c>
      <c r="P67" s="168" t="n">
        <v>0</v>
      </c>
      <c r="Q67" s="168" t="n">
        <f aca="false">M67+P67</f>
        <v>2071179.70731707</v>
      </c>
      <c r="R67" s="168" t="n">
        <f aca="false">ROUND(Q67/J67, 2)</f>
        <v>14472.64</v>
      </c>
      <c r="S67" s="169" t="s">
        <v>4718</v>
      </c>
      <c r="T67" s="169" t="s">
        <v>29</v>
      </c>
      <c r="U67" s="35" t="s">
        <v>1915</v>
      </c>
      <c r="V67" s="47" t="s">
        <v>4568</v>
      </c>
      <c r="W67" s="172" t="s">
        <v>31</v>
      </c>
      <c r="X67" s="251" t="n">
        <v>43514</v>
      </c>
    </row>
    <row r="68" s="151" customFormat="true" ht="12.8" hidden="false" customHeight="false" outlineLevel="0" collapsed="false">
      <c r="B68" s="4" t="n">
        <v>8424</v>
      </c>
      <c r="C68" s="206" t="n">
        <v>43420</v>
      </c>
      <c r="D68" s="5" t="s">
        <v>22</v>
      </c>
      <c r="E68" s="5" t="s">
        <v>229</v>
      </c>
      <c r="F68" s="157" t="s">
        <v>230</v>
      </c>
      <c r="G68" s="5" t="s">
        <v>275</v>
      </c>
      <c r="H68" s="165" t="s">
        <v>4586</v>
      </c>
      <c r="I68" s="165" t="s">
        <v>27</v>
      </c>
      <c r="J68" s="158" t="n">
        <v>120.4</v>
      </c>
      <c r="K68" s="199" t="n">
        <v>1357682.2</v>
      </c>
      <c r="L68" s="200" t="n">
        <f aca="false">K68/1.23*0.23</f>
        <v>253875.533333333</v>
      </c>
      <c r="M68" s="248" t="n">
        <f aca="false">K68-L68</f>
        <v>1103806.66666667</v>
      </c>
      <c r="N68" s="200" t="n">
        <f aca="false">M68/J68</f>
        <v>9167.82945736434</v>
      </c>
      <c r="O68" s="168" t="s">
        <v>4719</v>
      </c>
      <c r="P68" s="168" t="n">
        <v>0</v>
      </c>
      <c r="Q68" s="168" t="n">
        <f aca="false">M68+P68</f>
        <v>1103806.66666667</v>
      </c>
      <c r="R68" s="168" t="n">
        <f aca="false">ROUND(Q68/J68, 2)</f>
        <v>9167.83</v>
      </c>
      <c r="S68" s="169" t="s">
        <v>4720</v>
      </c>
      <c r="T68" s="169" t="s">
        <v>29</v>
      </c>
      <c r="U68" s="35" t="s">
        <v>1915</v>
      </c>
      <c r="V68" s="47" t="s">
        <v>4568</v>
      </c>
      <c r="W68" s="172" t="s">
        <v>31</v>
      </c>
      <c r="X68" s="252" t="n">
        <v>43514</v>
      </c>
    </row>
    <row r="69" customFormat="false" ht="12.8" hidden="false" customHeight="false" outlineLevel="0" collapsed="false">
      <c r="B69" s="5" t="s">
        <v>4721</v>
      </c>
      <c r="C69" s="206" t="n">
        <v>43413</v>
      </c>
      <c r="D69" s="5" t="s">
        <v>22</v>
      </c>
      <c r="E69" s="5" t="s">
        <v>198</v>
      </c>
      <c r="F69" s="207" t="s">
        <v>199</v>
      </c>
      <c r="G69" s="5" t="s">
        <v>912</v>
      </c>
      <c r="H69" s="5" t="s">
        <v>4595</v>
      </c>
      <c r="I69" s="5" t="s">
        <v>27</v>
      </c>
      <c r="J69" s="158" t="n">
        <v>90.08</v>
      </c>
      <c r="K69" s="239" t="n">
        <v>848700</v>
      </c>
      <c r="L69" s="200" t="n">
        <f aca="false">K69/1.23*0.23</f>
        <v>158700</v>
      </c>
      <c r="M69" s="248" t="n">
        <f aca="false">K69-L69</f>
        <v>690000</v>
      </c>
      <c r="N69" s="200" t="n">
        <f aca="false">M69/J69</f>
        <v>7659.85790408526</v>
      </c>
      <c r="Q69" s="168" t="n">
        <f aca="false">M69+P69</f>
        <v>690000</v>
      </c>
      <c r="R69" s="168" t="n">
        <f aca="false">ROUND(Q69/J69, 2)</f>
        <v>7659.86</v>
      </c>
      <c r="S69" s="5" t="s">
        <v>4720</v>
      </c>
      <c r="T69" s="169" t="s">
        <v>29</v>
      </c>
      <c r="U69" s="5" t="s">
        <v>30</v>
      </c>
      <c r="V69" s="47" t="s">
        <v>4568</v>
      </c>
      <c r="W69" s="172" t="s">
        <v>31</v>
      </c>
      <c r="X69" s="251" t="n">
        <v>43514</v>
      </c>
    </row>
    <row r="70" customFormat="false" ht="12.8" hidden="false" customHeight="false" outlineLevel="0" collapsed="false">
      <c r="B70" s="5" t="s">
        <v>4722</v>
      </c>
      <c r="C70" s="206" t="n">
        <v>43411</v>
      </c>
      <c r="D70" s="5" t="s">
        <v>22</v>
      </c>
      <c r="E70" s="5" t="s">
        <v>322</v>
      </c>
      <c r="F70" s="207" t="s">
        <v>323</v>
      </c>
      <c r="G70" s="5" t="s">
        <v>49</v>
      </c>
      <c r="H70" s="5" t="s">
        <v>4595</v>
      </c>
      <c r="I70" s="5" t="s">
        <v>27</v>
      </c>
      <c r="J70" s="158" t="n">
        <v>141.24</v>
      </c>
      <c r="K70" s="239" t="n">
        <v>1832700</v>
      </c>
      <c r="L70" s="200" t="n">
        <f aca="false">K70/1.23*0.23</f>
        <v>342700</v>
      </c>
      <c r="M70" s="248" t="n">
        <f aca="false">K70-L70</f>
        <v>1490000</v>
      </c>
      <c r="N70" s="200" t="n">
        <f aca="false">M70/J70</f>
        <v>10549.4194279241</v>
      </c>
      <c r="O70" s="174" t="s">
        <v>2965</v>
      </c>
      <c r="Q70" s="168" t="n">
        <f aca="false">M70+P70</f>
        <v>1490000</v>
      </c>
      <c r="R70" s="168" t="n">
        <f aca="false">ROUND(Q70/J70, 2)</f>
        <v>10549.42</v>
      </c>
      <c r="S70" s="5" t="s">
        <v>4723</v>
      </c>
      <c r="T70" s="169" t="s">
        <v>29</v>
      </c>
      <c r="U70" s="207" t="s">
        <v>1915</v>
      </c>
      <c r="V70" s="47" t="s">
        <v>4568</v>
      </c>
      <c r="W70" s="172" t="s">
        <v>31</v>
      </c>
      <c r="X70" s="252" t="n">
        <v>43514</v>
      </c>
    </row>
    <row r="71" customFormat="false" ht="12.8" hidden="false" customHeight="false" outlineLevel="0" collapsed="false">
      <c r="B71" s="5" t="s">
        <v>4724</v>
      </c>
      <c r="C71" s="206" t="n">
        <v>43409</v>
      </c>
      <c r="D71" s="5" t="s">
        <v>22</v>
      </c>
      <c r="E71" s="5" t="s">
        <v>4292</v>
      </c>
      <c r="F71" s="207" t="s">
        <v>4725</v>
      </c>
      <c r="G71" s="5" t="s">
        <v>200</v>
      </c>
      <c r="H71" s="5" t="s">
        <v>36</v>
      </c>
      <c r="I71" s="5" t="s">
        <v>36</v>
      </c>
      <c r="J71" s="158" t="n">
        <v>168.08</v>
      </c>
      <c r="K71" s="239" t="n">
        <v>2659336.97</v>
      </c>
      <c r="L71" s="168" t="n">
        <f aca="false">K71/1.23*0.23</f>
        <v>497274.392764228</v>
      </c>
      <c r="M71" s="168" t="n">
        <f aca="false">K71-L71</f>
        <v>2162062.57723577</v>
      </c>
      <c r="N71" s="200" t="n">
        <f aca="false">M71/J71</f>
        <v>12863.2947241538</v>
      </c>
      <c r="Q71" s="168" t="n">
        <f aca="false">M71+P71</f>
        <v>2162062.57723577</v>
      </c>
      <c r="R71" s="168" t="n">
        <f aca="false">ROUND(Q71/J71, 2)</f>
        <v>12863.29</v>
      </c>
      <c r="S71" s="5" t="s">
        <v>4726</v>
      </c>
      <c r="T71" s="169" t="s">
        <v>29</v>
      </c>
      <c r="U71" s="207" t="s">
        <v>1915</v>
      </c>
      <c r="V71" s="47" t="s">
        <v>4568</v>
      </c>
      <c r="W71" s="172" t="s">
        <v>31</v>
      </c>
      <c r="X71" s="251" t="n">
        <v>43514</v>
      </c>
    </row>
    <row r="72" customFormat="false" ht="12.8" hidden="false" customHeight="false" outlineLevel="0" collapsed="false">
      <c r="B72" s="5" t="s">
        <v>4727</v>
      </c>
      <c r="C72" s="206" t="n">
        <v>43399</v>
      </c>
      <c r="D72" s="5" t="s">
        <v>22</v>
      </c>
      <c r="E72" s="5" t="s">
        <v>4292</v>
      </c>
      <c r="F72" s="207" t="s">
        <v>4725</v>
      </c>
      <c r="G72" s="5" t="s">
        <v>126</v>
      </c>
      <c r="H72" s="5" t="s">
        <v>36</v>
      </c>
      <c r="I72" s="5" t="s">
        <v>36</v>
      </c>
      <c r="J72" s="158" t="n">
        <v>168.27</v>
      </c>
      <c r="K72" s="239" t="n">
        <v>1810055.7</v>
      </c>
      <c r="L72" s="168" t="n">
        <f aca="false">K72/1.23*0.23</f>
        <v>338465.7</v>
      </c>
      <c r="M72" s="168" t="n">
        <f aca="false">K72-L72</f>
        <v>1471590</v>
      </c>
      <c r="N72" s="200" t="n">
        <f aca="false">M72/J72</f>
        <v>8745.40916384382</v>
      </c>
      <c r="Q72" s="168" t="n">
        <f aca="false">M72+P72</f>
        <v>1471590</v>
      </c>
      <c r="R72" s="168" t="n">
        <f aca="false">ROUND(Q72/J72, 2)</f>
        <v>8745.41</v>
      </c>
      <c r="S72" s="5" t="s">
        <v>4728</v>
      </c>
      <c r="T72" s="169" t="s">
        <v>29</v>
      </c>
      <c r="U72" s="207" t="s">
        <v>1915</v>
      </c>
      <c r="V72" s="47" t="s">
        <v>4568</v>
      </c>
      <c r="W72" s="172" t="s">
        <v>31</v>
      </c>
      <c r="X72" s="252" t="n">
        <v>43514</v>
      </c>
    </row>
    <row r="73" customFormat="false" ht="12.8" hidden="false" customHeight="false" outlineLevel="0" collapsed="false">
      <c r="B73" s="5" t="s">
        <v>4729</v>
      </c>
      <c r="C73" s="206" t="n">
        <v>43409</v>
      </c>
      <c r="D73" s="5" t="s">
        <v>22</v>
      </c>
      <c r="E73" s="5" t="s">
        <v>4292</v>
      </c>
      <c r="F73" s="207" t="s">
        <v>4725</v>
      </c>
      <c r="G73" s="5" t="s">
        <v>26</v>
      </c>
      <c r="H73" s="5" t="s">
        <v>112</v>
      </c>
      <c r="I73" s="5" t="s">
        <v>4730</v>
      </c>
      <c r="J73" s="158" t="n">
        <v>32.5</v>
      </c>
      <c r="K73" s="239" t="n">
        <v>358440.45</v>
      </c>
      <c r="L73" s="168" t="n">
        <f aca="false">K73/1.23*0.23</f>
        <v>67025.45</v>
      </c>
      <c r="M73" s="168" t="n">
        <f aca="false">K73-L73</f>
        <v>291415</v>
      </c>
      <c r="N73" s="200" t="n">
        <f aca="false">M73/J73</f>
        <v>8966.61538461538</v>
      </c>
      <c r="Q73" s="168" t="n">
        <f aca="false">M73+P73</f>
        <v>291415</v>
      </c>
      <c r="R73" s="168" t="n">
        <f aca="false">ROUND(Q73/J73, 2)</f>
        <v>8966.62</v>
      </c>
      <c r="S73" s="5" t="s">
        <v>4731</v>
      </c>
      <c r="T73" s="169" t="s">
        <v>29</v>
      </c>
      <c r="U73" s="207" t="s">
        <v>1915</v>
      </c>
      <c r="V73" s="47" t="s">
        <v>4568</v>
      </c>
      <c r="W73" s="172" t="s">
        <v>31</v>
      </c>
      <c r="X73" s="251" t="n">
        <v>43514</v>
      </c>
    </row>
    <row r="74" customFormat="false" ht="12.8" hidden="false" customHeight="false" outlineLevel="0" collapsed="false">
      <c r="B74" s="5" t="s">
        <v>4732</v>
      </c>
      <c r="C74" s="206" t="n">
        <v>43403</v>
      </c>
      <c r="D74" s="5" t="s">
        <v>22</v>
      </c>
      <c r="E74" s="5" t="s">
        <v>4292</v>
      </c>
      <c r="F74" s="207" t="s">
        <v>4725</v>
      </c>
      <c r="G74" s="5" t="s">
        <v>26</v>
      </c>
      <c r="H74" s="5" t="s">
        <v>120</v>
      </c>
      <c r="I74" s="5" t="s">
        <v>4730</v>
      </c>
      <c r="J74" s="158" t="n">
        <v>32.61</v>
      </c>
      <c r="K74" s="239" t="n">
        <v>309730.3</v>
      </c>
      <c r="L74" s="168" t="n">
        <f aca="false">K74/1.23*0.23</f>
        <v>57917.0479674797</v>
      </c>
      <c r="M74" s="168" t="n">
        <f aca="false">K74-L74</f>
        <v>251813.25203252</v>
      </c>
      <c r="N74" s="200" t="n">
        <f aca="false">M74/J74</f>
        <v>7721.96418376327</v>
      </c>
      <c r="Q74" s="168" t="n">
        <f aca="false">M74+P74</f>
        <v>251813.25203252</v>
      </c>
      <c r="R74" s="168" t="n">
        <f aca="false">ROUND(Q74/J74, 2)</f>
        <v>7721.96</v>
      </c>
      <c r="S74" s="5" t="s">
        <v>4733</v>
      </c>
      <c r="T74" s="169" t="s">
        <v>29</v>
      </c>
      <c r="U74" s="207" t="s">
        <v>1915</v>
      </c>
      <c r="V74" s="47" t="s">
        <v>4568</v>
      </c>
      <c r="W74" s="172" t="s">
        <v>31</v>
      </c>
      <c r="X74" s="252" t="n">
        <v>43514</v>
      </c>
    </row>
    <row r="75" customFormat="false" ht="12.8" hidden="false" customHeight="false" outlineLevel="0" collapsed="false">
      <c r="B75" s="5" t="s">
        <v>4734</v>
      </c>
      <c r="C75" s="206" t="n">
        <v>43353</v>
      </c>
      <c r="D75" s="5" t="s">
        <v>22</v>
      </c>
      <c r="E75" s="5" t="s">
        <v>4292</v>
      </c>
      <c r="F75" s="207" t="s">
        <v>4725</v>
      </c>
      <c r="G75" s="5" t="s">
        <v>26</v>
      </c>
      <c r="H75" s="5" t="s">
        <v>27</v>
      </c>
      <c r="I75" s="5" t="s">
        <v>27</v>
      </c>
      <c r="J75" s="158" t="n">
        <v>108.27</v>
      </c>
      <c r="K75" s="239" t="n">
        <v>1049409.71</v>
      </c>
      <c r="L75" s="168" t="n">
        <f aca="false">K75/1.23*0.23</f>
        <v>196231.08398374</v>
      </c>
      <c r="M75" s="168" t="n">
        <f aca="false">K75-L75</f>
        <v>853178.62601626</v>
      </c>
      <c r="N75" s="200" t="n">
        <f aca="false">M75/J75</f>
        <v>7880.10183814778</v>
      </c>
      <c r="Q75" s="168" t="n">
        <f aca="false">M75+P75</f>
        <v>853178.62601626</v>
      </c>
      <c r="R75" s="168" t="n">
        <f aca="false">ROUND(Q75/J75, 2)</f>
        <v>7880.1</v>
      </c>
      <c r="S75" s="5" t="s">
        <v>4735</v>
      </c>
      <c r="T75" s="169" t="s">
        <v>29</v>
      </c>
      <c r="U75" s="207" t="s">
        <v>1915</v>
      </c>
      <c r="V75" s="47" t="s">
        <v>4568</v>
      </c>
      <c r="W75" s="172" t="s">
        <v>31</v>
      </c>
      <c r="X75" s="251" t="n">
        <v>43514</v>
      </c>
    </row>
    <row r="76" customFormat="false" ht="12.8" hidden="false" customHeight="false" outlineLevel="0" collapsed="false">
      <c r="B76" s="5" t="s">
        <v>4736</v>
      </c>
      <c r="C76" s="206" t="n">
        <v>43410</v>
      </c>
      <c r="D76" s="5" t="s">
        <v>22</v>
      </c>
      <c r="E76" s="5" t="s">
        <v>4292</v>
      </c>
      <c r="F76" s="207" t="s">
        <v>4725</v>
      </c>
      <c r="G76" s="5" t="s">
        <v>26</v>
      </c>
      <c r="H76" s="5" t="s">
        <v>200</v>
      </c>
      <c r="I76" s="5" t="s">
        <v>36</v>
      </c>
      <c r="J76" s="158" t="n">
        <v>51.17</v>
      </c>
      <c r="K76" s="239" t="n">
        <v>608973</v>
      </c>
      <c r="L76" s="168" t="n">
        <f aca="false">K76/1.23*0.23</f>
        <v>113873</v>
      </c>
      <c r="M76" s="168" t="n">
        <f aca="false">K76-L76</f>
        <v>495100</v>
      </c>
      <c r="N76" s="200" t="n">
        <f aca="false">M76/J76</f>
        <v>9675.59116669924</v>
      </c>
      <c r="Q76" s="168" t="n">
        <f aca="false">M76+P76</f>
        <v>495100</v>
      </c>
      <c r="R76" s="168" t="n">
        <f aca="false">ROUND(Q76/J76, 2)</f>
        <v>9675.59</v>
      </c>
      <c r="S76" s="5" t="s">
        <v>4737</v>
      </c>
      <c r="T76" s="169" t="s">
        <v>29</v>
      </c>
      <c r="U76" s="207" t="s">
        <v>1915</v>
      </c>
      <c r="V76" s="47" t="s">
        <v>4568</v>
      </c>
      <c r="W76" s="172" t="s">
        <v>31</v>
      </c>
      <c r="X76" s="252" t="n">
        <v>43514</v>
      </c>
    </row>
    <row r="77" customFormat="false" ht="12.8" hidden="false" customHeight="false" outlineLevel="0" collapsed="false">
      <c r="B77" s="5" t="s">
        <v>4738</v>
      </c>
      <c r="C77" s="206" t="n">
        <v>43403</v>
      </c>
      <c r="D77" s="5" t="s">
        <v>22</v>
      </c>
      <c r="E77" s="5" t="s">
        <v>4292</v>
      </c>
      <c r="F77" s="207" t="s">
        <v>4725</v>
      </c>
      <c r="G77" s="5" t="s">
        <v>26</v>
      </c>
      <c r="H77" s="5" t="s">
        <v>154</v>
      </c>
      <c r="I77" s="5" t="s">
        <v>36</v>
      </c>
      <c r="J77" s="158" t="n">
        <v>51.53</v>
      </c>
      <c r="K77" s="239" t="n">
        <v>542430</v>
      </c>
      <c r="L77" s="168" t="n">
        <f aca="false">K77/1.23*0.23</f>
        <v>101430</v>
      </c>
      <c r="M77" s="168" t="n">
        <f aca="false">K77-L77</f>
        <v>441000</v>
      </c>
      <c r="N77" s="200" t="n">
        <f aca="false">M77/J77</f>
        <v>8558.12148263148</v>
      </c>
      <c r="Q77" s="168" t="n">
        <f aca="false">M77+P77</f>
        <v>441000</v>
      </c>
      <c r="R77" s="168" t="n">
        <f aca="false">ROUND(Q77/J77, 2)</f>
        <v>8558.12</v>
      </c>
      <c r="S77" s="5" t="s">
        <v>4737</v>
      </c>
      <c r="T77" s="169" t="s">
        <v>29</v>
      </c>
      <c r="U77" s="207" t="s">
        <v>1915</v>
      </c>
      <c r="V77" s="47" t="s">
        <v>4568</v>
      </c>
      <c r="W77" s="172" t="s">
        <v>31</v>
      </c>
      <c r="X77" s="251" t="n">
        <v>43514</v>
      </c>
    </row>
    <row r="78" customFormat="false" ht="15" hidden="false" customHeight="true" outlineLevel="0" collapsed="false">
      <c r="B78" s="5" t="s">
        <v>4739</v>
      </c>
      <c r="C78" s="206" t="n">
        <v>43410</v>
      </c>
      <c r="D78" s="5" t="s">
        <v>22</v>
      </c>
      <c r="E78" s="5" t="s">
        <v>4292</v>
      </c>
      <c r="F78" s="207" t="s">
        <v>4725</v>
      </c>
      <c r="G78" s="5" t="s">
        <v>269</v>
      </c>
      <c r="I78" s="5" t="s">
        <v>27</v>
      </c>
      <c r="J78" s="158" t="n">
        <v>366.48</v>
      </c>
      <c r="K78" s="239" t="n">
        <v>3364711.74</v>
      </c>
      <c r="L78" s="168" t="n">
        <f aca="false">K78/1.23*0.23</f>
        <v>629173.74</v>
      </c>
      <c r="M78" s="168" t="n">
        <f aca="false">K78-L78</f>
        <v>2735538</v>
      </c>
      <c r="N78" s="253" t="n">
        <f aca="false">M78/J78</f>
        <v>7464.35821872954</v>
      </c>
      <c r="O78" s="174" t="s">
        <v>1739</v>
      </c>
      <c r="Q78" s="168" t="n">
        <f aca="false">M78+P78</f>
        <v>2735538</v>
      </c>
      <c r="R78" s="168" t="n">
        <f aca="false">ROUND(Q78/J78, 2)</f>
        <v>7464.36</v>
      </c>
      <c r="S78" s="254" t="s">
        <v>4740</v>
      </c>
      <c r="T78" s="169" t="s">
        <v>29</v>
      </c>
      <c r="U78" s="207" t="s">
        <v>1915</v>
      </c>
      <c r="V78" s="47" t="s">
        <v>4568</v>
      </c>
      <c r="W78" s="172" t="s">
        <v>31</v>
      </c>
      <c r="X78" s="252" t="n">
        <v>43514</v>
      </c>
    </row>
    <row r="79" customFormat="false" ht="12.8" hidden="false" customHeight="false" outlineLevel="0" collapsed="false">
      <c r="B79" s="5" t="s">
        <v>4741</v>
      </c>
      <c r="C79" s="206" t="n">
        <v>43409</v>
      </c>
      <c r="D79" s="5" t="s">
        <v>22</v>
      </c>
      <c r="E79" s="5" t="s">
        <v>4292</v>
      </c>
      <c r="F79" s="207" t="s">
        <v>4725</v>
      </c>
      <c r="G79" s="5" t="s">
        <v>57</v>
      </c>
      <c r="H79" s="5" t="s">
        <v>111</v>
      </c>
      <c r="I79" s="5" t="s">
        <v>26</v>
      </c>
      <c r="J79" s="158" t="n">
        <v>196.73</v>
      </c>
      <c r="K79" s="239" t="n">
        <v>2430607</v>
      </c>
      <c r="L79" s="168" t="n">
        <f aca="false">K79/1.23*0.23</f>
        <v>454503.74796748</v>
      </c>
      <c r="M79" s="168" t="n">
        <f aca="false">K79-L79</f>
        <v>1976103.25203252</v>
      </c>
      <c r="N79" s="200" t="n">
        <f aca="false">M79/J79</f>
        <v>10044.7478881336</v>
      </c>
      <c r="O79" s="174" t="s">
        <v>1739</v>
      </c>
      <c r="Q79" s="168" t="n">
        <f aca="false">M79+P79</f>
        <v>1976103.25203252</v>
      </c>
      <c r="R79" s="168" t="n">
        <f aca="false">ROUND(Q79/J79, 2)</f>
        <v>10044.75</v>
      </c>
      <c r="S79" s="5" t="s">
        <v>4742</v>
      </c>
      <c r="T79" s="169" t="s">
        <v>29</v>
      </c>
      <c r="U79" s="207" t="s">
        <v>1915</v>
      </c>
      <c r="V79" s="47" t="s">
        <v>4568</v>
      </c>
      <c r="W79" s="172" t="s">
        <v>31</v>
      </c>
      <c r="X79" s="251" t="n">
        <v>43514</v>
      </c>
    </row>
    <row r="80" customFormat="false" ht="12.8" hidden="false" customHeight="false" outlineLevel="0" collapsed="false">
      <c r="B80" s="5" t="s">
        <v>4743</v>
      </c>
      <c r="C80" s="206" t="n">
        <v>43363</v>
      </c>
      <c r="D80" s="5" t="s">
        <v>22</v>
      </c>
      <c r="E80" s="5" t="s">
        <v>251</v>
      </c>
      <c r="F80" s="207" t="s">
        <v>957</v>
      </c>
      <c r="G80" s="5" t="s">
        <v>74</v>
      </c>
      <c r="H80" s="5" t="s">
        <v>4744</v>
      </c>
      <c r="I80" s="5" t="s">
        <v>27</v>
      </c>
      <c r="J80" s="158" t="n">
        <v>70</v>
      </c>
      <c r="K80" s="163" t="n">
        <v>690000</v>
      </c>
      <c r="L80" s="163"/>
      <c r="M80" s="163"/>
      <c r="N80" s="163" t="n">
        <f aca="false">K80/J80</f>
        <v>9857.14285714286</v>
      </c>
      <c r="P80" s="163"/>
      <c r="Q80" s="163" t="n">
        <f aca="false">K80+P80</f>
        <v>690000</v>
      </c>
      <c r="R80" s="163" t="n">
        <f aca="false">Q80/J80</f>
        <v>9857.14285714286</v>
      </c>
      <c r="S80" s="5" t="s">
        <v>4745</v>
      </c>
      <c r="T80" s="5" t="s">
        <v>29</v>
      </c>
      <c r="U80" s="207" t="s">
        <v>30</v>
      </c>
      <c r="V80" s="5" t="s">
        <v>4568</v>
      </c>
      <c r="W80" s="207" t="s">
        <v>31</v>
      </c>
      <c r="X80" s="173" t="n">
        <v>43520</v>
      </c>
      <c r="Y80" s="116" t="s">
        <v>4746</v>
      </c>
    </row>
    <row r="81" customFormat="false" ht="12.8" hidden="false" customHeight="false" outlineLevel="0" collapsed="false">
      <c r="B81" s="2" t="n">
        <v>9350</v>
      </c>
      <c r="C81" s="206" t="n">
        <v>43377</v>
      </c>
      <c r="D81" s="5" t="s">
        <v>22</v>
      </c>
      <c r="E81" s="5" t="s">
        <v>156</v>
      </c>
      <c r="F81" s="207" t="s">
        <v>4747</v>
      </c>
      <c r="G81" s="5" t="s">
        <v>101</v>
      </c>
      <c r="H81" s="5" t="s">
        <v>4628</v>
      </c>
      <c r="I81" s="5" t="s">
        <v>27</v>
      </c>
      <c r="J81" s="158" t="n">
        <v>31.88</v>
      </c>
      <c r="K81" s="163" t="n">
        <v>254888.6</v>
      </c>
      <c r="L81" s="163"/>
      <c r="M81" s="163"/>
      <c r="N81" s="163" t="n">
        <f aca="false">K81/J81</f>
        <v>7995.25094102886</v>
      </c>
      <c r="P81" s="163"/>
      <c r="Q81" s="163" t="n">
        <f aca="false">K81+P81</f>
        <v>254888.6</v>
      </c>
      <c r="R81" s="163" t="n">
        <f aca="false">Q81/J81</f>
        <v>7995.25094102886</v>
      </c>
      <c r="S81" s="5" t="s">
        <v>4748</v>
      </c>
      <c r="T81" s="5" t="s">
        <v>29</v>
      </c>
      <c r="U81" s="207" t="s">
        <v>1915</v>
      </c>
      <c r="V81" s="5" t="s">
        <v>4568</v>
      </c>
      <c r="W81" s="207" t="s">
        <v>31</v>
      </c>
      <c r="X81" s="173" t="n">
        <v>43520</v>
      </c>
      <c r="Y81" s="116" t="s">
        <v>4749</v>
      </c>
    </row>
    <row r="82" customFormat="false" ht="12.8" hidden="false" customHeight="false" outlineLevel="0" collapsed="false">
      <c r="B82" s="2" t="n">
        <v>5313</v>
      </c>
      <c r="C82" s="206" t="n">
        <v>43369</v>
      </c>
      <c r="D82" s="5" t="s">
        <v>22</v>
      </c>
      <c r="E82" s="5" t="s">
        <v>156</v>
      </c>
      <c r="F82" s="207" t="s">
        <v>2225</v>
      </c>
      <c r="G82" s="5" t="s">
        <v>128</v>
      </c>
      <c r="H82" s="5" t="s">
        <v>4750</v>
      </c>
      <c r="I82" s="5" t="s">
        <v>27</v>
      </c>
      <c r="J82" s="158" t="n">
        <v>66.04</v>
      </c>
      <c r="K82" s="163" t="n">
        <v>496388</v>
      </c>
      <c r="L82" s="163"/>
      <c r="M82" s="163"/>
      <c r="N82" s="163" t="n">
        <f aca="false">K82/J82</f>
        <v>7516.47486371896</v>
      </c>
      <c r="P82" s="163"/>
      <c r="Q82" s="163" t="n">
        <f aca="false">K82+P82</f>
        <v>496388</v>
      </c>
      <c r="R82" s="163" t="n">
        <f aca="false">Q82/J82</f>
        <v>7516.47486371896</v>
      </c>
      <c r="S82" s="5" t="s">
        <v>4751</v>
      </c>
      <c r="T82" s="5" t="s">
        <v>29</v>
      </c>
      <c r="U82" s="207" t="s">
        <v>1915</v>
      </c>
      <c r="V82" s="5" t="s">
        <v>4568</v>
      </c>
      <c r="W82" s="207" t="s">
        <v>31</v>
      </c>
      <c r="X82" s="173" t="n">
        <v>43520</v>
      </c>
      <c r="Y82" s="116" t="s">
        <v>4752</v>
      </c>
    </row>
    <row r="83" customFormat="false" ht="12.8" hidden="false" customHeight="false" outlineLevel="0" collapsed="false">
      <c r="B83" s="2" t="n">
        <v>9343</v>
      </c>
      <c r="C83" s="206" t="n">
        <v>43377</v>
      </c>
      <c r="D83" s="5" t="s">
        <v>22</v>
      </c>
      <c r="E83" s="5" t="s">
        <v>156</v>
      </c>
      <c r="F83" s="207" t="s">
        <v>2225</v>
      </c>
      <c r="G83" s="5" t="s">
        <v>217</v>
      </c>
      <c r="H83" s="5" t="s">
        <v>4590</v>
      </c>
      <c r="I83" s="5" t="s">
        <v>27</v>
      </c>
      <c r="J83" s="158" t="n">
        <v>52.96</v>
      </c>
      <c r="K83" s="163" t="n">
        <v>386608</v>
      </c>
      <c r="L83" s="163"/>
      <c r="M83" s="163"/>
      <c r="N83" s="163" t="n">
        <f aca="false">K83/J83</f>
        <v>7300</v>
      </c>
      <c r="P83" s="163"/>
      <c r="Q83" s="163" t="n">
        <f aca="false">K83+P83</f>
        <v>386608</v>
      </c>
      <c r="R83" s="163" t="n">
        <f aca="false">Q83/J83</f>
        <v>7300</v>
      </c>
      <c r="S83" s="5" t="s">
        <v>4753</v>
      </c>
      <c r="T83" s="5" t="s">
        <v>29</v>
      </c>
      <c r="U83" s="207" t="s">
        <v>1915</v>
      </c>
      <c r="V83" s="5" t="s">
        <v>4568</v>
      </c>
      <c r="W83" s="207" t="s">
        <v>31</v>
      </c>
      <c r="X83" s="173" t="n">
        <v>43520</v>
      </c>
      <c r="Y83" s="116" t="s">
        <v>4752</v>
      </c>
    </row>
    <row r="84" customFormat="false" ht="12.8" hidden="false" customHeight="false" outlineLevel="0" collapsed="false">
      <c r="B84" s="5" t="s">
        <v>4754</v>
      </c>
      <c r="C84" s="206" t="n">
        <v>43369</v>
      </c>
      <c r="D84" s="5" t="s">
        <v>22</v>
      </c>
      <c r="E84" s="5" t="s">
        <v>156</v>
      </c>
      <c r="F84" s="207" t="s">
        <v>2225</v>
      </c>
      <c r="G84" s="5" t="s">
        <v>464</v>
      </c>
      <c r="H84" s="5" t="s">
        <v>4597</v>
      </c>
      <c r="I84" s="5" t="s">
        <v>27</v>
      </c>
      <c r="J84" s="158" t="n">
        <v>66.53</v>
      </c>
      <c r="K84" s="163" t="n">
        <v>492322</v>
      </c>
      <c r="L84" s="163"/>
      <c r="M84" s="163"/>
      <c r="N84" s="163" t="n">
        <f aca="false">K84/J84</f>
        <v>7400</v>
      </c>
      <c r="P84" s="163"/>
      <c r="Q84" s="163" t="n">
        <f aca="false">K84+P84</f>
        <v>492322</v>
      </c>
      <c r="R84" s="163" t="n">
        <f aca="false">Q84/J84</f>
        <v>7400</v>
      </c>
      <c r="S84" s="5" t="s">
        <v>4755</v>
      </c>
      <c r="T84" s="5" t="s">
        <v>29</v>
      </c>
      <c r="U84" s="207" t="s">
        <v>1915</v>
      </c>
      <c r="V84" s="5" t="s">
        <v>4568</v>
      </c>
      <c r="W84" s="207" t="s">
        <v>31</v>
      </c>
      <c r="X84" s="173" t="n">
        <v>43520</v>
      </c>
      <c r="Y84" s="116" t="s">
        <v>4752</v>
      </c>
    </row>
    <row r="85" customFormat="false" ht="12.8" hidden="false" customHeight="false" outlineLevel="0" collapsed="false">
      <c r="B85" s="5" t="s">
        <v>4743</v>
      </c>
      <c r="C85" s="206" t="n">
        <v>43363</v>
      </c>
      <c r="D85" s="5" t="s">
        <v>22</v>
      </c>
      <c r="E85" s="5" t="s">
        <v>251</v>
      </c>
      <c r="F85" s="207" t="s">
        <v>957</v>
      </c>
      <c r="G85" s="5" t="s">
        <v>74</v>
      </c>
      <c r="H85" s="5" t="s">
        <v>4580</v>
      </c>
      <c r="I85" s="5" t="s">
        <v>27</v>
      </c>
      <c r="J85" s="158" t="n">
        <v>70</v>
      </c>
      <c r="K85" s="163" t="n">
        <v>690000</v>
      </c>
      <c r="L85" s="163"/>
      <c r="M85" s="163"/>
      <c r="N85" s="163" t="n">
        <f aca="false">K85/J85</f>
        <v>9857.14285714286</v>
      </c>
      <c r="O85" s="207" t="s">
        <v>4756</v>
      </c>
      <c r="P85" s="163"/>
      <c r="Q85" s="163" t="n">
        <f aca="false">K85+P85</f>
        <v>690000</v>
      </c>
      <c r="R85" s="163" t="n">
        <f aca="false">Q85/J85</f>
        <v>9857.14285714286</v>
      </c>
      <c r="S85" s="5" t="s">
        <v>4757</v>
      </c>
      <c r="T85" s="5" t="s">
        <v>29</v>
      </c>
      <c r="U85" s="207" t="s">
        <v>30</v>
      </c>
      <c r="V85" s="5" t="s">
        <v>4568</v>
      </c>
      <c r="W85" s="207" t="s">
        <v>31</v>
      </c>
      <c r="X85" s="173" t="n">
        <v>43520</v>
      </c>
      <c r="Y85" s="116" t="s">
        <v>4746</v>
      </c>
    </row>
    <row r="86" s="153" customFormat="true" ht="13.8" hidden="false" customHeight="false" outlineLevel="0" collapsed="false">
      <c r="B86" s="5" t="n">
        <v>5994</v>
      </c>
      <c r="C86" s="206" t="n">
        <v>43383</v>
      </c>
      <c r="D86" s="5" t="s">
        <v>22</v>
      </c>
      <c r="E86" s="5" t="s">
        <v>331</v>
      </c>
      <c r="F86" s="207" t="s">
        <v>4758</v>
      </c>
      <c r="G86" s="207" t="n">
        <v>4</v>
      </c>
      <c r="H86" s="5" t="n">
        <v>2</v>
      </c>
      <c r="I86" s="5" t="n">
        <v>2</v>
      </c>
      <c r="J86" s="5" t="n">
        <v>167.43</v>
      </c>
      <c r="K86" s="158" t="n">
        <v>1222275.6</v>
      </c>
      <c r="L86" s="163" t="n">
        <v>228555.6</v>
      </c>
      <c r="M86" s="163" t="n">
        <v>993720</v>
      </c>
      <c r="N86" s="163" t="n">
        <f aca="false">K86/J86</f>
        <v>7300.21859881742</v>
      </c>
      <c r="O86" s="255"/>
      <c r="P86" s="256"/>
      <c r="Q86" s="168" t="n">
        <v>1222275.6</v>
      </c>
      <c r="R86" s="168" t="n">
        <f aca="false">Q86/J86</f>
        <v>7300.21859881742</v>
      </c>
      <c r="S86" s="5" t="s">
        <v>4759</v>
      </c>
      <c r="T86" s="169" t="s">
        <v>29</v>
      </c>
      <c r="U86" s="158" t="s">
        <v>1915</v>
      </c>
      <c r="V86" s="47" t="s">
        <v>4568</v>
      </c>
      <c r="W86" s="172" t="s">
        <v>31</v>
      </c>
      <c r="X86" s="207" t="s">
        <v>4760</v>
      </c>
      <c r="Y86" s="153" t="s">
        <v>4761</v>
      </c>
    </row>
    <row r="87" customFormat="false" ht="13.5" hidden="false" customHeight="true" outlineLevel="0" collapsed="false">
      <c r="A87" s="153"/>
      <c r="B87" s="5" t="s">
        <v>4762</v>
      </c>
      <c r="C87" s="206" t="n">
        <v>43391</v>
      </c>
      <c r="D87" s="5" t="s">
        <v>22</v>
      </c>
      <c r="E87" s="5" t="s">
        <v>156</v>
      </c>
      <c r="F87" s="207" t="s">
        <v>2225</v>
      </c>
      <c r="G87" s="207" t="s">
        <v>464</v>
      </c>
      <c r="H87" s="5" t="s">
        <v>4599</v>
      </c>
      <c r="I87" s="5" t="s">
        <v>27</v>
      </c>
      <c r="J87" s="5" t="n">
        <v>57.04</v>
      </c>
      <c r="K87" s="158" t="n">
        <v>427800</v>
      </c>
      <c r="L87" s="163"/>
      <c r="M87" s="163"/>
      <c r="N87" s="163" t="n">
        <f aca="false">K87/J87</f>
        <v>7500</v>
      </c>
      <c r="O87" s="207" t="s">
        <v>4763</v>
      </c>
      <c r="Q87" s="158" t="n">
        <f aca="false">N87+P87</f>
        <v>7500</v>
      </c>
      <c r="R87" s="168" t="n">
        <f aca="false">Q87/J87</f>
        <v>131.48667601683</v>
      </c>
      <c r="S87" s="5" t="s">
        <v>4764</v>
      </c>
      <c r="T87" s="169" t="s">
        <v>29</v>
      </c>
      <c r="U87" s="158" t="s">
        <v>1915</v>
      </c>
      <c r="V87" s="47" t="s">
        <v>4568</v>
      </c>
      <c r="W87" s="172" t="s">
        <v>31</v>
      </c>
      <c r="X87" s="173" t="n">
        <v>43524</v>
      </c>
      <c r="Y87" s="153" t="s">
        <v>4752</v>
      </c>
    </row>
    <row r="88" customFormat="false" ht="19.5" hidden="false" customHeight="true" outlineLevel="0" collapsed="false">
      <c r="A88" s="153"/>
      <c r="B88" s="5" t="s">
        <v>4765</v>
      </c>
      <c r="C88" s="206" t="n">
        <v>43389</v>
      </c>
      <c r="D88" s="5" t="s">
        <v>22</v>
      </c>
      <c r="E88" s="5" t="s">
        <v>331</v>
      </c>
      <c r="F88" s="207" t="s">
        <v>4758</v>
      </c>
      <c r="G88" s="5" t="s">
        <v>95</v>
      </c>
      <c r="H88" s="5" t="s">
        <v>26</v>
      </c>
      <c r="I88" s="5" t="s">
        <v>26</v>
      </c>
      <c r="J88" s="158" t="n">
        <v>168.23</v>
      </c>
      <c r="K88" s="239" t="n">
        <v>2966624.7</v>
      </c>
      <c r="L88" s="168" t="n">
        <v>554734.7</v>
      </c>
      <c r="M88" s="168" t="n">
        <v>2411890</v>
      </c>
      <c r="N88" s="168" t="n">
        <f aca="false">K88/J88</f>
        <v>17634.3381085419</v>
      </c>
      <c r="O88" s="207" t="s">
        <v>4766</v>
      </c>
      <c r="Q88" s="158" t="n">
        <f aca="false">N88+P88</f>
        <v>17634.3381085419</v>
      </c>
      <c r="R88" s="168" t="n">
        <f aca="false">Q88/J88</f>
        <v>104.822790872864</v>
      </c>
      <c r="S88" s="5" t="s">
        <v>4767</v>
      </c>
      <c r="T88" s="169" t="s">
        <v>29</v>
      </c>
      <c r="U88" s="158" t="s">
        <v>1915</v>
      </c>
      <c r="V88" s="47" t="s">
        <v>4568</v>
      </c>
      <c r="W88" s="172" t="s">
        <v>31</v>
      </c>
      <c r="X88" s="173" t="n">
        <v>43524</v>
      </c>
      <c r="Y88" s="153" t="s">
        <v>4761</v>
      </c>
    </row>
    <row r="89" customFormat="false" ht="45" hidden="false" customHeight="true" outlineLevel="0" collapsed="false">
      <c r="B89" s="5" t="s">
        <v>4768</v>
      </c>
      <c r="C89" s="206" t="n">
        <v>43403</v>
      </c>
      <c r="D89" s="5" t="s">
        <v>22</v>
      </c>
      <c r="E89" s="5" t="s">
        <v>4292</v>
      </c>
      <c r="F89" s="207" t="s">
        <v>4758</v>
      </c>
      <c r="G89" s="5" t="s">
        <v>26</v>
      </c>
      <c r="H89" s="5" t="s">
        <v>47</v>
      </c>
      <c r="I89" s="5" t="s">
        <v>36</v>
      </c>
      <c r="J89" s="158" t="n">
        <v>47.97</v>
      </c>
      <c r="K89" s="239" t="n">
        <v>498385.11</v>
      </c>
      <c r="L89" s="168" t="n">
        <v>93193.96</v>
      </c>
      <c r="M89" s="168" t="n">
        <v>405191.15</v>
      </c>
      <c r="N89" s="168" t="n">
        <f aca="false">M89/J89</f>
        <v>8446.76151761518</v>
      </c>
      <c r="Q89" s="158" t="n">
        <f aca="false">M89+P89</f>
        <v>405191.15</v>
      </c>
      <c r="R89" s="168" t="n">
        <f aca="false">Q89/J89</f>
        <v>8446.76151761518</v>
      </c>
      <c r="S89" s="5" t="s">
        <v>4769</v>
      </c>
      <c r="Y89" s="116" t="s">
        <v>4761</v>
      </c>
    </row>
    <row r="90" customFormat="false" ht="93" hidden="false" customHeight="true" outlineLevel="0" collapsed="false">
      <c r="B90" s="5" t="s">
        <v>4770</v>
      </c>
      <c r="C90" s="206" t="n">
        <v>43413</v>
      </c>
      <c r="D90" s="5" t="s">
        <v>22</v>
      </c>
      <c r="E90" s="5" t="s">
        <v>4292</v>
      </c>
      <c r="F90" s="207" t="s">
        <v>4758</v>
      </c>
      <c r="G90" s="5" t="s">
        <v>26</v>
      </c>
      <c r="H90" s="5" t="s">
        <v>26</v>
      </c>
      <c r="I90" s="5" t="s">
        <v>27</v>
      </c>
      <c r="J90" s="158" t="n">
        <v>32.23</v>
      </c>
      <c r="K90" s="239" t="n">
        <v>282960.52</v>
      </c>
      <c r="L90" s="168" t="n">
        <v>52911.32</v>
      </c>
      <c r="M90" s="168" t="n">
        <v>230049.2</v>
      </c>
      <c r="N90" s="168" t="n">
        <f aca="false">M90/J90</f>
        <v>7137.73502947565</v>
      </c>
      <c r="Q90" s="158" t="n">
        <f aca="false">M90+P90</f>
        <v>230049.2</v>
      </c>
      <c r="R90" s="168" t="n">
        <f aca="false">Q90/J90</f>
        <v>7137.73502947565</v>
      </c>
      <c r="S90" s="5" t="s">
        <v>4771</v>
      </c>
      <c r="Y90" s="116" t="s">
        <v>4761</v>
      </c>
    </row>
    <row r="91" s="221" customFormat="true" ht="12.8" hidden="false" customHeight="false" outlineLevel="0" collapsed="false">
      <c r="A91" s="116"/>
      <c r="B91" s="222" t="s">
        <v>4772</v>
      </c>
      <c r="C91" s="223" t="n">
        <v>43448</v>
      </c>
      <c r="D91" s="222" t="s">
        <v>22</v>
      </c>
      <c r="E91" s="222" t="s">
        <v>389</v>
      </c>
      <c r="F91" s="224" t="s">
        <v>46</v>
      </c>
      <c r="G91" s="222" t="s">
        <v>390</v>
      </c>
      <c r="H91" s="222" t="s">
        <v>4583</v>
      </c>
      <c r="I91" s="222" t="s">
        <v>27</v>
      </c>
      <c r="J91" s="225" t="n">
        <v>16.78</v>
      </c>
      <c r="K91" s="257"/>
      <c r="L91" s="226" t="n">
        <v>0</v>
      </c>
      <c r="M91" s="226" t="n">
        <v>174915</v>
      </c>
      <c r="N91" s="226" t="n">
        <f aca="false">M91/J91</f>
        <v>10424.0166865316</v>
      </c>
      <c r="O91" s="224" t="s">
        <v>4773</v>
      </c>
      <c r="P91" s="226"/>
      <c r="Q91" s="158" t="n">
        <f aca="false">M91+P91</f>
        <v>174915</v>
      </c>
      <c r="R91" s="168" t="n">
        <f aca="false">Q91/J91</f>
        <v>10424.0166865316</v>
      </c>
      <c r="S91" s="222" t="s">
        <v>4774</v>
      </c>
      <c r="T91" s="224" t="s">
        <v>29</v>
      </c>
      <c r="U91" s="224" t="s">
        <v>30</v>
      </c>
      <c r="V91" s="221" t="s">
        <v>4568</v>
      </c>
      <c r="W91" s="222" t="s">
        <v>4775</v>
      </c>
      <c r="X91" s="258" t="n">
        <v>43690</v>
      </c>
      <c r="Y91" s="221" t="s">
        <v>4776</v>
      </c>
    </row>
    <row r="92" customFormat="false" ht="12.8" hidden="false" customHeight="false" outlineLevel="0" collapsed="false">
      <c r="B92" s="5" t="s">
        <v>4777</v>
      </c>
      <c r="C92" s="206" t="n">
        <v>43487</v>
      </c>
      <c r="D92" s="5" t="s">
        <v>22</v>
      </c>
      <c r="E92" s="5" t="s">
        <v>433</v>
      </c>
      <c r="F92" s="207" t="s">
        <v>434</v>
      </c>
      <c r="G92" s="5" t="s">
        <v>82</v>
      </c>
      <c r="H92" s="5" t="s">
        <v>4595</v>
      </c>
      <c r="I92" s="5" t="s">
        <v>27</v>
      </c>
      <c r="J92" s="158" t="n">
        <v>83.86</v>
      </c>
      <c r="K92" s="239" t="n">
        <v>1254600</v>
      </c>
      <c r="L92" s="168" t="n">
        <v>234600</v>
      </c>
      <c r="M92" s="168" t="n">
        <v>1020000</v>
      </c>
      <c r="N92" s="168" t="n">
        <f aca="false">M92/J92</f>
        <v>12163.1290245648</v>
      </c>
      <c r="Q92" s="158" t="n">
        <f aca="false">M92+P92</f>
        <v>1020000</v>
      </c>
      <c r="R92" s="168" t="n">
        <f aca="false">Q92/J92</f>
        <v>12163.1290245648</v>
      </c>
      <c r="S92" s="5" t="s">
        <v>4778</v>
      </c>
      <c r="T92" s="224" t="s">
        <v>29</v>
      </c>
      <c r="U92" s="224" t="s">
        <v>1915</v>
      </c>
      <c r="V92" s="221" t="s">
        <v>4568</v>
      </c>
      <c r="W92" s="207" t="s">
        <v>31</v>
      </c>
      <c r="X92" s="173" t="n">
        <v>43697</v>
      </c>
      <c r="Y92" s="116" t="s">
        <v>4779</v>
      </c>
    </row>
    <row r="93" customFormat="false" ht="12.8" hidden="false" customHeight="false" outlineLevel="0" collapsed="false">
      <c r="B93" s="5" t="s">
        <v>4780</v>
      </c>
      <c r="C93" s="206" t="n">
        <v>43497</v>
      </c>
      <c r="D93" s="5" t="s">
        <v>22</v>
      </c>
      <c r="E93" s="5" t="s">
        <v>122</v>
      </c>
      <c r="F93" s="207" t="s">
        <v>46</v>
      </c>
      <c r="G93" s="5" t="s">
        <v>123</v>
      </c>
      <c r="H93" s="5" t="s">
        <v>4781</v>
      </c>
      <c r="I93" s="5" t="s">
        <v>27</v>
      </c>
      <c r="J93" s="158" t="n">
        <v>60.17</v>
      </c>
      <c r="K93" s="239" t="n">
        <v>777095.55</v>
      </c>
      <c r="L93" s="168" t="n">
        <f aca="false">K93-M93</f>
        <v>145310.55</v>
      </c>
      <c r="M93" s="168" t="n">
        <v>631785</v>
      </c>
      <c r="N93" s="168" t="n">
        <f aca="false">M93/J93</f>
        <v>10500</v>
      </c>
      <c r="Q93" s="158" t="n">
        <f aca="false">M93+P93</f>
        <v>631785</v>
      </c>
      <c r="R93" s="168" t="n">
        <f aca="false">Q93/J93</f>
        <v>10500</v>
      </c>
      <c r="S93" s="5" t="s">
        <v>4782</v>
      </c>
      <c r="T93" s="224" t="s">
        <v>29</v>
      </c>
      <c r="U93" s="224" t="s">
        <v>1915</v>
      </c>
      <c r="V93" s="221" t="s">
        <v>4568</v>
      </c>
      <c r="W93" s="207" t="s">
        <v>31</v>
      </c>
      <c r="X93" s="173" t="n">
        <v>43697</v>
      </c>
      <c r="Y93" s="116" t="s">
        <v>4783</v>
      </c>
    </row>
    <row r="94" customFormat="false" ht="12.8" hidden="false" customHeight="false" outlineLevel="0" collapsed="false">
      <c r="B94" s="5" t="s">
        <v>4784</v>
      </c>
      <c r="C94" s="206" t="n">
        <v>43489</v>
      </c>
      <c r="D94" s="5" t="s">
        <v>22</v>
      </c>
      <c r="E94" s="5" t="s">
        <v>433</v>
      </c>
      <c r="F94" s="207" t="s">
        <v>434</v>
      </c>
      <c r="G94" s="5" t="s">
        <v>82</v>
      </c>
      <c r="H94" s="5" t="s">
        <v>4586</v>
      </c>
      <c r="I94" s="5" t="s">
        <v>27</v>
      </c>
      <c r="J94" s="158" t="n">
        <v>118.84</v>
      </c>
      <c r="K94" s="239" t="n">
        <v>1857103.2</v>
      </c>
      <c r="L94" s="168" t="n">
        <v>347263.2</v>
      </c>
      <c r="M94" s="168" t="n">
        <v>1509840</v>
      </c>
      <c r="N94" s="168" t="n">
        <f aca="false">M94/J94</f>
        <v>12704.8131942107</v>
      </c>
      <c r="Q94" s="158" t="n">
        <f aca="false">M94+P94</f>
        <v>1509840</v>
      </c>
      <c r="R94" s="168" t="n">
        <f aca="false">Q94/J94</f>
        <v>12704.8131942107</v>
      </c>
      <c r="S94" s="5" t="s">
        <v>4785</v>
      </c>
      <c r="T94" s="207" t="s">
        <v>29</v>
      </c>
      <c r="U94" s="207" t="s">
        <v>1915</v>
      </c>
      <c r="V94" s="221" t="s">
        <v>4568</v>
      </c>
      <c r="W94" s="207" t="s">
        <v>31</v>
      </c>
      <c r="X94" s="173" t="n">
        <v>43697</v>
      </c>
      <c r="Y94" s="116" t="s">
        <v>4786</v>
      </c>
    </row>
    <row r="95" customFormat="false" ht="12.8" hidden="false" customHeight="false" outlineLevel="0" collapsed="false">
      <c r="B95" s="5" t="s">
        <v>4787</v>
      </c>
      <c r="C95" s="206" t="n">
        <v>43495</v>
      </c>
      <c r="D95" s="5" t="s">
        <v>22</v>
      </c>
      <c r="E95" s="5" t="s">
        <v>350</v>
      </c>
      <c r="F95" s="207" t="s">
        <v>351</v>
      </c>
      <c r="G95" s="5" t="s">
        <v>283</v>
      </c>
      <c r="H95" s="5" t="s">
        <v>4788</v>
      </c>
      <c r="I95" s="5" t="s">
        <v>26</v>
      </c>
      <c r="J95" s="158" t="n">
        <v>91.18</v>
      </c>
      <c r="M95" s="168" t="n">
        <v>581710</v>
      </c>
      <c r="N95" s="168" t="n">
        <f aca="false">M95/J95</f>
        <v>6379.79820135995</v>
      </c>
      <c r="Q95" s="158" t="n">
        <f aca="false">M95+P95</f>
        <v>581710</v>
      </c>
      <c r="R95" s="168" t="n">
        <f aca="false">Q95/J95</f>
        <v>6379.79820135995</v>
      </c>
      <c r="S95" s="5" t="s">
        <v>4789</v>
      </c>
      <c r="T95" s="207" t="s">
        <v>29</v>
      </c>
      <c r="U95" s="207" t="s">
        <v>1915</v>
      </c>
      <c r="V95" s="221" t="s">
        <v>4568</v>
      </c>
      <c r="W95" s="207" t="s">
        <v>31</v>
      </c>
      <c r="X95" s="173" t="n">
        <v>43697</v>
      </c>
      <c r="Y95" s="116" t="s">
        <v>4790</v>
      </c>
    </row>
    <row r="96" customFormat="false" ht="12.8" hidden="false" customHeight="false" outlineLevel="0" collapsed="false">
      <c r="B96" s="5" t="s">
        <v>381</v>
      </c>
      <c r="C96" s="206" t="n">
        <v>43495</v>
      </c>
      <c r="D96" s="5" t="s">
        <v>22</v>
      </c>
      <c r="E96" s="5" t="s">
        <v>140</v>
      </c>
      <c r="F96" s="207" t="s">
        <v>138</v>
      </c>
      <c r="G96" s="5" t="s">
        <v>818</v>
      </c>
      <c r="H96" s="5" t="s">
        <v>4791</v>
      </c>
      <c r="I96" s="5" t="s">
        <v>27</v>
      </c>
      <c r="J96" s="158" t="n">
        <v>46.72</v>
      </c>
      <c r="M96" s="168" t="n">
        <v>700000</v>
      </c>
      <c r="N96" s="168" t="n">
        <f aca="false">M96/J96</f>
        <v>14982.8767123288</v>
      </c>
      <c r="Q96" s="158" t="n">
        <f aca="false">M96+P96</f>
        <v>700000</v>
      </c>
      <c r="R96" s="168" t="n">
        <f aca="false">Q96/J96</f>
        <v>14982.8767123288</v>
      </c>
      <c r="S96" s="5" t="s">
        <v>4792</v>
      </c>
      <c r="T96" s="207" t="s">
        <v>29</v>
      </c>
      <c r="U96" s="207" t="s">
        <v>30</v>
      </c>
      <c r="V96" s="221" t="s">
        <v>4568</v>
      </c>
      <c r="W96" s="207" t="s">
        <v>31</v>
      </c>
      <c r="X96" s="173" t="n">
        <v>43698</v>
      </c>
      <c r="Y96" s="116" t="s">
        <v>4793</v>
      </c>
    </row>
    <row r="97" customFormat="false" ht="12.8" hidden="false" customHeight="false" outlineLevel="0" collapsed="false">
      <c r="B97" s="5" t="s">
        <v>4794</v>
      </c>
      <c r="C97" s="206" t="n">
        <v>43508</v>
      </c>
      <c r="D97" s="5" t="s">
        <v>22</v>
      </c>
      <c r="E97" s="5" t="s">
        <v>175</v>
      </c>
      <c r="F97" s="207" t="s">
        <v>176</v>
      </c>
      <c r="G97" s="5" t="s">
        <v>177</v>
      </c>
      <c r="H97" s="5" t="s">
        <v>120</v>
      </c>
      <c r="I97" s="5" t="s">
        <v>27</v>
      </c>
      <c r="J97" s="158" t="n">
        <v>61.28</v>
      </c>
      <c r="M97" s="168" t="n">
        <v>630000</v>
      </c>
      <c r="N97" s="168" t="n">
        <f aca="false">M97/J97</f>
        <v>10280.6788511749</v>
      </c>
      <c r="Q97" s="158" t="n">
        <f aca="false">M97+P97</f>
        <v>630000</v>
      </c>
      <c r="R97" s="168" t="n">
        <f aca="false">Q97/J97</f>
        <v>10280.6788511749</v>
      </c>
      <c r="S97" s="5" t="s">
        <v>4795</v>
      </c>
      <c r="T97" s="207" t="s">
        <v>29</v>
      </c>
      <c r="U97" s="207" t="s">
        <v>30</v>
      </c>
      <c r="V97" s="221" t="s">
        <v>4568</v>
      </c>
      <c r="W97" s="207" t="s">
        <v>31</v>
      </c>
      <c r="X97" s="173" t="n">
        <v>43698</v>
      </c>
      <c r="Y97" s="116" t="s">
        <v>4796</v>
      </c>
    </row>
    <row r="98" customFormat="false" ht="12.8" hidden="false" customHeight="false" outlineLevel="0" collapsed="false">
      <c r="B98" s="5" t="s">
        <v>4797</v>
      </c>
      <c r="C98" s="206" t="n">
        <v>43521</v>
      </c>
      <c r="D98" s="5" t="s">
        <v>22</v>
      </c>
      <c r="E98" s="5" t="s">
        <v>4292</v>
      </c>
      <c r="F98" s="207" t="s">
        <v>4758</v>
      </c>
      <c r="G98" s="5" t="s">
        <v>25</v>
      </c>
      <c r="H98" s="5" t="s">
        <v>36</v>
      </c>
      <c r="I98" s="5" t="s">
        <v>26</v>
      </c>
      <c r="J98" s="158" t="n">
        <v>109.58</v>
      </c>
      <c r="K98" s="239" t="n">
        <v>1292979.47</v>
      </c>
      <c r="L98" s="168" t="n">
        <v>241779.65</v>
      </c>
      <c r="M98" s="168" t="n">
        <v>1051202.82</v>
      </c>
      <c r="N98" s="168" t="n">
        <f aca="false">M98/J98</f>
        <v>9593.01715641541</v>
      </c>
      <c r="O98" s="207" t="s">
        <v>4798</v>
      </c>
      <c r="Q98" s="158" t="n">
        <f aca="false">M98+P98</f>
        <v>1051202.82</v>
      </c>
      <c r="R98" s="168" t="n">
        <f aca="false">Q98/J98</f>
        <v>9593.01715641541</v>
      </c>
      <c r="S98" s="5" t="s">
        <v>4799</v>
      </c>
      <c r="T98" s="207" t="s">
        <v>29</v>
      </c>
      <c r="U98" s="207" t="s">
        <v>1915</v>
      </c>
      <c r="V98" s="221" t="s">
        <v>4568</v>
      </c>
      <c r="W98" s="207" t="s">
        <v>31</v>
      </c>
      <c r="X98" s="173" t="n">
        <v>43699</v>
      </c>
      <c r="Y98" s="116" t="s">
        <v>4800</v>
      </c>
    </row>
    <row r="99" customFormat="false" ht="12.8" hidden="false" customHeight="false" outlineLevel="0" collapsed="false">
      <c r="B99" s="5" t="s">
        <v>4801</v>
      </c>
      <c r="C99" s="206" t="n">
        <v>43525</v>
      </c>
      <c r="D99" s="5" t="s">
        <v>22</v>
      </c>
      <c r="E99" s="5" t="s">
        <v>433</v>
      </c>
      <c r="F99" s="207" t="s">
        <v>434</v>
      </c>
      <c r="G99" s="5" t="s">
        <v>82</v>
      </c>
      <c r="H99" s="5" t="s">
        <v>4583</v>
      </c>
      <c r="I99" s="5" t="s">
        <v>27</v>
      </c>
      <c r="J99" s="158" t="n">
        <v>45.53</v>
      </c>
      <c r="M99" s="239" t="n">
        <v>879400</v>
      </c>
      <c r="N99" s="168" t="n">
        <f aca="false">M99/J99</f>
        <v>19314.7375356908</v>
      </c>
      <c r="O99" s="207" t="s">
        <v>1461</v>
      </c>
      <c r="P99" s="168" t="n">
        <v>34440</v>
      </c>
      <c r="Q99" s="158" t="n">
        <f aca="false">M99+P99</f>
        <v>913840</v>
      </c>
      <c r="R99" s="168" t="n">
        <f aca="false">Q99/J99</f>
        <v>20071.1618712937</v>
      </c>
      <c r="S99" s="5" t="s">
        <v>4802</v>
      </c>
      <c r="T99" s="207" t="s">
        <v>29</v>
      </c>
      <c r="U99" s="207" t="s">
        <v>30</v>
      </c>
      <c r="V99" s="221" t="s">
        <v>4568</v>
      </c>
      <c r="W99" s="207" t="s">
        <v>31</v>
      </c>
      <c r="X99" s="173" t="n">
        <v>43699</v>
      </c>
      <c r="Y99" s="116" t="s">
        <v>4803</v>
      </c>
    </row>
    <row r="100" customFormat="false" ht="12.8" hidden="false" customHeight="false" outlineLevel="0" collapsed="false">
      <c r="B100" s="5" t="s">
        <v>4804</v>
      </c>
      <c r="C100" s="206" t="n">
        <v>43523</v>
      </c>
      <c r="D100" s="5" t="s">
        <v>22</v>
      </c>
      <c r="E100" s="5" t="s">
        <v>53</v>
      </c>
      <c r="F100" s="207" t="s">
        <v>46</v>
      </c>
      <c r="G100" s="5" t="s">
        <v>682</v>
      </c>
      <c r="H100" s="5" t="s">
        <v>4628</v>
      </c>
      <c r="I100" s="5" t="s">
        <v>27</v>
      </c>
      <c r="J100" s="158" t="n">
        <v>27.38</v>
      </c>
      <c r="M100" s="168" t="n">
        <v>215000</v>
      </c>
      <c r="N100" s="168" t="n">
        <f aca="false">M100/J100</f>
        <v>7852.44704163623</v>
      </c>
      <c r="Q100" s="158" t="n">
        <f aca="false">M100+P100</f>
        <v>215000</v>
      </c>
      <c r="R100" s="168" t="n">
        <f aca="false">Q100/J100</f>
        <v>7852.44704163623</v>
      </c>
      <c r="S100" s="5" t="s">
        <v>4805</v>
      </c>
      <c r="T100" s="207" t="s">
        <v>29</v>
      </c>
      <c r="U100" s="207" t="s">
        <v>30</v>
      </c>
      <c r="V100" s="221" t="s">
        <v>4568</v>
      </c>
      <c r="W100" s="207" t="s">
        <v>31</v>
      </c>
      <c r="X100" s="173" t="n">
        <v>43699</v>
      </c>
      <c r="Y100" s="116" t="s">
        <v>4806</v>
      </c>
    </row>
    <row r="101" customFormat="false" ht="12.8" hidden="false" customHeight="false" outlineLevel="0" collapsed="false">
      <c r="B101" s="5" t="s">
        <v>4807</v>
      </c>
      <c r="C101" s="206" t="n">
        <v>43523</v>
      </c>
      <c r="D101" s="5" t="s">
        <v>22</v>
      </c>
      <c r="E101" s="5" t="s">
        <v>198</v>
      </c>
      <c r="F101" s="207" t="s">
        <v>199</v>
      </c>
      <c r="G101" s="5" t="s">
        <v>1001</v>
      </c>
      <c r="H101" s="5" t="s">
        <v>4583</v>
      </c>
      <c r="I101" s="5" t="s">
        <v>27</v>
      </c>
      <c r="J101" s="158" t="n">
        <v>56.86</v>
      </c>
      <c r="M101" s="168" t="n">
        <v>550000</v>
      </c>
      <c r="N101" s="168" t="n">
        <f aca="false">M101/J101</f>
        <v>9672.88075976082</v>
      </c>
      <c r="O101" s="207" t="s">
        <v>4808</v>
      </c>
      <c r="Q101" s="158" t="n">
        <f aca="false">M101+P101</f>
        <v>550000</v>
      </c>
      <c r="R101" s="168" t="n">
        <f aca="false">Q101/J101</f>
        <v>9672.88075976082</v>
      </c>
      <c r="S101" s="5" t="s">
        <v>4809</v>
      </c>
      <c r="T101" s="207" t="s">
        <v>29</v>
      </c>
      <c r="U101" s="207" t="s">
        <v>30</v>
      </c>
      <c r="V101" s="221" t="s">
        <v>4568</v>
      </c>
      <c r="W101" s="207" t="s">
        <v>31</v>
      </c>
      <c r="X101" s="173" t="n">
        <v>43700</v>
      </c>
      <c r="Y101" s="116" t="s">
        <v>4810</v>
      </c>
    </row>
    <row r="102" customFormat="false" ht="12.8" hidden="false" customHeight="false" outlineLevel="0" collapsed="false">
      <c r="B102" s="5" t="s">
        <v>4811</v>
      </c>
      <c r="C102" s="206" t="n">
        <v>43531</v>
      </c>
      <c r="D102" s="5" t="s">
        <v>22</v>
      </c>
      <c r="E102" s="5" t="s">
        <v>350</v>
      </c>
      <c r="F102" s="207" t="s">
        <v>351</v>
      </c>
      <c r="G102" s="5" t="s">
        <v>27</v>
      </c>
      <c r="H102" s="5" t="s">
        <v>4576</v>
      </c>
      <c r="I102" s="5" t="s">
        <v>27</v>
      </c>
      <c r="J102" s="158" t="n">
        <v>72.88</v>
      </c>
      <c r="K102" s="239" t="n">
        <v>1120530</v>
      </c>
      <c r="L102" s="168" t="n">
        <v>209530</v>
      </c>
      <c r="M102" s="168" t="n">
        <f aca="false">K102-209530</f>
        <v>911000</v>
      </c>
      <c r="N102" s="168" t="n">
        <f aca="false">M102/J102</f>
        <v>12500</v>
      </c>
      <c r="Q102" s="158" t="n">
        <f aca="false">M102+P102</f>
        <v>911000</v>
      </c>
      <c r="R102" s="168" t="n">
        <f aca="false">Q102/J102</f>
        <v>12500</v>
      </c>
      <c r="T102" s="207" t="s">
        <v>29</v>
      </c>
      <c r="U102" s="207" t="s">
        <v>30</v>
      </c>
      <c r="V102" s="221" t="s">
        <v>4568</v>
      </c>
      <c r="W102" s="207" t="s">
        <v>31</v>
      </c>
      <c r="X102" s="173" t="n">
        <v>43700</v>
      </c>
      <c r="Y102" s="116" t="s">
        <v>4812</v>
      </c>
    </row>
    <row r="103" customFormat="false" ht="12.8" hidden="false" customHeight="false" outlineLevel="0" collapsed="false">
      <c r="B103" s="5" t="s">
        <v>4813</v>
      </c>
      <c r="C103" s="206" t="n">
        <v>43515</v>
      </c>
      <c r="D103" s="5" t="s">
        <v>22</v>
      </c>
      <c r="E103" s="5" t="s">
        <v>251</v>
      </c>
      <c r="F103" s="207" t="s">
        <v>361</v>
      </c>
      <c r="G103" s="5" t="s">
        <v>74</v>
      </c>
      <c r="H103" s="5" t="s">
        <v>4700</v>
      </c>
      <c r="I103" s="5" t="s">
        <v>36</v>
      </c>
      <c r="J103" s="158" t="n">
        <v>22.35</v>
      </c>
      <c r="M103" s="168" t="n">
        <v>265000</v>
      </c>
      <c r="N103" s="168" t="n">
        <f aca="false">M103/J103</f>
        <v>11856.8232662192</v>
      </c>
      <c r="O103" s="207" t="s">
        <v>4814</v>
      </c>
      <c r="Q103" s="158" t="n">
        <f aca="false">M103+P103</f>
        <v>265000</v>
      </c>
      <c r="R103" s="168" t="n">
        <f aca="false">Q103/J103</f>
        <v>11856.8232662192</v>
      </c>
      <c r="T103" s="207" t="s">
        <v>29</v>
      </c>
      <c r="U103" s="207" t="s">
        <v>30</v>
      </c>
      <c r="V103" s="221" t="s">
        <v>4568</v>
      </c>
      <c r="W103" s="207" t="s">
        <v>31</v>
      </c>
      <c r="X103" s="173" t="n">
        <v>43523</v>
      </c>
      <c r="Y103" s="116" t="s">
        <v>4815</v>
      </c>
    </row>
    <row r="104" customFormat="false" ht="12.8" hidden="false" customHeight="false" outlineLevel="0" collapsed="false">
      <c r="B104" s="5" t="s">
        <v>4777</v>
      </c>
      <c r="C104" s="206" t="n">
        <v>43487</v>
      </c>
      <c r="D104" s="5" t="s">
        <v>22</v>
      </c>
      <c r="E104" s="5" t="s">
        <v>433</v>
      </c>
      <c r="F104" s="207" t="s">
        <v>434</v>
      </c>
      <c r="G104" s="5" t="s">
        <v>82</v>
      </c>
      <c r="H104" s="5" t="s">
        <v>4595</v>
      </c>
      <c r="I104" s="5" t="s">
        <v>27</v>
      </c>
      <c r="J104" s="158" t="n">
        <v>83.86</v>
      </c>
      <c r="K104" s="239" t="n">
        <v>1254600</v>
      </c>
      <c r="L104" s="168" t="n">
        <f aca="false">K104-M104</f>
        <v>234600</v>
      </c>
      <c r="M104" s="168" t="n">
        <f aca="false">K104/1.23</f>
        <v>1020000</v>
      </c>
      <c r="N104" s="168" t="n">
        <f aca="false">M104/J104</f>
        <v>12163.1290245648</v>
      </c>
      <c r="Q104" s="158" t="n">
        <f aca="false">M104+P104</f>
        <v>1020000</v>
      </c>
      <c r="R104" s="168" t="n">
        <f aca="false">Q104/J104</f>
        <v>12163.1290245648</v>
      </c>
      <c r="S104" s="5" t="s">
        <v>4816</v>
      </c>
      <c r="T104" s="207" t="s">
        <v>29</v>
      </c>
      <c r="U104" s="207" t="s">
        <v>1915</v>
      </c>
      <c r="V104" s="221" t="s">
        <v>4568</v>
      </c>
      <c r="W104" s="207" t="s">
        <v>31</v>
      </c>
      <c r="X104" s="173" t="n">
        <v>43709</v>
      </c>
    </row>
    <row r="105" customFormat="false" ht="12.8" hidden="false" customHeight="false" outlineLevel="0" collapsed="false">
      <c r="B105" s="5" t="s">
        <v>4784</v>
      </c>
      <c r="C105" s="206" t="n">
        <v>43489</v>
      </c>
      <c r="D105" s="5" t="s">
        <v>22</v>
      </c>
      <c r="E105" s="5" t="s">
        <v>433</v>
      </c>
      <c r="F105" s="207" t="s">
        <v>434</v>
      </c>
      <c r="G105" s="5" t="s">
        <v>82</v>
      </c>
      <c r="H105" s="5" t="s">
        <v>4586</v>
      </c>
      <c r="I105" s="5" t="s">
        <v>27</v>
      </c>
      <c r="J105" s="158" t="n">
        <v>111.84</v>
      </c>
      <c r="K105" s="239" t="n">
        <v>1857103.2</v>
      </c>
      <c r="L105" s="168" t="n">
        <f aca="false">K105-M105</f>
        <v>347263.2</v>
      </c>
      <c r="M105" s="168" t="n">
        <f aca="false">K105/1.23</f>
        <v>1509840</v>
      </c>
      <c r="N105" s="168" t="n">
        <f aca="false">M105/J105</f>
        <v>13500</v>
      </c>
      <c r="Q105" s="158" t="n">
        <f aca="false">M105+P105</f>
        <v>1509840</v>
      </c>
      <c r="R105" s="168" t="n">
        <f aca="false">Q105/J105</f>
        <v>13500</v>
      </c>
      <c r="S105" s="5" t="s">
        <v>4816</v>
      </c>
      <c r="T105" s="207" t="s">
        <v>29</v>
      </c>
      <c r="U105" s="207" t="s">
        <v>1915</v>
      </c>
      <c r="V105" s="221" t="s">
        <v>4568</v>
      </c>
      <c r="W105" s="207" t="s">
        <v>31</v>
      </c>
      <c r="X105" s="173" t="n">
        <v>43709</v>
      </c>
    </row>
    <row r="106" customFormat="false" ht="12.8" hidden="false" customHeight="false" outlineLevel="0" collapsed="false">
      <c r="B106" s="5" t="s">
        <v>4817</v>
      </c>
      <c r="C106" s="206" t="n">
        <v>43710</v>
      </c>
      <c r="D106" s="5" t="s">
        <v>22</v>
      </c>
      <c r="E106" s="5" t="s">
        <v>140</v>
      </c>
      <c r="F106" s="207" t="s">
        <v>138</v>
      </c>
      <c r="G106" s="5" t="s">
        <v>939</v>
      </c>
      <c r="H106" s="5" t="s">
        <v>4818</v>
      </c>
      <c r="I106" s="5" t="s">
        <v>27</v>
      </c>
      <c r="J106" s="158" t="n">
        <v>76.76</v>
      </c>
      <c r="K106" s="239" t="n">
        <v>998760</v>
      </c>
      <c r="L106" s="168" t="n">
        <f aca="false">K106-M106</f>
        <v>186760</v>
      </c>
      <c r="M106" s="168" t="n">
        <f aca="false">K106/1.23</f>
        <v>812000</v>
      </c>
      <c r="N106" s="168" t="n">
        <f aca="false">M106/J106</f>
        <v>10578.426263679</v>
      </c>
      <c r="Q106" s="158" t="n">
        <f aca="false">M106+P106</f>
        <v>812000</v>
      </c>
      <c r="R106" s="168" t="n">
        <f aca="false">Q106/J106</f>
        <v>10578.426263679</v>
      </c>
      <c r="S106" s="5" t="s">
        <v>4819</v>
      </c>
      <c r="T106" s="207" t="s">
        <v>29</v>
      </c>
      <c r="U106" s="207" t="s">
        <v>30</v>
      </c>
      <c r="V106" s="221" t="s">
        <v>4568</v>
      </c>
      <c r="W106" s="207" t="s">
        <v>31</v>
      </c>
      <c r="X106" s="173" t="n">
        <v>43709</v>
      </c>
      <c r="Y106" s="116" t="s">
        <v>1140</v>
      </c>
    </row>
    <row r="107" customFormat="false" ht="12.8" hidden="false" customHeight="false" outlineLevel="0" collapsed="false">
      <c r="B107" s="5" t="n">
        <v>7506</v>
      </c>
      <c r="C107" s="206" t="n">
        <v>43682</v>
      </c>
      <c r="D107" s="5" t="s">
        <v>22</v>
      </c>
      <c r="E107" s="5" t="s">
        <v>962</v>
      </c>
      <c r="F107" s="207" t="s">
        <v>4820</v>
      </c>
      <c r="G107" s="5" t="s">
        <v>26</v>
      </c>
      <c r="H107" s="5" t="s">
        <v>4595</v>
      </c>
      <c r="I107" s="5" t="s">
        <v>27</v>
      </c>
      <c r="J107" s="158" t="n">
        <v>80.79</v>
      </c>
      <c r="K107" s="239" t="n">
        <v>1180800</v>
      </c>
      <c r="L107" s="168" t="n">
        <f aca="false">K107-M107</f>
        <v>220800</v>
      </c>
      <c r="M107" s="168" t="n">
        <f aca="false">K107/1.23</f>
        <v>960000</v>
      </c>
      <c r="N107" s="168" t="n">
        <f aca="false">M107/J107</f>
        <v>11882.6587448942</v>
      </c>
      <c r="O107" s="207" t="s">
        <v>4821</v>
      </c>
      <c r="Q107" s="158" t="n">
        <f aca="false">M107+P107</f>
        <v>960000</v>
      </c>
      <c r="R107" s="168" t="n">
        <f aca="false">Q107/J107</f>
        <v>11882.6587448942</v>
      </c>
      <c r="U107" s="207" t="s">
        <v>1140</v>
      </c>
      <c r="V107" s="221" t="s">
        <v>4568</v>
      </c>
      <c r="W107" s="207" t="s">
        <v>31</v>
      </c>
      <c r="X107" s="173" t="n">
        <v>43709</v>
      </c>
    </row>
    <row r="108" customFormat="false" ht="12.8" hidden="false" customHeight="false" outlineLevel="0" collapsed="false">
      <c r="B108" s="5" t="s">
        <v>4822</v>
      </c>
      <c r="C108" s="206" t="n">
        <v>43686</v>
      </c>
      <c r="D108" s="5" t="s">
        <v>22</v>
      </c>
      <c r="E108" s="5" t="s">
        <v>962</v>
      </c>
      <c r="F108" s="207" t="s">
        <v>4820</v>
      </c>
      <c r="G108" s="5" t="s">
        <v>26</v>
      </c>
      <c r="H108" s="5" t="s">
        <v>4595</v>
      </c>
      <c r="I108" s="5" t="s">
        <v>27</v>
      </c>
      <c r="J108" s="158" t="n">
        <v>191.11</v>
      </c>
      <c r="K108" s="239" t="n">
        <v>2794215.6</v>
      </c>
      <c r="L108" s="168" t="n">
        <f aca="false">K108-M108</f>
        <v>522495.6</v>
      </c>
      <c r="M108" s="168" t="n">
        <f aca="false">K108/1.23</f>
        <v>2271720</v>
      </c>
      <c r="N108" s="168" t="n">
        <f aca="false">M108/J108</f>
        <v>11886.9760870703</v>
      </c>
      <c r="Q108" s="158" t="n">
        <f aca="false">M108+P108</f>
        <v>2271720</v>
      </c>
      <c r="R108" s="168" t="n">
        <f aca="false">Q108/J108</f>
        <v>11886.9760870703</v>
      </c>
      <c r="V108" s="221" t="s">
        <v>4568</v>
      </c>
      <c r="W108" s="207" t="s">
        <v>31</v>
      </c>
      <c r="X108" s="173" t="n">
        <v>43709</v>
      </c>
    </row>
    <row r="109" customFormat="false" ht="12.8" hidden="false" customHeight="false" outlineLevel="0" collapsed="false">
      <c r="B109" s="5" t="s">
        <v>4823</v>
      </c>
      <c r="C109" s="206" t="n">
        <v>43686</v>
      </c>
      <c r="D109" s="5" t="s">
        <v>22</v>
      </c>
      <c r="E109" s="5" t="s">
        <v>962</v>
      </c>
      <c r="F109" s="207" t="s">
        <v>4820</v>
      </c>
      <c r="G109" s="5" t="s">
        <v>36</v>
      </c>
      <c r="H109" s="5" t="s">
        <v>4580</v>
      </c>
      <c r="I109" s="5" t="s">
        <v>27</v>
      </c>
      <c r="J109" s="158" t="n">
        <v>133.35</v>
      </c>
      <c r="K109" s="239" t="n">
        <v>1968246</v>
      </c>
      <c r="L109" s="168" t="n">
        <f aca="false">K109-M109</f>
        <v>368046</v>
      </c>
      <c r="M109" s="168" t="n">
        <f aca="false">K109/1.23</f>
        <v>1600200</v>
      </c>
      <c r="N109" s="168" t="n">
        <f aca="false">M109/J109</f>
        <v>12000</v>
      </c>
      <c r="Q109" s="158" t="n">
        <f aca="false">M109+P109</f>
        <v>1600200</v>
      </c>
      <c r="R109" s="168" t="n">
        <f aca="false">Q109/J109</f>
        <v>12000</v>
      </c>
      <c r="V109" s="221" t="s">
        <v>4568</v>
      </c>
      <c r="W109" s="207" t="s">
        <v>31</v>
      </c>
      <c r="X109" s="173" t="n">
        <v>43709</v>
      </c>
    </row>
    <row r="110" customFormat="false" ht="12.8" hidden="false" customHeight="false" outlineLevel="0" collapsed="false">
      <c r="B110" s="5" t="s">
        <v>4824</v>
      </c>
      <c r="C110" s="206" t="n">
        <v>43678</v>
      </c>
      <c r="D110" s="5" t="s">
        <v>22</v>
      </c>
      <c r="E110" s="5" t="s">
        <v>308</v>
      </c>
      <c r="F110" s="207" t="s">
        <v>309</v>
      </c>
      <c r="G110" s="5" t="s">
        <v>135</v>
      </c>
      <c r="H110" s="5" t="s">
        <v>348</v>
      </c>
      <c r="I110" s="5" t="s">
        <v>36</v>
      </c>
      <c r="J110" s="158" t="n">
        <v>323.54</v>
      </c>
      <c r="K110" s="239" t="n">
        <v>3567000</v>
      </c>
      <c r="L110" s="168" t="n">
        <f aca="false">K110-M110</f>
        <v>667000</v>
      </c>
      <c r="M110" s="168" t="n">
        <f aca="false">K110/1.23</f>
        <v>2900000</v>
      </c>
      <c r="N110" s="168" t="n">
        <f aca="false">M110/J110</f>
        <v>8963.34301786487</v>
      </c>
      <c r="O110" s="207" t="s">
        <v>4825</v>
      </c>
      <c r="Q110" s="158" t="n">
        <v>2900000</v>
      </c>
      <c r="R110" s="168" t="n">
        <f aca="false">Q110/J110</f>
        <v>8963.34301786487</v>
      </c>
      <c r="S110" s="5" t="s">
        <v>4826</v>
      </c>
      <c r="U110" s="207" t="s">
        <v>30</v>
      </c>
      <c r="V110" s="221" t="s">
        <v>4568</v>
      </c>
      <c r="W110" s="207" t="s">
        <v>31</v>
      </c>
      <c r="X110" s="173" t="n">
        <v>43709</v>
      </c>
      <c r="Y110" s="116" t="s">
        <v>4827</v>
      </c>
    </row>
    <row r="111" customFormat="false" ht="12.8" hidden="false" customHeight="false" outlineLevel="0" collapsed="false">
      <c r="B111" s="5" t="s">
        <v>4828</v>
      </c>
      <c r="C111" s="206" t="n">
        <v>43706</v>
      </c>
      <c r="D111" s="5" t="s">
        <v>22</v>
      </c>
      <c r="E111" s="5" t="s">
        <v>53</v>
      </c>
      <c r="F111" s="207" t="s">
        <v>366</v>
      </c>
      <c r="G111" s="5" t="s">
        <v>4829</v>
      </c>
      <c r="H111" s="5" t="s">
        <v>4586</v>
      </c>
      <c r="I111" s="5" t="s">
        <v>27</v>
      </c>
      <c r="J111" s="158" t="n">
        <v>110.6</v>
      </c>
      <c r="K111" s="239" t="n">
        <v>527000</v>
      </c>
      <c r="L111" s="168" t="n">
        <v>0</v>
      </c>
      <c r="M111" s="168" t="n">
        <f aca="false">K111</f>
        <v>527000</v>
      </c>
      <c r="N111" s="168" t="n">
        <f aca="false">M111/J111</f>
        <v>4764.91862567812</v>
      </c>
      <c r="O111" s="207" t="s">
        <v>4830</v>
      </c>
      <c r="Q111" s="158" t="n">
        <f aca="false">M111+P111</f>
        <v>527000</v>
      </c>
      <c r="R111" s="168" t="n">
        <f aca="false">Q111/J111</f>
        <v>4764.91862567812</v>
      </c>
      <c r="S111" s="73" t="s">
        <v>4831</v>
      </c>
      <c r="T111" s="220"/>
      <c r="U111" s="220" t="s">
        <v>30</v>
      </c>
      <c r="V111" s="33" t="s">
        <v>4568</v>
      </c>
      <c r="W111" s="220" t="s">
        <v>31</v>
      </c>
      <c r="X111" s="259" t="n">
        <v>43709</v>
      </c>
      <c r="Y111" s="33"/>
      <c r="Z111" s="33"/>
    </row>
    <row r="112" customFormat="false" ht="12.8" hidden="false" customHeight="false" outlineLevel="0" collapsed="false">
      <c r="B112" s="5" t="s">
        <v>4832</v>
      </c>
      <c r="C112" s="206" t="n">
        <v>43720</v>
      </c>
      <c r="D112" s="5" t="s">
        <v>22</v>
      </c>
      <c r="E112" s="5" t="s">
        <v>331</v>
      </c>
      <c r="F112" s="207" t="s">
        <v>4833</v>
      </c>
      <c r="G112" s="5" t="s">
        <v>26</v>
      </c>
      <c r="H112" s="5" t="s">
        <v>120</v>
      </c>
      <c r="I112" s="5" t="s">
        <v>36</v>
      </c>
      <c r="J112" s="158" t="n">
        <v>32.61</v>
      </c>
      <c r="M112" s="168" t="n">
        <v>650000</v>
      </c>
      <c r="N112" s="168" t="n">
        <f aca="false">M112/J112</f>
        <v>19932.5360318921</v>
      </c>
      <c r="O112" s="207" t="s">
        <v>987</v>
      </c>
      <c r="Q112" s="158" t="n">
        <v>650000</v>
      </c>
      <c r="R112" s="168" t="n">
        <f aca="false">Q112/J112</f>
        <v>19932.5360318921</v>
      </c>
      <c r="S112" s="73" t="s">
        <v>4834</v>
      </c>
      <c r="T112" s="220" t="s">
        <v>29</v>
      </c>
      <c r="U112" s="220" t="s">
        <v>30</v>
      </c>
      <c r="V112" s="33" t="s">
        <v>4568</v>
      </c>
      <c r="W112" s="220" t="s">
        <v>31</v>
      </c>
      <c r="X112" s="259" t="n">
        <v>43794</v>
      </c>
      <c r="Y112" s="33" t="s">
        <v>4835</v>
      </c>
      <c r="Z112" s="33"/>
    </row>
    <row r="113" customFormat="false" ht="12.8" hidden="false" customHeight="false" outlineLevel="0" collapsed="false">
      <c r="B113" s="5" t="s">
        <v>4836</v>
      </c>
      <c r="C113" s="206" t="n">
        <v>43713</v>
      </c>
      <c r="D113" s="5" t="s">
        <v>22</v>
      </c>
      <c r="E113" s="5" t="s">
        <v>175</v>
      </c>
      <c r="F113" s="207" t="s">
        <v>176</v>
      </c>
      <c r="G113" s="5" t="s">
        <v>1765</v>
      </c>
      <c r="H113" s="5" t="s">
        <v>4586</v>
      </c>
      <c r="I113" s="5" t="s">
        <v>27</v>
      </c>
      <c r="J113" s="158" t="n">
        <v>107.8</v>
      </c>
      <c r="K113" s="239" t="n">
        <v>1789650</v>
      </c>
      <c r="L113" s="168" t="n">
        <v>334650</v>
      </c>
      <c r="M113" s="168" t="n">
        <v>1455000</v>
      </c>
      <c r="N113" s="168" t="n">
        <f aca="false">M113/J113</f>
        <v>13497.2170686456</v>
      </c>
      <c r="Q113" s="158" t="n">
        <v>1455000</v>
      </c>
      <c r="R113" s="168" t="n">
        <f aca="false">Q113/J113</f>
        <v>13497.2170686456</v>
      </c>
      <c r="S113" s="73" t="s">
        <v>4837</v>
      </c>
      <c r="T113" s="220" t="s">
        <v>29</v>
      </c>
      <c r="U113" s="220" t="s">
        <v>30</v>
      </c>
      <c r="V113" s="33" t="s">
        <v>4568</v>
      </c>
      <c r="W113" s="220" t="s">
        <v>31</v>
      </c>
      <c r="X113" s="259" t="n">
        <v>43794</v>
      </c>
      <c r="Y113" s="33" t="s">
        <v>4838</v>
      </c>
      <c r="Z113" s="33"/>
    </row>
    <row r="114" s="153" customFormat="true" ht="15" hidden="false" customHeight="true" outlineLevel="0" collapsed="false">
      <c r="B114" s="2" t="s">
        <v>4839</v>
      </c>
      <c r="C114" s="260" t="n">
        <v>43732</v>
      </c>
      <c r="D114" s="155" t="s">
        <v>22</v>
      </c>
      <c r="E114" s="8" t="s">
        <v>343</v>
      </c>
      <c r="F114" s="1" t="s">
        <v>344</v>
      </c>
      <c r="G114" s="2" t="s">
        <v>833</v>
      </c>
      <c r="H114" s="5" t="s">
        <v>4595</v>
      </c>
      <c r="I114" s="5" t="s">
        <v>27</v>
      </c>
      <c r="J114" s="158" t="n">
        <v>74.33</v>
      </c>
      <c r="K114" s="163" t="n">
        <v>1265178</v>
      </c>
      <c r="L114" s="163"/>
      <c r="M114" s="163"/>
      <c r="N114" s="163" t="n">
        <f aca="false">K114/J114</f>
        <v>17021.0951163729</v>
      </c>
      <c r="O114" s="170"/>
      <c r="P114" s="163"/>
      <c r="Q114" s="163" t="n">
        <f aca="false">K114+P114</f>
        <v>1265178</v>
      </c>
      <c r="R114" s="168" t="n">
        <f aca="false">Q114/J114</f>
        <v>17021.0951163729</v>
      </c>
      <c r="S114" s="261" t="s">
        <v>4840</v>
      </c>
      <c r="T114" s="73" t="s">
        <v>29</v>
      </c>
      <c r="U114" s="73" t="s">
        <v>30</v>
      </c>
      <c r="V114" s="73" t="s">
        <v>4568</v>
      </c>
      <c r="W114" s="220" t="s">
        <v>31</v>
      </c>
      <c r="X114" s="262" t="n">
        <v>43794</v>
      </c>
      <c r="Y114" s="33" t="s">
        <v>4841</v>
      </c>
      <c r="Z114" s="263"/>
    </row>
    <row r="115" s="153" customFormat="true" ht="12.8" hidden="false" customHeight="false" outlineLevel="0" collapsed="false">
      <c r="B115" s="2" t="n">
        <v>5896</v>
      </c>
      <c r="C115" s="3" t="n">
        <v>43731</v>
      </c>
      <c r="D115" s="155" t="s">
        <v>22</v>
      </c>
      <c r="E115" s="8" t="s">
        <v>4292</v>
      </c>
      <c r="F115" s="1" t="s">
        <v>4725</v>
      </c>
      <c r="G115" s="2" t="n">
        <v>5</v>
      </c>
      <c r="H115" s="2" t="n">
        <v>13</v>
      </c>
      <c r="I115" s="2" t="n">
        <v>3</v>
      </c>
      <c r="J115" s="2" t="n">
        <v>68.46</v>
      </c>
      <c r="K115" s="6" t="n">
        <v>1242300</v>
      </c>
      <c r="L115" s="163" t="n">
        <v>23</v>
      </c>
      <c r="M115" s="163" t="n">
        <v>1028600</v>
      </c>
      <c r="N115" s="6" t="n">
        <f aca="false">K115/J115</f>
        <v>18146.3628396144</v>
      </c>
      <c r="O115" s="264" t="s">
        <v>4842</v>
      </c>
      <c r="P115" s="6"/>
      <c r="Q115" s="163" t="n">
        <f aca="false">K115+P115</f>
        <v>1242300</v>
      </c>
      <c r="R115" s="168" t="n">
        <f aca="false">Q115/J115</f>
        <v>18146.3628396144</v>
      </c>
      <c r="S115" s="1" t="s">
        <v>4843</v>
      </c>
      <c r="T115" s="2" t="s">
        <v>29</v>
      </c>
      <c r="U115" s="5" t="s">
        <v>1915</v>
      </c>
      <c r="V115" s="5" t="s">
        <v>4568</v>
      </c>
      <c r="W115" s="172" t="s">
        <v>31</v>
      </c>
      <c r="X115" s="265" t="n">
        <v>43794</v>
      </c>
      <c r="Y115" s="1" t="s">
        <v>4844</v>
      </c>
    </row>
    <row r="116" s="153" customFormat="true" ht="12.8" hidden="false" customHeight="false" outlineLevel="0" collapsed="false">
      <c r="B116" s="2" t="n">
        <v>6099</v>
      </c>
      <c r="C116" s="3" t="n">
        <v>43738</v>
      </c>
      <c r="D116" s="155" t="s">
        <v>22</v>
      </c>
      <c r="E116" s="8" t="s">
        <v>4292</v>
      </c>
      <c r="F116" s="1" t="s">
        <v>4725</v>
      </c>
      <c r="G116" s="2" t="s">
        <v>57</v>
      </c>
      <c r="H116" s="2" t="s">
        <v>27</v>
      </c>
      <c r="I116" s="2" t="n">
        <v>1</v>
      </c>
      <c r="J116" s="2" t="n">
        <v>63.63</v>
      </c>
      <c r="K116" s="6" t="n">
        <v>922500</v>
      </c>
      <c r="L116" s="163"/>
      <c r="M116" s="163" t="n">
        <v>750000</v>
      </c>
      <c r="N116" s="6" t="n">
        <f aca="false">K116/J116</f>
        <v>14497.8783592645</v>
      </c>
      <c r="O116" s="264" t="s">
        <v>4845</v>
      </c>
      <c r="P116" s="6" t="n">
        <v>30750</v>
      </c>
      <c r="Q116" s="163" t="n">
        <f aca="false">K116+P116</f>
        <v>953250</v>
      </c>
      <c r="R116" s="168" t="n">
        <f aca="false">Q116/J116</f>
        <v>14981.14097124</v>
      </c>
      <c r="S116" s="1" t="s">
        <v>4846</v>
      </c>
      <c r="T116" s="2" t="s">
        <v>29</v>
      </c>
      <c r="U116" s="5" t="s">
        <v>1915</v>
      </c>
      <c r="V116" s="5" t="s">
        <v>4568</v>
      </c>
      <c r="W116" s="172" t="s">
        <v>31</v>
      </c>
      <c r="X116" s="265" t="n">
        <v>43794</v>
      </c>
      <c r="Y116" s="1" t="s">
        <v>4847</v>
      </c>
    </row>
    <row r="117" s="266" customFormat="true" ht="13.8" hidden="false" customHeight="false" outlineLevel="0" collapsed="false">
      <c r="B117" s="267" t="s">
        <v>4848</v>
      </c>
      <c r="C117" s="268" t="n">
        <v>43768</v>
      </c>
      <c r="D117" s="267" t="s">
        <v>22</v>
      </c>
      <c r="E117" s="267" t="s">
        <v>93</v>
      </c>
      <c r="F117" s="269" t="s">
        <v>272</v>
      </c>
      <c r="G117" s="267" t="s">
        <v>55</v>
      </c>
      <c r="H117" s="267" t="s">
        <v>1214</v>
      </c>
      <c r="I117" s="267" t="s">
        <v>27</v>
      </c>
      <c r="J117" s="270" t="n">
        <v>234</v>
      </c>
      <c r="K117" s="271" t="n">
        <v>1915000</v>
      </c>
      <c r="L117" s="272" t="n">
        <f aca="false">K117*0.23</f>
        <v>440450</v>
      </c>
      <c r="M117" s="272" t="n">
        <f aca="false">K117/1.23</f>
        <v>1556910.56910569</v>
      </c>
      <c r="N117" s="272" t="n">
        <f aca="false">M117/J117</f>
        <v>6653.46397053714</v>
      </c>
      <c r="O117" s="269" t="s">
        <v>4849</v>
      </c>
      <c r="P117" s="272"/>
      <c r="Q117" s="272" t="n">
        <v>1915000</v>
      </c>
      <c r="R117" s="168" t="n">
        <f aca="false">Q117/J117</f>
        <v>8183.76068376068</v>
      </c>
      <c r="S117" s="267"/>
      <c r="T117" s="273" t="s">
        <v>29</v>
      </c>
      <c r="U117" s="267" t="s">
        <v>1915</v>
      </c>
      <c r="V117" s="267" t="s">
        <v>4568</v>
      </c>
      <c r="W117" s="269" t="s">
        <v>31</v>
      </c>
      <c r="X117" s="274" t="n">
        <v>43880</v>
      </c>
      <c r="Y117" s="266" t="s">
        <v>4850</v>
      </c>
      <c r="AMJ117" s="275"/>
    </row>
    <row r="118" customFormat="false" ht="12.8" hidden="false" customHeight="false" outlineLevel="0" collapsed="false">
      <c r="B118" s="5" t="s">
        <v>4851</v>
      </c>
      <c r="C118" s="206" t="n">
        <v>43769</v>
      </c>
      <c r="D118" s="5" t="s">
        <v>22</v>
      </c>
      <c r="E118" s="5" t="s">
        <v>80</v>
      </c>
      <c r="F118" s="207" t="s">
        <v>81</v>
      </c>
      <c r="G118" s="5" t="s">
        <v>111</v>
      </c>
      <c r="H118" s="5" t="s">
        <v>36</v>
      </c>
      <c r="I118" s="5" t="s">
        <v>27</v>
      </c>
      <c r="J118" s="158" t="n">
        <v>57.24</v>
      </c>
      <c r="K118" s="239" t="n">
        <v>142330.15</v>
      </c>
      <c r="M118" s="168" t="n">
        <v>142330.15</v>
      </c>
      <c r="N118" s="168" t="n">
        <f aca="false">M118/J118</f>
        <v>2486.55048916841</v>
      </c>
      <c r="R118" s="168" t="n">
        <f aca="false">Q118/J118</f>
        <v>0</v>
      </c>
      <c r="S118" s="5" t="s">
        <v>4852</v>
      </c>
      <c r="T118" s="2" t="s">
        <v>29</v>
      </c>
      <c r="U118" s="5" t="s">
        <v>30</v>
      </c>
      <c r="V118" s="5" t="s">
        <v>4568</v>
      </c>
      <c r="W118" s="207" t="s">
        <v>31</v>
      </c>
      <c r="X118" s="173" t="n">
        <v>43880</v>
      </c>
      <c r="Y118" s="116" t="s">
        <v>4853</v>
      </c>
    </row>
    <row r="119" customFormat="false" ht="12.8" hidden="false" customHeight="false" outlineLevel="0" collapsed="false">
      <c r="B119" s="2" t="n">
        <v>18752</v>
      </c>
      <c r="C119" s="155" t="n">
        <v>43783</v>
      </c>
      <c r="D119" s="5" t="s">
        <v>22</v>
      </c>
      <c r="E119" s="5" t="s">
        <v>178</v>
      </c>
      <c r="F119" s="207" t="s">
        <v>569</v>
      </c>
      <c r="G119" s="5" t="s">
        <v>657</v>
      </c>
      <c r="H119" s="5" t="s">
        <v>55</v>
      </c>
      <c r="I119" s="5" t="s">
        <v>27</v>
      </c>
      <c r="J119" s="158" t="n">
        <v>37.22</v>
      </c>
      <c r="K119" s="239" t="n">
        <v>544890</v>
      </c>
      <c r="L119" s="168" t="n">
        <v>101890</v>
      </c>
      <c r="M119" s="168" t="n">
        <v>433000</v>
      </c>
      <c r="N119" s="168" t="n">
        <f aca="false">M119/J119</f>
        <v>11633.5303600215</v>
      </c>
      <c r="Q119" s="168" t="n">
        <v>433000</v>
      </c>
      <c r="R119" s="168" t="n">
        <f aca="false">Q119/J119</f>
        <v>11633.5303600215</v>
      </c>
      <c r="S119" s="5" t="s">
        <v>4854</v>
      </c>
      <c r="T119" s="5" t="s">
        <v>29</v>
      </c>
      <c r="U119" s="5" t="s">
        <v>30</v>
      </c>
      <c r="V119" s="5" t="s">
        <v>4568</v>
      </c>
      <c r="W119" s="207" t="s">
        <v>31</v>
      </c>
      <c r="X119" s="173" t="n">
        <v>43881</v>
      </c>
      <c r="Y119" s="116" t="s">
        <v>4855</v>
      </c>
    </row>
    <row r="120" customFormat="false" ht="12.8" hidden="false" customHeight="false" outlineLevel="0" collapsed="false">
      <c r="B120" s="5" t="s">
        <v>4856</v>
      </c>
      <c r="C120" s="206" t="n">
        <v>43783</v>
      </c>
      <c r="D120" s="5" t="s">
        <v>22</v>
      </c>
      <c r="E120" s="5" t="s">
        <v>80</v>
      </c>
      <c r="F120" s="207" t="s">
        <v>162</v>
      </c>
      <c r="G120" s="5" t="s">
        <v>26</v>
      </c>
      <c r="H120" s="5" t="s">
        <v>4586</v>
      </c>
      <c r="I120" s="5" t="s">
        <v>27</v>
      </c>
      <c r="J120" s="158" t="n">
        <v>103.51</v>
      </c>
      <c r="K120" s="239" t="n">
        <v>1562100</v>
      </c>
      <c r="L120" s="168" t="n">
        <v>292100</v>
      </c>
      <c r="M120" s="168" t="n">
        <v>1270000</v>
      </c>
      <c r="N120" s="168" t="n">
        <f aca="false">M120/J120</f>
        <v>12269.3459569124</v>
      </c>
      <c r="Q120" s="168" t="n">
        <v>1270000</v>
      </c>
      <c r="R120" s="168" t="n">
        <f aca="false">Q120/J120</f>
        <v>12269.3459569124</v>
      </c>
      <c r="S120" s="5" t="s">
        <v>4857</v>
      </c>
      <c r="U120" s="5" t="s">
        <v>30</v>
      </c>
      <c r="V120" s="5" t="s">
        <v>4568</v>
      </c>
      <c r="W120" s="207" t="s">
        <v>31</v>
      </c>
      <c r="X120" s="173" t="n">
        <v>43881</v>
      </c>
      <c r="Y120" s="116" t="s">
        <v>4858</v>
      </c>
      <c r="Z120" s="116" t="s">
        <v>3638</v>
      </c>
    </row>
    <row r="121" customFormat="false" ht="12.8" hidden="false" customHeight="false" outlineLevel="0" collapsed="false">
      <c r="B121" s="5" t="n">
        <v>9099</v>
      </c>
      <c r="C121" s="206" t="n">
        <v>43797</v>
      </c>
      <c r="D121" s="5" t="s">
        <v>22</v>
      </c>
      <c r="E121" s="5" t="s">
        <v>140</v>
      </c>
      <c r="F121" s="207" t="s">
        <v>138</v>
      </c>
      <c r="G121" s="5" t="n">
        <v>2</v>
      </c>
      <c r="H121" s="5" t="s">
        <v>4576</v>
      </c>
      <c r="I121" s="5" t="n">
        <v>1</v>
      </c>
      <c r="J121" s="158" t="n">
        <v>91.5</v>
      </c>
      <c r="K121" s="239" t="n">
        <v>1046760</v>
      </c>
      <c r="L121" s="168" t="n">
        <v>23</v>
      </c>
      <c r="M121" s="168" t="n">
        <v>851024.390243902</v>
      </c>
      <c r="N121" s="168" t="n">
        <v>9300.81300813008</v>
      </c>
      <c r="Q121" s="168" t="n">
        <v>1056060.81300813</v>
      </c>
      <c r="R121" s="168" t="n">
        <f aca="false">Q121/J121</f>
        <v>11541.6482295971</v>
      </c>
      <c r="T121" s="207" t="s">
        <v>29</v>
      </c>
      <c r="U121" s="207" t="s">
        <v>30</v>
      </c>
      <c r="V121" s="5" t="s">
        <v>4568</v>
      </c>
      <c r="W121" s="207" t="s">
        <v>31</v>
      </c>
      <c r="X121" s="173" t="n">
        <v>43886</v>
      </c>
      <c r="Y121" s="116" t="s">
        <v>4859</v>
      </c>
    </row>
    <row r="122" customFormat="false" ht="12.8" hidden="false" customHeight="false" outlineLevel="0" collapsed="false">
      <c r="B122" s="5" t="n">
        <v>5617</v>
      </c>
      <c r="C122" s="206" t="n">
        <v>43802</v>
      </c>
      <c r="D122" s="5" t="s">
        <v>22</v>
      </c>
      <c r="E122" s="5" t="s">
        <v>140</v>
      </c>
      <c r="F122" s="207" t="s">
        <v>138</v>
      </c>
      <c r="G122" s="5" t="n">
        <v>12</v>
      </c>
      <c r="H122" s="5" t="n">
        <v>3</v>
      </c>
      <c r="I122" s="5" t="n">
        <v>1</v>
      </c>
      <c r="J122" s="158" t="n">
        <v>178.67</v>
      </c>
      <c r="K122" s="239" t="n">
        <v>760000</v>
      </c>
      <c r="L122" s="168" t="n">
        <v>23</v>
      </c>
      <c r="M122" s="168" t="n">
        <v>617886.178861789</v>
      </c>
      <c r="N122" s="168" t="n">
        <v>3458.25364561364</v>
      </c>
      <c r="Q122" s="168" t="n">
        <v>763458.253645614</v>
      </c>
      <c r="R122" s="168" t="n">
        <f aca="false">Q122/J122</f>
        <v>4273.00752026425</v>
      </c>
      <c r="T122" s="207" t="s">
        <v>29</v>
      </c>
      <c r="U122" s="207" t="s">
        <v>30</v>
      </c>
      <c r="V122" s="5" t="s">
        <v>4568</v>
      </c>
      <c r="W122" s="207" t="s">
        <v>31</v>
      </c>
      <c r="X122" s="173" t="n">
        <v>43886</v>
      </c>
      <c r="Y122" s="116" t="s">
        <v>4860</v>
      </c>
    </row>
    <row r="123" customFormat="false" ht="12.8" hidden="false" customHeight="false" outlineLevel="0" collapsed="false">
      <c r="B123" s="5" t="n">
        <v>14601</v>
      </c>
      <c r="C123" s="206" t="n">
        <v>43795</v>
      </c>
      <c r="D123" s="5" t="s">
        <v>22</v>
      </c>
      <c r="E123" s="5" t="s">
        <v>80</v>
      </c>
      <c r="F123" s="207" t="s">
        <v>81</v>
      </c>
      <c r="G123" s="5" t="n">
        <v>8</v>
      </c>
      <c r="H123" s="5" t="s">
        <v>4592</v>
      </c>
      <c r="I123" s="5" t="n">
        <v>1</v>
      </c>
      <c r="J123" s="158" t="n">
        <v>70.38</v>
      </c>
      <c r="K123" s="239" t="n">
        <v>650000</v>
      </c>
      <c r="L123" s="168" t="n">
        <v>0</v>
      </c>
      <c r="M123" s="168" t="n">
        <v>650000</v>
      </c>
      <c r="N123" s="168" t="n">
        <v>9235.57828928673</v>
      </c>
      <c r="O123" s="207" t="s">
        <v>4861</v>
      </c>
      <c r="Q123" s="168" t="n">
        <v>659235.578289287</v>
      </c>
      <c r="R123" s="168" t="n">
        <f aca="false">Q123/J123</f>
        <v>9366.80276057526</v>
      </c>
      <c r="T123" s="207" t="s">
        <v>29</v>
      </c>
      <c r="U123" s="207" t="s">
        <v>30</v>
      </c>
      <c r="V123" s="5" t="s">
        <v>4568</v>
      </c>
      <c r="W123" s="207" t="s">
        <v>31</v>
      </c>
      <c r="X123" s="173" t="n">
        <v>43886</v>
      </c>
      <c r="Y123" s="116" t="s">
        <v>4862</v>
      </c>
    </row>
    <row r="124" customFormat="false" ht="12.8" hidden="false" customHeight="false" outlineLevel="0" collapsed="false">
      <c r="B124" s="5" t="n">
        <v>9092</v>
      </c>
      <c r="C124" s="206" t="n">
        <v>43811</v>
      </c>
      <c r="D124" s="5" t="s">
        <v>22</v>
      </c>
      <c r="E124" s="5" t="s">
        <v>644</v>
      </c>
      <c r="F124" s="207" t="s">
        <v>485</v>
      </c>
      <c r="G124" s="5" t="n">
        <v>83</v>
      </c>
      <c r="H124" s="5" t="s">
        <v>4595</v>
      </c>
      <c r="I124" s="5" t="n">
        <v>1</v>
      </c>
      <c r="J124" s="158" t="n">
        <v>85.34</v>
      </c>
      <c r="K124" s="239" t="n">
        <v>1100000</v>
      </c>
      <c r="L124" s="168" t="n">
        <v>23</v>
      </c>
      <c r="M124" s="168" t="n">
        <v>894308.943089431</v>
      </c>
      <c r="N124" s="168" t="n">
        <v>10479.3642264991</v>
      </c>
      <c r="Q124" s="168" t="n">
        <v>1110479.3642265</v>
      </c>
      <c r="R124" s="168" t="n">
        <f aca="false">Q124/J124</f>
        <v>13012.4134547281</v>
      </c>
      <c r="T124" s="207" t="s">
        <v>29</v>
      </c>
      <c r="U124" s="207" t="s">
        <v>30</v>
      </c>
      <c r="V124" s="5" t="s">
        <v>4568</v>
      </c>
      <c r="W124" s="207" t="s">
        <v>31</v>
      </c>
      <c r="X124" s="173" t="n">
        <v>43886</v>
      </c>
      <c r="Y124" s="116" t="s">
        <v>4863</v>
      </c>
    </row>
    <row r="125" customFormat="false" ht="12.8" hidden="false" customHeight="false" outlineLevel="0" collapsed="false">
      <c r="B125" s="5" t="n">
        <v>11437</v>
      </c>
      <c r="C125" s="206" t="n">
        <v>43775</v>
      </c>
      <c r="D125" s="5" t="s">
        <v>22</v>
      </c>
      <c r="E125" s="5" t="s">
        <v>4864</v>
      </c>
      <c r="F125" s="207" t="s">
        <v>230</v>
      </c>
      <c r="G125" s="5" t="n">
        <v>78</v>
      </c>
      <c r="H125" s="5" t="n">
        <v>11</v>
      </c>
      <c r="I125" s="5" t="n">
        <v>1</v>
      </c>
      <c r="J125" s="158" t="n">
        <v>471.4</v>
      </c>
      <c r="K125" s="239" t="n">
        <v>4797000</v>
      </c>
      <c r="L125" s="168" t="n">
        <v>23</v>
      </c>
      <c r="M125" s="168" t="n">
        <v>3900000</v>
      </c>
      <c r="N125" s="168" t="n">
        <v>8273.22868052609</v>
      </c>
      <c r="O125" s="207" t="s">
        <v>4865</v>
      </c>
      <c r="P125" s="168" t="n">
        <v>553500</v>
      </c>
      <c r="Q125" s="168" t="n">
        <v>4805273.22868053</v>
      </c>
      <c r="R125" s="168" t="n">
        <f aca="false">Q125/J125</f>
        <v>10193.6216136626</v>
      </c>
      <c r="T125" s="207" t="s">
        <v>29</v>
      </c>
      <c r="U125" s="207" t="s">
        <v>30</v>
      </c>
      <c r="V125" s="5" t="s">
        <v>4568</v>
      </c>
      <c r="W125" s="207" t="s">
        <v>31</v>
      </c>
      <c r="X125" s="173" t="n">
        <v>43886</v>
      </c>
      <c r="Y125" s="116" t="s">
        <v>4866</v>
      </c>
    </row>
    <row r="126" customFormat="false" ht="12.8" hidden="false" customHeight="false" outlineLevel="0" collapsed="false">
      <c r="B126" s="1" t="n">
        <v>4529</v>
      </c>
      <c r="C126" s="3" t="n">
        <v>43794</v>
      </c>
      <c r="D126" s="2" t="s">
        <v>22</v>
      </c>
      <c r="E126" s="5" t="s">
        <v>350</v>
      </c>
      <c r="F126" s="207" t="s">
        <v>351</v>
      </c>
      <c r="G126" s="5" t="s">
        <v>26</v>
      </c>
      <c r="H126" s="5" t="s">
        <v>4597</v>
      </c>
      <c r="I126" s="5" t="s">
        <v>27</v>
      </c>
      <c r="J126" s="158" t="n">
        <v>67.12</v>
      </c>
      <c r="K126" s="239" t="n">
        <v>1170000</v>
      </c>
      <c r="L126" s="168" t="n">
        <v>0</v>
      </c>
      <c r="Q126" s="239" t="n">
        <v>1170000</v>
      </c>
      <c r="R126" s="168" t="n">
        <f aca="false">Q126/J126</f>
        <v>17431.4660309893</v>
      </c>
      <c r="S126" s="5" t="s">
        <v>4867</v>
      </c>
    </row>
  </sheetData>
  <autoFilter ref="1:117"/>
  <printOptions headings="false" gridLines="false" gridLinesSet="true" horizontalCentered="false" verticalCentered="false"/>
  <pageMargins left="0.7" right="0.7" top="0.75" bottom="0.75" header="0.75" footer="0.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7.7890625" defaultRowHeight="12.8" zeroHeight="false" outlineLevelRow="0" outlineLevelCol="0"/>
  <cols>
    <col collapsed="false" customWidth="false" hidden="true" outlineLevel="0" max="1" min="1" style="1" width="7.79"/>
    <col collapsed="false" customWidth="true" hidden="false" outlineLevel="0" max="2" min="2" style="1" width="7.36"/>
    <col collapsed="false" customWidth="true" hidden="false" outlineLevel="0" max="3" min="3" style="3" width="13.28"/>
    <col collapsed="false" customWidth="false" hidden="false" outlineLevel="0" max="4" min="4" style="2" width="7.79"/>
    <col collapsed="false" customWidth="true" hidden="false" outlineLevel="0" max="5" min="5" style="2" width="13.14"/>
    <col collapsed="false" customWidth="true" hidden="false" outlineLevel="0" max="6" min="6" style="1" width="13.57"/>
    <col collapsed="false" customWidth="true" hidden="false" outlineLevel="0" max="7" min="7" style="2" width="6.64"/>
    <col collapsed="false" customWidth="true" hidden="false" outlineLevel="0" max="8" min="8" style="2" width="5.64"/>
    <col collapsed="false" customWidth="true" hidden="false" outlineLevel="0" max="9" min="9" style="2" width="4.79"/>
    <col collapsed="false" customWidth="false" hidden="false" outlineLevel="0" max="10" min="10" style="276" width="7.79"/>
    <col collapsed="false" customWidth="true" hidden="false" outlineLevel="0" max="11" min="11" style="7" width="13.93"/>
    <col collapsed="false" customWidth="true" hidden="false" outlineLevel="0" max="12" min="12" style="7" width="12.28"/>
    <col collapsed="false" customWidth="true" hidden="false" outlineLevel="0" max="13" min="13" style="1" width="14.78"/>
    <col collapsed="false" customWidth="true" hidden="false" outlineLevel="0" max="14" min="14" style="7" width="10.28"/>
    <col collapsed="false" customWidth="true" hidden="false" outlineLevel="0" max="15" min="15" style="7" width="13.71"/>
    <col collapsed="false" customWidth="true" hidden="false" outlineLevel="0" max="16" min="16" style="7" width="10.28"/>
    <col collapsed="false" customWidth="true" hidden="false" outlineLevel="0" max="17" min="17" style="1" width="8.36"/>
    <col collapsed="false" customWidth="true" hidden="false" outlineLevel="0" max="18" min="18" style="2" width="6"/>
    <col collapsed="false" customWidth="false" hidden="false" outlineLevel="0" max="21" min="19" style="2" width="7.79"/>
    <col collapsed="false" customWidth="true" hidden="false" outlineLevel="0" max="22" min="22" style="2" width="13.35"/>
    <col collapsed="false" customWidth="true" hidden="false" outlineLevel="0" max="23" min="23" style="1" width="14.35"/>
    <col collapsed="false" customWidth="false" hidden="false" outlineLevel="0" max="1023" min="24" style="1" width="7.79"/>
    <col collapsed="false" customWidth="true" hidden="false" outlineLevel="0" max="1024" min="1024" style="1" width="7.5"/>
  </cols>
  <sheetData>
    <row r="1" s="277" customFormat="true" ht="37.15" hidden="false" customHeight="true" outlineLevel="0" collapsed="false">
      <c r="B1" s="247" t="s">
        <v>0</v>
      </c>
      <c r="C1" s="278" t="s">
        <v>1</v>
      </c>
      <c r="D1" s="241" t="s">
        <v>2</v>
      </c>
      <c r="E1" s="241" t="s">
        <v>3</v>
      </c>
      <c r="F1" s="243" t="s">
        <v>4</v>
      </c>
      <c r="G1" s="241" t="s">
        <v>5</v>
      </c>
      <c r="H1" s="241" t="s">
        <v>6</v>
      </c>
      <c r="I1" s="241" t="s">
        <v>7</v>
      </c>
      <c r="J1" s="244" t="s">
        <v>4102</v>
      </c>
      <c r="K1" s="246" t="s">
        <v>9</v>
      </c>
      <c r="L1" s="246" t="s">
        <v>4868</v>
      </c>
      <c r="M1" s="243" t="s">
        <v>11</v>
      </c>
      <c r="N1" s="246" t="s">
        <v>4869</v>
      </c>
      <c r="O1" s="246" t="s">
        <v>4870</v>
      </c>
      <c r="P1" s="246" t="s">
        <v>4871</v>
      </c>
      <c r="Q1" s="243" t="s">
        <v>15</v>
      </c>
      <c r="R1" s="241" t="s">
        <v>16</v>
      </c>
      <c r="S1" s="241" t="s">
        <v>17</v>
      </c>
      <c r="T1" s="241" t="s">
        <v>18</v>
      </c>
      <c r="U1" s="241" t="s">
        <v>19</v>
      </c>
      <c r="V1" s="279" t="s">
        <v>20</v>
      </c>
      <c r="W1" s="279" t="s">
        <v>21</v>
      </c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</row>
    <row r="2" customFormat="false" ht="12.8" hidden="false" customHeight="false" outlineLevel="0" collapsed="false">
      <c r="B2" s="1" t="n">
        <v>1043</v>
      </c>
      <c r="C2" s="155" t="n">
        <v>43145</v>
      </c>
      <c r="D2" s="171" t="s">
        <v>22</v>
      </c>
      <c r="E2" s="5" t="s">
        <v>322</v>
      </c>
      <c r="F2" s="157" t="s">
        <v>323</v>
      </c>
      <c r="G2" s="5" t="s">
        <v>49</v>
      </c>
      <c r="H2" s="165" t="s">
        <v>193</v>
      </c>
      <c r="I2" s="165" t="s">
        <v>25</v>
      </c>
      <c r="J2" s="158" t="n">
        <v>48.38</v>
      </c>
      <c r="K2" s="199" t="n">
        <v>400509.88</v>
      </c>
      <c r="L2" s="200" t="n">
        <f aca="false">K2/J2</f>
        <v>8278.41835469202</v>
      </c>
      <c r="M2" s="248" t="s">
        <v>234</v>
      </c>
      <c r="N2" s="168" t="n">
        <v>34900</v>
      </c>
      <c r="O2" s="168" t="n">
        <f aca="false">K2+N2</f>
        <v>435409.88</v>
      </c>
      <c r="P2" s="168" t="n">
        <f aca="false">ROUND(O2/J2, 2)</f>
        <v>8999.79</v>
      </c>
      <c r="Q2" s="239" t="s">
        <v>4872</v>
      </c>
      <c r="R2" s="5" t="s">
        <v>36</v>
      </c>
      <c r="S2" s="169" t="s">
        <v>29</v>
      </c>
      <c r="T2" s="158" t="s">
        <v>1915</v>
      </c>
      <c r="U2" s="35" t="s">
        <v>31</v>
      </c>
      <c r="V2" s="164" t="n">
        <v>43234</v>
      </c>
    </row>
    <row r="3" customFormat="false" ht="12.8" hidden="false" customHeight="false" outlineLevel="0" collapsed="false">
      <c r="B3" s="1" t="n">
        <v>1166</v>
      </c>
      <c r="C3" s="155" t="n">
        <v>43147</v>
      </c>
      <c r="D3" s="171" t="s">
        <v>22</v>
      </c>
      <c r="E3" s="5" t="s">
        <v>156</v>
      </c>
      <c r="F3" s="157" t="s">
        <v>917</v>
      </c>
      <c r="G3" s="5" t="s">
        <v>321</v>
      </c>
      <c r="H3" s="165" t="s">
        <v>36</v>
      </c>
      <c r="I3" s="165" t="s">
        <v>27</v>
      </c>
      <c r="J3" s="158" t="n">
        <v>36.63</v>
      </c>
      <c r="K3" s="199" t="n">
        <v>313970.35</v>
      </c>
      <c r="L3" s="200" t="n">
        <f aca="false">K3/J3</f>
        <v>8571.39912639913</v>
      </c>
      <c r="M3" s="248" t="s">
        <v>4873</v>
      </c>
      <c r="N3" s="168"/>
      <c r="O3" s="168" t="n">
        <f aca="false">K3+N3</f>
        <v>313970.35</v>
      </c>
      <c r="P3" s="168" t="n">
        <f aca="false">ROUND(O3/J3, 2)</f>
        <v>8571.4</v>
      </c>
      <c r="Q3" s="239" t="s">
        <v>4874</v>
      </c>
      <c r="R3" s="5" t="s">
        <v>36</v>
      </c>
      <c r="S3" s="169" t="s">
        <v>29</v>
      </c>
      <c r="T3" s="158" t="s">
        <v>1915</v>
      </c>
      <c r="U3" s="35" t="s">
        <v>31</v>
      </c>
      <c r="V3" s="164" t="n">
        <v>43234</v>
      </c>
    </row>
    <row r="4" customFormat="false" ht="12.8" hidden="false" customHeight="false" outlineLevel="0" collapsed="false">
      <c r="B4" s="1" t="n">
        <v>1347</v>
      </c>
      <c r="C4" s="155" t="n">
        <v>43152</v>
      </c>
      <c r="D4" s="171" t="s">
        <v>22</v>
      </c>
      <c r="E4" s="5" t="s">
        <v>229</v>
      </c>
      <c r="F4" s="157" t="s">
        <v>357</v>
      </c>
      <c r="G4" s="5" t="s">
        <v>1069</v>
      </c>
      <c r="H4" s="165" t="s">
        <v>105</v>
      </c>
      <c r="I4" s="165" t="s">
        <v>25</v>
      </c>
      <c r="J4" s="158" t="n">
        <v>53.71</v>
      </c>
      <c r="K4" s="199" t="n">
        <v>540487</v>
      </c>
      <c r="L4" s="200" t="n">
        <f aca="false">K4/J4</f>
        <v>10063.0608825172</v>
      </c>
      <c r="M4" s="248" t="s">
        <v>4875</v>
      </c>
      <c r="N4" s="168"/>
      <c r="O4" s="168" t="n">
        <f aca="false">K4+N4</f>
        <v>540487</v>
      </c>
      <c r="P4" s="168" t="n">
        <f aca="false">ROUND(O4/J4, 2)</f>
        <v>10063.06</v>
      </c>
      <c r="Q4" s="239" t="s">
        <v>4874</v>
      </c>
      <c r="R4" s="5" t="s">
        <v>36</v>
      </c>
      <c r="S4" s="169" t="s">
        <v>29</v>
      </c>
      <c r="T4" s="158" t="s">
        <v>1915</v>
      </c>
      <c r="U4" s="35" t="s">
        <v>31</v>
      </c>
      <c r="V4" s="164" t="n">
        <v>43234</v>
      </c>
    </row>
    <row r="5" customFormat="false" ht="12.8" hidden="false" customHeight="false" outlineLevel="0" collapsed="false">
      <c r="B5" s="1" t="n">
        <v>1560</v>
      </c>
      <c r="C5" s="155" t="n">
        <v>43152</v>
      </c>
      <c r="D5" s="171" t="s">
        <v>22</v>
      </c>
      <c r="E5" s="5" t="s">
        <v>319</v>
      </c>
      <c r="F5" s="157" t="s">
        <v>320</v>
      </c>
      <c r="G5" s="5" t="s">
        <v>111</v>
      </c>
      <c r="H5" s="165" t="s">
        <v>154</v>
      </c>
      <c r="I5" s="165" t="s">
        <v>36</v>
      </c>
      <c r="J5" s="158" t="n">
        <v>46.11</v>
      </c>
      <c r="K5" s="199" t="n">
        <v>416000</v>
      </c>
      <c r="L5" s="200" t="n">
        <f aca="false">K5/J5</f>
        <v>9021.90414226849</v>
      </c>
      <c r="M5" s="248" t="s">
        <v>234</v>
      </c>
      <c r="N5" s="168" t="n">
        <v>10536.59</v>
      </c>
      <c r="O5" s="168" t="n">
        <f aca="false">K5+N5</f>
        <v>426536.59</v>
      </c>
      <c r="P5" s="168" t="n">
        <f aca="false">ROUND(O5/J5, 2)</f>
        <v>9250.41</v>
      </c>
      <c r="Q5" s="239" t="s">
        <v>4876</v>
      </c>
      <c r="R5" s="5" t="s">
        <v>36</v>
      </c>
      <c r="S5" s="169" t="s">
        <v>29</v>
      </c>
      <c r="T5" s="158" t="s">
        <v>1915</v>
      </c>
      <c r="U5" s="35" t="s">
        <v>31</v>
      </c>
      <c r="V5" s="164" t="n">
        <v>43234</v>
      </c>
    </row>
    <row r="6" customFormat="false" ht="12.8" hidden="false" customHeight="false" outlineLevel="0" collapsed="false">
      <c r="B6" s="1" t="n">
        <v>1511</v>
      </c>
      <c r="C6" s="155" t="n">
        <v>43158</v>
      </c>
      <c r="D6" s="171" t="s">
        <v>22</v>
      </c>
      <c r="E6" s="5" t="s">
        <v>229</v>
      </c>
      <c r="F6" s="157" t="s">
        <v>357</v>
      </c>
      <c r="G6" s="5" t="s">
        <v>1069</v>
      </c>
      <c r="H6" s="165" t="s">
        <v>188</v>
      </c>
      <c r="I6" s="165" t="s">
        <v>82</v>
      </c>
      <c r="J6" s="158" t="n">
        <f aca="false">28.64+16.75</f>
        <v>45.39</v>
      </c>
      <c r="K6" s="199" t="n">
        <v>458551.78</v>
      </c>
      <c r="L6" s="200" t="n">
        <f aca="false">K6/J6</f>
        <v>10102.4846882573</v>
      </c>
      <c r="M6" s="248" t="s">
        <v>4877</v>
      </c>
      <c r="N6" s="168"/>
      <c r="O6" s="168" t="n">
        <f aca="false">K6+N6</f>
        <v>458551.78</v>
      </c>
      <c r="P6" s="168" t="n">
        <f aca="false">ROUND(O6/J6, 2)</f>
        <v>10102.48</v>
      </c>
      <c r="Q6" s="239" t="s">
        <v>4878</v>
      </c>
      <c r="R6" s="5" t="s">
        <v>27</v>
      </c>
      <c r="S6" s="169" t="s">
        <v>29</v>
      </c>
      <c r="T6" s="158" t="s">
        <v>1915</v>
      </c>
      <c r="U6" s="35" t="s">
        <v>31</v>
      </c>
      <c r="V6" s="164" t="n">
        <v>43234</v>
      </c>
    </row>
    <row r="7" customFormat="false" ht="12.8" hidden="false" customHeight="false" outlineLevel="0" collapsed="false">
      <c r="B7" s="1" t="n">
        <v>1457</v>
      </c>
      <c r="C7" s="155" t="n">
        <v>43158</v>
      </c>
      <c r="D7" s="171" t="s">
        <v>22</v>
      </c>
      <c r="E7" s="5" t="s">
        <v>156</v>
      </c>
      <c r="F7" s="157" t="s">
        <v>917</v>
      </c>
      <c r="G7" s="5" t="s">
        <v>731</v>
      </c>
      <c r="H7" s="165" t="s">
        <v>36</v>
      </c>
      <c r="I7" s="165" t="s">
        <v>200</v>
      </c>
      <c r="J7" s="158" t="n">
        <v>62.59</v>
      </c>
      <c r="K7" s="199" t="n">
        <v>468972.59</v>
      </c>
      <c r="L7" s="200" t="n">
        <f aca="false">K7/J7</f>
        <v>7492.77184853811</v>
      </c>
      <c r="M7" s="248" t="s">
        <v>675</v>
      </c>
      <c r="N7" s="168"/>
      <c r="O7" s="168" t="n">
        <f aca="false">K7+N7</f>
        <v>468972.59</v>
      </c>
      <c r="P7" s="168" t="n">
        <f aca="false">ROUND(O7/J7, 2)</f>
        <v>7492.77</v>
      </c>
      <c r="Q7" s="239" t="s">
        <v>4879</v>
      </c>
      <c r="R7" s="5" t="s">
        <v>26</v>
      </c>
      <c r="S7" s="169" t="s">
        <v>29</v>
      </c>
      <c r="T7" s="158" t="s">
        <v>1915</v>
      </c>
      <c r="U7" s="35" t="s">
        <v>31</v>
      </c>
      <c r="V7" s="164" t="n">
        <v>43234</v>
      </c>
    </row>
    <row r="8" customFormat="false" ht="12.8" hidden="false" customHeight="false" outlineLevel="0" collapsed="false">
      <c r="B8" s="1" t="n">
        <v>801</v>
      </c>
      <c r="C8" s="155" t="n">
        <v>43158</v>
      </c>
      <c r="D8" s="171" t="s">
        <v>22</v>
      </c>
      <c r="E8" s="5" t="s">
        <v>623</v>
      </c>
      <c r="F8" s="157" t="s">
        <v>434</v>
      </c>
      <c r="G8" s="5" t="s">
        <v>624</v>
      </c>
      <c r="H8" s="165" t="s">
        <v>74</v>
      </c>
      <c r="I8" s="165" t="s">
        <v>25</v>
      </c>
      <c r="J8" s="158" t="n">
        <v>105.01</v>
      </c>
      <c r="K8" s="199" t="n">
        <v>1134137.6</v>
      </c>
      <c r="L8" s="200" t="n">
        <f aca="false">K8/J8</f>
        <v>10800.2818779164</v>
      </c>
      <c r="M8" s="280" t="s">
        <v>4880</v>
      </c>
      <c r="N8" s="168"/>
      <c r="O8" s="168" t="n">
        <f aca="false">K8+N8</f>
        <v>1134137.6</v>
      </c>
      <c r="P8" s="168" t="n">
        <f aca="false">ROUND(O8/J8, 2)</f>
        <v>10800.28</v>
      </c>
      <c r="Q8" s="239" t="s">
        <v>4881</v>
      </c>
      <c r="R8" s="5" t="s">
        <v>49</v>
      </c>
      <c r="S8" s="169" t="s">
        <v>29</v>
      </c>
      <c r="T8" s="158" t="s">
        <v>1915</v>
      </c>
      <c r="U8" s="35" t="s">
        <v>31</v>
      </c>
      <c r="V8" s="164" t="n">
        <v>43234</v>
      </c>
    </row>
    <row r="9" customFormat="false" ht="12.8" hidden="false" customHeight="false" outlineLevel="0" collapsed="false">
      <c r="B9" s="1" t="n">
        <v>1584</v>
      </c>
      <c r="C9" s="155" t="n">
        <v>43160</v>
      </c>
      <c r="D9" s="171" t="s">
        <v>22</v>
      </c>
      <c r="E9" s="5" t="s">
        <v>229</v>
      </c>
      <c r="F9" s="157" t="s">
        <v>357</v>
      </c>
      <c r="G9" s="5" t="s">
        <v>1069</v>
      </c>
      <c r="H9" s="165" t="s">
        <v>743</v>
      </c>
      <c r="I9" s="165" t="s">
        <v>25</v>
      </c>
      <c r="J9" s="158" t="n">
        <v>47.61</v>
      </c>
      <c r="K9" s="199" t="n">
        <v>460996.2</v>
      </c>
      <c r="L9" s="200" t="n">
        <f aca="false">K9/J9</f>
        <v>9682.75992438563</v>
      </c>
      <c r="M9" s="248" t="s">
        <v>4882</v>
      </c>
      <c r="N9" s="168"/>
      <c r="O9" s="168" t="n">
        <f aca="false">K9+N9</f>
        <v>460996.2</v>
      </c>
      <c r="P9" s="168" t="n">
        <f aca="false">ROUND(O9/J9, 2)</f>
        <v>9682.76</v>
      </c>
      <c r="Q9" s="239" t="s">
        <v>4874</v>
      </c>
      <c r="R9" s="5" t="s">
        <v>36</v>
      </c>
      <c r="S9" s="169" t="s">
        <v>29</v>
      </c>
      <c r="T9" s="158" t="s">
        <v>1915</v>
      </c>
      <c r="U9" s="35" t="s">
        <v>31</v>
      </c>
      <c r="V9" s="164" t="n">
        <v>43234</v>
      </c>
    </row>
    <row r="10" customFormat="false" ht="12.8" hidden="false" customHeight="false" outlineLevel="0" collapsed="false">
      <c r="B10" s="1" t="n">
        <v>7474</v>
      </c>
      <c r="C10" s="155" t="n">
        <v>43160</v>
      </c>
      <c r="D10" s="171" t="s">
        <v>22</v>
      </c>
      <c r="E10" s="5" t="s">
        <v>522</v>
      </c>
      <c r="F10" s="157" t="s">
        <v>523</v>
      </c>
      <c r="G10" s="5" t="s">
        <v>865</v>
      </c>
      <c r="H10" s="165" t="s">
        <v>57</v>
      </c>
      <c r="I10" s="165" t="s">
        <v>27</v>
      </c>
      <c r="J10" s="158" t="n">
        <v>54.56</v>
      </c>
      <c r="K10" s="199" t="n">
        <v>449900.97</v>
      </c>
      <c r="L10" s="200" t="n">
        <f aca="false">K10/J10</f>
        <v>8245.98552052786</v>
      </c>
      <c r="M10" s="248" t="s">
        <v>4883</v>
      </c>
      <c r="N10" s="168" t="n">
        <f aca="false">37000+1.23</f>
        <v>37001.23</v>
      </c>
      <c r="O10" s="168" t="n">
        <f aca="false">K10+N10</f>
        <v>486902.2</v>
      </c>
      <c r="P10" s="168" t="n">
        <f aca="false">ROUND(O10/J10, 2)</f>
        <v>8924.16</v>
      </c>
      <c r="Q10" s="239" t="s">
        <v>4874</v>
      </c>
      <c r="R10" s="5" t="s">
        <v>36</v>
      </c>
      <c r="S10" s="169" t="s">
        <v>29</v>
      </c>
      <c r="T10" s="158" t="s">
        <v>1915</v>
      </c>
      <c r="U10" s="35" t="s">
        <v>31</v>
      </c>
      <c r="V10" s="164" t="n">
        <v>43234</v>
      </c>
    </row>
    <row r="11" customFormat="false" ht="12.8" hidden="false" customHeight="false" outlineLevel="0" collapsed="false">
      <c r="B11" s="1" t="n">
        <v>1818</v>
      </c>
      <c r="C11" s="155" t="n">
        <v>43164</v>
      </c>
      <c r="D11" s="171" t="s">
        <v>22</v>
      </c>
      <c r="E11" s="5" t="s">
        <v>319</v>
      </c>
      <c r="F11" s="157" t="s">
        <v>320</v>
      </c>
      <c r="G11" s="5" t="s">
        <v>111</v>
      </c>
      <c r="H11" s="165" t="s">
        <v>67</v>
      </c>
      <c r="I11" s="165" t="s">
        <v>57</v>
      </c>
      <c r="J11" s="158" t="n">
        <v>75.37</v>
      </c>
      <c r="K11" s="199" t="n">
        <v>614000</v>
      </c>
      <c r="L11" s="200" t="n">
        <f aca="false">K11/J11</f>
        <v>8146.47737826721</v>
      </c>
      <c r="M11" s="248" t="s">
        <v>4884</v>
      </c>
      <c r="N11" s="168" t="n">
        <v>72000</v>
      </c>
      <c r="O11" s="168" t="n">
        <f aca="false">K11+N11</f>
        <v>686000</v>
      </c>
      <c r="P11" s="168" t="n">
        <f aca="false">ROUND(O11/J11, 2)</f>
        <v>9101.76</v>
      </c>
      <c r="Q11" s="239" t="s">
        <v>4879</v>
      </c>
      <c r="R11" s="5" t="s">
        <v>26</v>
      </c>
      <c r="S11" s="169" t="s">
        <v>29</v>
      </c>
      <c r="T11" s="158" t="s">
        <v>1915</v>
      </c>
      <c r="U11" s="35" t="s">
        <v>31</v>
      </c>
      <c r="V11" s="164" t="n">
        <v>43234</v>
      </c>
    </row>
    <row r="12" customFormat="false" ht="12.8" hidden="false" customHeight="false" outlineLevel="0" collapsed="false">
      <c r="B12" s="1" t="n">
        <v>8130</v>
      </c>
      <c r="C12" s="155" t="n">
        <v>43165</v>
      </c>
      <c r="D12" s="171" t="s">
        <v>22</v>
      </c>
      <c r="E12" s="5" t="s">
        <v>203</v>
      </c>
      <c r="F12" s="157" t="s">
        <v>625</v>
      </c>
      <c r="G12" s="5" t="s">
        <v>49</v>
      </c>
      <c r="H12" s="165" t="s">
        <v>143</v>
      </c>
      <c r="I12" s="165" t="s">
        <v>49</v>
      </c>
      <c r="J12" s="158" t="n">
        <v>42.13</v>
      </c>
      <c r="K12" s="199" t="n">
        <v>424641.77</v>
      </c>
      <c r="L12" s="200" t="n">
        <f aca="false">K12/J12</f>
        <v>10079.3204367434</v>
      </c>
      <c r="M12" s="248" t="s">
        <v>205</v>
      </c>
      <c r="N12" s="168" t="n">
        <v>36000</v>
      </c>
      <c r="O12" s="168" t="n">
        <f aca="false">K12+N12</f>
        <v>460641.77</v>
      </c>
      <c r="P12" s="168" t="n">
        <f aca="false">ROUND(O12/J12, 2)</f>
        <v>10933.82</v>
      </c>
      <c r="Q12" s="239" t="s">
        <v>4874</v>
      </c>
      <c r="R12" s="5" t="s">
        <v>36</v>
      </c>
      <c r="S12" s="169" t="s">
        <v>29</v>
      </c>
      <c r="T12" s="158" t="s">
        <v>1915</v>
      </c>
      <c r="U12" s="35" t="s">
        <v>31</v>
      </c>
      <c r="V12" s="164" t="n">
        <v>43234</v>
      </c>
    </row>
    <row r="13" customFormat="false" ht="12.8" hidden="false" customHeight="false" outlineLevel="0" collapsed="false">
      <c r="B13" s="1" t="n">
        <v>1677</v>
      </c>
      <c r="C13" s="155" t="n">
        <v>43166</v>
      </c>
      <c r="D13" s="171" t="s">
        <v>22</v>
      </c>
      <c r="E13" s="5" t="s">
        <v>322</v>
      </c>
      <c r="F13" s="157" t="s">
        <v>323</v>
      </c>
      <c r="G13" s="5" t="s">
        <v>49</v>
      </c>
      <c r="H13" s="165" t="s">
        <v>266</v>
      </c>
      <c r="I13" s="165" t="s">
        <v>49</v>
      </c>
      <c r="J13" s="158" t="n">
        <v>53.68</v>
      </c>
      <c r="K13" s="199" t="n">
        <v>405726.32</v>
      </c>
      <c r="L13" s="200" t="n">
        <f aca="false">K13/J13</f>
        <v>7558.23994038748</v>
      </c>
      <c r="M13" s="280" t="s">
        <v>234</v>
      </c>
      <c r="N13" s="168" t="n">
        <v>34900</v>
      </c>
      <c r="O13" s="168" t="n">
        <f aca="false">K13+N13</f>
        <v>440626.32</v>
      </c>
      <c r="P13" s="168" t="n">
        <f aca="false">ROUND(O13/J13, 2)</f>
        <v>8208.39</v>
      </c>
      <c r="Q13" s="239" t="s">
        <v>4872</v>
      </c>
      <c r="R13" s="5" t="s">
        <v>36</v>
      </c>
      <c r="S13" s="169" t="s">
        <v>29</v>
      </c>
      <c r="T13" s="158" t="s">
        <v>1915</v>
      </c>
      <c r="U13" s="35" t="s">
        <v>31</v>
      </c>
      <c r="V13" s="164" t="n">
        <v>43234</v>
      </c>
    </row>
    <row r="14" customFormat="false" ht="12.8" hidden="false" customHeight="false" outlineLevel="0" collapsed="false">
      <c r="A14" s="1" t="n">
        <v>111911</v>
      </c>
      <c r="B14" s="2" t="n">
        <v>673</v>
      </c>
      <c r="C14" s="155" t="n">
        <v>43186</v>
      </c>
      <c r="D14" s="5" t="s">
        <v>22</v>
      </c>
      <c r="E14" s="5" t="s">
        <v>369</v>
      </c>
      <c r="F14" s="157" t="s">
        <v>46</v>
      </c>
      <c r="G14" s="5" t="s">
        <v>657</v>
      </c>
      <c r="H14" s="165" t="s">
        <v>67</v>
      </c>
      <c r="I14" s="165" t="s">
        <v>49</v>
      </c>
      <c r="J14" s="158" t="n">
        <v>31.23</v>
      </c>
      <c r="K14" s="199" t="n">
        <v>300000</v>
      </c>
      <c r="L14" s="200" t="n">
        <f aca="false">K14/J14</f>
        <v>9606.14793467819</v>
      </c>
      <c r="M14" s="281" t="s">
        <v>64</v>
      </c>
      <c r="N14" s="168"/>
      <c r="O14" s="168" t="n">
        <f aca="false">K14+N14</f>
        <v>300000</v>
      </c>
      <c r="P14" s="168" t="n">
        <f aca="false">ROUND(O14/J14, 2)</f>
        <v>9606.15</v>
      </c>
      <c r="Q14" s="158" t="s">
        <v>41</v>
      </c>
      <c r="R14" s="5" t="s">
        <v>27</v>
      </c>
      <c r="S14" s="169" t="s">
        <v>29</v>
      </c>
      <c r="T14" s="158" t="s">
        <v>1915</v>
      </c>
      <c r="U14" s="164" t="s">
        <v>31</v>
      </c>
      <c r="V14" s="164" t="n">
        <v>43343</v>
      </c>
    </row>
    <row r="15" customFormat="false" ht="12.8" hidden="false" customHeight="false" outlineLevel="0" collapsed="false">
      <c r="B15" s="2" t="n">
        <v>4530</v>
      </c>
      <c r="C15" s="155" t="n">
        <v>43270</v>
      </c>
      <c r="D15" s="5" t="s">
        <v>22</v>
      </c>
      <c r="E15" s="5" t="s">
        <v>433</v>
      </c>
      <c r="F15" s="157" t="s">
        <v>434</v>
      </c>
      <c r="G15" s="5" t="s">
        <v>82</v>
      </c>
      <c r="H15" s="165" t="s">
        <v>307</v>
      </c>
      <c r="I15" s="165" t="s">
        <v>57</v>
      </c>
      <c r="J15" s="158" t="n">
        <v>50.59</v>
      </c>
      <c r="K15" s="199" t="n">
        <v>434645</v>
      </c>
      <c r="L15" s="200" t="n">
        <f aca="false">K15/J15</f>
        <v>8591.52006325361</v>
      </c>
      <c r="M15" s="282" t="s">
        <v>205</v>
      </c>
      <c r="N15" s="168" t="n">
        <v>25000</v>
      </c>
      <c r="O15" s="168" t="n">
        <f aca="false">K15+N15</f>
        <v>459645</v>
      </c>
      <c r="P15" s="168" t="n">
        <f aca="false">ROUND(O15/J15, 2)</f>
        <v>9085.69</v>
      </c>
      <c r="Q15" s="5" t="s">
        <v>161</v>
      </c>
      <c r="R15" s="5" t="s">
        <v>36</v>
      </c>
      <c r="S15" s="169" t="s">
        <v>29</v>
      </c>
      <c r="T15" s="158" t="s">
        <v>1915</v>
      </c>
      <c r="U15" s="164" t="s">
        <v>31</v>
      </c>
      <c r="V15" s="164" t="n">
        <v>43343</v>
      </c>
    </row>
    <row r="16" customFormat="false" ht="12.8" hidden="false" customHeight="false" outlineLevel="0" collapsed="false">
      <c r="B16" s="2" t="n">
        <v>6403</v>
      </c>
      <c r="C16" s="155" t="n">
        <v>43277</v>
      </c>
      <c r="D16" s="5" t="s">
        <v>22</v>
      </c>
      <c r="E16" s="5" t="s">
        <v>2258</v>
      </c>
      <c r="F16" s="157" t="s">
        <v>2259</v>
      </c>
      <c r="G16" s="5" t="s">
        <v>27</v>
      </c>
      <c r="H16" s="165" t="s">
        <v>111</v>
      </c>
      <c r="I16" s="165" t="s">
        <v>36</v>
      </c>
      <c r="J16" s="158" t="n">
        <f aca="false">77.77-2.91</f>
        <v>74.86</v>
      </c>
      <c r="K16" s="199" t="n">
        <v>678877</v>
      </c>
      <c r="L16" s="200" t="n">
        <f aca="false">K16/J16</f>
        <v>9068.62142666311</v>
      </c>
      <c r="M16" s="283" t="s">
        <v>4885</v>
      </c>
      <c r="N16" s="168" t="n">
        <v>123</v>
      </c>
      <c r="O16" s="168" t="n">
        <f aca="false">K16+N16</f>
        <v>679000</v>
      </c>
      <c r="P16" s="168" t="n">
        <f aca="false">ROUND(O16/J16, 2)</f>
        <v>9070.26</v>
      </c>
      <c r="Q16" s="5" t="s">
        <v>4886</v>
      </c>
      <c r="R16" s="5" t="s">
        <v>49</v>
      </c>
      <c r="S16" s="169" t="s">
        <v>29</v>
      </c>
      <c r="T16" s="158" t="s">
        <v>1915</v>
      </c>
      <c r="U16" s="164" t="s">
        <v>31</v>
      </c>
      <c r="V16" s="164" t="n">
        <v>43343</v>
      </c>
    </row>
    <row r="17" customFormat="false" ht="12.8" hidden="false" customHeight="false" outlineLevel="0" collapsed="false">
      <c r="B17" s="2" t="n">
        <v>6377</v>
      </c>
      <c r="C17" s="155" t="n">
        <v>43277</v>
      </c>
      <c r="D17" s="5" t="s">
        <v>22</v>
      </c>
      <c r="E17" s="5" t="s">
        <v>2258</v>
      </c>
      <c r="F17" s="157" t="s">
        <v>2259</v>
      </c>
      <c r="G17" s="5" t="s">
        <v>27</v>
      </c>
      <c r="H17" s="165" t="s">
        <v>26</v>
      </c>
      <c r="I17" s="165" t="s">
        <v>36</v>
      </c>
      <c r="J17" s="158" t="n">
        <v>57.85</v>
      </c>
      <c r="K17" s="199" t="n">
        <v>578877</v>
      </c>
      <c r="L17" s="200" t="n">
        <f aca="false">K17/J17</f>
        <v>10006.5168539326</v>
      </c>
      <c r="M17" s="283" t="s">
        <v>4887</v>
      </c>
      <c r="N17" s="168" t="n">
        <v>123</v>
      </c>
      <c r="O17" s="168" t="n">
        <f aca="false">K17+N17</f>
        <v>579000</v>
      </c>
      <c r="P17" s="168" t="n">
        <f aca="false">ROUND(O17/J17, 2)</f>
        <v>10008.64</v>
      </c>
      <c r="Q17" s="5" t="s">
        <v>4888</v>
      </c>
      <c r="R17" s="5" t="s">
        <v>26</v>
      </c>
      <c r="S17" s="169" t="s">
        <v>29</v>
      </c>
      <c r="T17" s="158" t="s">
        <v>1915</v>
      </c>
      <c r="U17" s="164" t="s">
        <v>31</v>
      </c>
      <c r="V17" s="164" t="n">
        <v>43343</v>
      </c>
    </row>
    <row r="18" customFormat="false" ht="12.8" hidden="false" customHeight="false" outlineLevel="0" collapsed="false">
      <c r="B18" s="2" t="n">
        <v>5953</v>
      </c>
      <c r="C18" s="155" t="n">
        <v>43278</v>
      </c>
      <c r="D18" s="5" t="s">
        <v>22</v>
      </c>
      <c r="E18" s="5" t="s">
        <v>543</v>
      </c>
      <c r="F18" s="157" t="s">
        <v>351</v>
      </c>
      <c r="G18" s="5" t="s">
        <v>4889</v>
      </c>
      <c r="H18" s="2" t="n">
        <v>2</v>
      </c>
      <c r="I18" s="165" t="s">
        <v>670</v>
      </c>
      <c r="J18" s="158" t="n">
        <f aca="false">121.26</f>
        <v>121.26</v>
      </c>
      <c r="K18" s="199" t="n">
        <v>994332</v>
      </c>
      <c r="L18" s="200" t="n">
        <f aca="false">K18/J18</f>
        <v>8200</v>
      </c>
      <c r="M18" s="282" t="s">
        <v>4890</v>
      </c>
      <c r="N18" s="168"/>
      <c r="O18" s="168" t="n">
        <f aca="false">K18+N18</f>
        <v>994332</v>
      </c>
      <c r="P18" s="168" t="n">
        <f aca="false">ROUND(O18/J18, 2)</f>
        <v>8200</v>
      </c>
      <c r="Q18" s="5" t="s">
        <v>649</v>
      </c>
      <c r="R18" s="5" t="s">
        <v>57</v>
      </c>
      <c r="S18" s="169" t="s">
        <v>29</v>
      </c>
      <c r="T18" s="158" t="s">
        <v>1915</v>
      </c>
      <c r="U18" s="164" t="s">
        <v>31</v>
      </c>
      <c r="V18" s="164" t="n">
        <v>43343</v>
      </c>
    </row>
    <row r="19" customFormat="false" ht="12.8" hidden="false" customHeight="false" outlineLevel="0" collapsed="false">
      <c r="B19" s="2" t="n">
        <v>10177</v>
      </c>
      <c r="C19" s="155" t="n">
        <v>43278</v>
      </c>
      <c r="D19" s="5" t="s">
        <v>22</v>
      </c>
      <c r="E19" s="5" t="s">
        <v>235</v>
      </c>
      <c r="F19" s="157" t="s">
        <v>386</v>
      </c>
      <c r="G19" s="5" t="s">
        <v>464</v>
      </c>
      <c r="H19" s="165" t="s">
        <v>101</v>
      </c>
      <c r="I19" s="165" t="s">
        <v>36</v>
      </c>
      <c r="J19" s="158" t="n">
        <f aca="false">28.1-1.8</f>
        <v>26.3</v>
      </c>
      <c r="K19" s="199" t="n">
        <v>326400</v>
      </c>
      <c r="L19" s="200" t="n">
        <f aca="false">K19/J19</f>
        <v>12410.6463878327</v>
      </c>
      <c r="M19" s="283" t="s">
        <v>4891</v>
      </c>
      <c r="N19" s="168" t="n">
        <v>3000</v>
      </c>
      <c r="O19" s="168" t="n">
        <f aca="false">K19+N19</f>
        <v>329400</v>
      </c>
      <c r="P19" s="168" t="n">
        <f aca="false">ROUND(O19/J19, 2)</f>
        <v>12524.71</v>
      </c>
      <c r="Q19" s="5" t="s">
        <v>383</v>
      </c>
      <c r="R19" s="5" t="s">
        <v>27</v>
      </c>
      <c r="S19" s="169" t="s">
        <v>29</v>
      </c>
      <c r="T19" s="158" t="s">
        <v>1915</v>
      </c>
      <c r="U19" s="164" t="s">
        <v>31</v>
      </c>
      <c r="V19" s="164" t="n">
        <v>43343</v>
      </c>
    </row>
    <row r="20" customFormat="false" ht="12.8" hidden="false" customHeight="false" outlineLevel="0" collapsed="false">
      <c r="B20" s="2" t="n">
        <v>7368</v>
      </c>
      <c r="C20" s="155" t="n">
        <v>43278</v>
      </c>
      <c r="D20" s="5" t="s">
        <v>22</v>
      </c>
      <c r="E20" s="5" t="s">
        <v>962</v>
      </c>
      <c r="F20" s="157" t="s">
        <v>963</v>
      </c>
      <c r="G20" s="5" t="s">
        <v>27</v>
      </c>
      <c r="H20" s="165" t="s">
        <v>26</v>
      </c>
      <c r="I20" s="165" t="s">
        <v>36</v>
      </c>
      <c r="J20" s="158" t="n">
        <v>41.22</v>
      </c>
      <c r="K20" s="199" t="n">
        <v>375000</v>
      </c>
      <c r="L20" s="200" t="n">
        <f aca="false">K20/J20</f>
        <v>9097.52547307132</v>
      </c>
      <c r="M20" s="283" t="s">
        <v>4892</v>
      </c>
      <c r="N20" s="168"/>
      <c r="O20" s="168" t="n">
        <f aca="false">K20+N20</f>
        <v>375000</v>
      </c>
      <c r="P20" s="168" t="n">
        <f aca="false">ROUND(O20/J20, 2)</f>
        <v>9097.53</v>
      </c>
      <c r="Q20" s="5" t="s">
        <v>4893</v>
      </c>
      <c r="R20" s="5" t="s">
        <v>36</v>
      </c>
      <c r="S20" s="169" t="s">
        <v>29</v>
      </c>
      <c r="T20" s="158" t="s">
        <v>1915</v>
      </c>
      <c r="U20" s="164" t="s">
        <v>31</v>
      </c>
      <c r="V20" s="164" t="n">
        <v>43343</v>
      </c>
    </row>
    <row r="21" customFormat="false" ht="12.8" hidden="false" customHeight="false" outlineLevel="0" collapsed="false">
      <c r="B21" s="1" t="n">
        <v>2360</v>
      </c>
      <c r="C21" s="3" t="n">
        <v>43278</v>
      </c>
      <c r="D21" s="171" t="s">
        <v>22</v>
      </c>
      <c r="E21" s="8" t="s">
        <v>75</v>
      </c>
      <c r="F21" s="1" t="s">
        <v>528</v>
      </c>
      <c r="G21" s="2" t="n">
        <v>33</v>
      </c>
      <c r="H21" s="2" t="n">
        <v>63</v>
      </c>
      <c r="I21" s="2" t="n">
        <v>4</v>
      </c>
      <c r="J21" s="276" t="n">
        <v>54.95</v>
      </c>
      <c r="K21" s="6" t="n">
        <v>372000</v>
      </c>
      <c r="L21" s="166" t="n">
        <f aca="false">K21/J21</f>
        <v>6769.7907188353</v>
      </c>
      <c r="N21" s="6"/>
      <c r="O21" s="163" t="n">
        <f aca="false">K21+N21</f>
        <v>372000</v>
      </c>
      <c r="P21" s="163" t="n">
        <f aca="false">O21/J21</f>
        <v>6769.7907188353</v>
      </c>
      <c r="Q21" s="1" t="s">
        <v>1224</v>
      </c>
      <c r="R21" s="2" t="n">
        <v>1</v>
      </c>
      <c r="S21" s="169" t="s">
        <v>29</v>
      </c>
      <c r="T21" s="158" t="s">
        <v>1915</v>
      </c>
      <c r="U21" s="164" t="s">
        <v>31</v>
      </c>
      <c r="V21" s="164" t="s">
        <v>4894</v>
      </c>
      <c r="W21" s="1" t="s">
        <v>4895</v>
      </c>
    </row>
    <row r="22" customFormat="false" ht="12.8" hidden="false" customHeight="false" outlineLevel="0" collapsed="false">
      <c r="B22" s="2" t="n">
        <v>4963</v>
      </c>
      <c r="C22" s="155" t="n">
        <v>43279</v>
      </c>
      <c r="D22" s="5" t="s">
        <v>22</v>
      </c>
      <c r="E22" s="5" t="s">
        <v>433</v>
      </c>
      <c r="F22" s="157" t="s">
        <v>434</v>
      </c>
      <c r="G22" s="5" t="s">
        <v>82</v>
      </c>
      <c r="H22" s="165" t="s">
        <v>2937</v>
      </c>
      <c r="I22" s="165" t="s">
        <v>82</v>
      </c>
      <c r="J22" s="158" t="n">
        <v>50.75</v>
      </c>
      <c r="K22" s="199" t="n">
        <v>443117</v>
      </c>
      <c r="L22" s="200" t="n">
        <f aca="false">K22/J22</f>
        <v>8731.36945812808</v>
      </c>
      <c r="M22" s="281" t="s">
        <v>205</v>
      </c>
      <c r="N22" s="168" t="n">
        <v>25000</v>
      </c>
      <c r="O22" s="168" t="n">
        <f aca="false">K22+N22</f>
        <v>468117</v>
      </c>
      <c r="P22" s="168" t="n">
        <f aca="false">ROUND(O22/J22, 2)</f>
        <v>9223.98</v>
      </c>
      <c r="Q22" s="158" t="s">
        <v>4896</v>
      </c>
      <c r="R22" s="5" t="s">
        <v>36</v>
      </c>
      <c r="S22" s="169" t="s">
        <v>29</v>
      </c>
      <c r="T22" s="158" t="s">
        <v>1915</v>
      </c>
      <c r="U22" s="164" t="s">
        <v>31</v>
      </c>
      <c r="V22" s="164" t="n">
        <v>43343</v>
      </c>
    </row>
    <row r="23" customFormat="false" ht="12.8" hidden="false" customHeight="false" outlineLevel="0" collapsed="false">
      <c r="B23" s="2" t="n">
        <v>4948</v>
      </c>
      <c r="C23" s="155" t="n">
        <v>43279</v>
      </c>
      <c r="D23" s="5" t="s">
        <v>22</v>
      </c>
      <c r="E23" s="5" t="s">
        <v>433</v>
      </c>
      <c r="F23" s="157" t="s">
        <v>434</v>
      </c>
      <c r="G23" s="5" t="s">
        <v>82</v>
      </c>
      <c r="H23" s="165" t="s">
        <v>101</v>
      </c>
      <c r="I23" s="165" t="s">
        <v>49</v>
      </c>
      <c r="J23" s="158" t="n">
        <v>68.19</v>
      </c>
      <c r="K23" s="199" t="n">
        <v>565977</v>
      </c>
      <c r="L23" s="200" t="n">
        <f aca="false">K23/J23</f>
        <v>8300</v>
      </c>
      <c r="M23" s="283" t="s">
        <v>205</v>
      </c>
      <c r="N23" s="168" t="n">
        <v>20000</v>
      </c>
      <c r="O23" s="168" t="n">
        <f aca="false">K23+N23</f>
        <v>585977</v>
      </c>
      <c r="P23" s="168" t="n">
        <f aca="false">ROUND(O23/J23, 2)</f>
        <v>8593.3</v>
      </c>
      <c r="Q23" s="5" t="s">
        <v>232</v>
      </c>
      <c r="R23" s="5" t="s">
        <v>26</v>
      </c>
      <c r="S23" s="169" t="s">
        <v>29</v>
      </c>
      <c r="T23" s="158" t="s">
        <v>1915</v>
      </c>
      <c r="U23" s="164" t="s">
        <v>31</v>
      </c>
      <c r="V23" s="164" t="n">
        <v>43343</v>
      </c>
    </row>
    <row r="24" customFormat="false" ht="12.8" hidden="false" customHeight="false" outlineLevel="0" collapsed="false">
      <c r="B24" s="2" t="n">
        <v>2544</v>
      </c>
      <c r="C24" s="155" t="n">
        <v>43283</v>
      </c>
      <c r="D24" s="5" t="s">
        <v>22</v>
      </c>
      <c r="E24" s="5" t="s">
        <v>75</v>
      </c>
      <c r="F24" s="157" t="s">
        <v>528</v>
      </c>
      <c r="G24" s="5" t="s">
        <v>217</v>
      </c>
      <c r="H24" s="165" t="s">
        <v>128</v>
      </c>
      <c r="I24" s="165" t="s">
        <v>82</v>
      </c>
      <c r="J24" s="158" t="n">
        <f aca="false">63.59-11</f>
        <v>52.59</v>
      </c>
      <c r="K24" s="199" t="n">
        <v>464057.24</v>
      </c>
      <c r="L24" s="200" t="n">
        <f aca="false">K24/J24</f>
        <v>8824.05856626735</v>
      </c>
      <c r="M24" s="281" t="s">
        <v>4897</v>
      </c>
      <c r="N24" s="168"/>
      <c r="O24" s="168" t="n">
        <f aca="false">K24+N24</f>
        <v>464057.24</v>
      </c>
      <c r="P24" s="168" t="n">
        <f aca="false">ROUND(O24/J24, 2)</f>
        <v>8824.06</v>
      </c>
      <c r="Q24" s="158" t="s">
        <v>4898</v>
      </c>
      <c r="R24" s="5" t="s">
        <v>26</v>
      </c>
      <c r="S24" s="169" t="s">
        <v>29</v>
      </c>
      <c r="T24" s="158" t="s">
        <v>1915</v>
      </c>
      <c r="U24" s="164" t="s">
        <v>31</v>
      </c>
      <c r="V24" s="164" t="n">
        <v>43343</v>
      </c>
    </row>
    <row r="25" customFormat="false" ht="12.8" hidden="false" customHeight="false" outlineLevel="0" collapsed="false">
      <c r="B25" s="2" t="n">
        <v>2524</v>
      </c>
      <c r="C25" s="155" t="n">
        <v>43283</v>
      </c>
      <c r="D25" s="5" t="s">
        <v>22</v>
      </c>
      <c r="E25" s="5" t="s">
        <v>75</v>
      </c>
      <c r="F25" s="157" t="s">
        <v>528</v>
      </c>
      <c r="G25" s="5" t="s">
        <v>217</v>
      </c>
      <c r="H25" s="165" t="s">
        <v>95</v>
      </c>
      <c r="I25" s="165" t="s">
        <v>57</v>
      </c>
      <c r="J25" s="158" t="n">
        <f aca="false">36.12-3.81</f>
        <v>32.31</v>
      </c>
      <c r="K25" s="199" t="n">
        <v>273919.64</v>
      </c>
      <c r="L25" s="200" t="n">
        <f aca="false">K25/J25</f>
        <v>8477.85948622718</v>
      </c>
      <c r="M25" s="281" t="s">
        <v>4899</v>
      </c>
      <c r="N25" s="168"/>
      <c r="O25" s="168" t="n">
        <f aca="false">K25+N25</f>
        <v>273919.64</v>
      </c>
      <c r="P25" s="168" t="n">
        <f aca="false">ROUND(O25/J25, 2)</f>
        <v>8477.86</v>
      </c>
      <c r="Q25" s="158" t="s">
        <v>4896</v>
      </c>
      <c r="R25" s="5" t="s">
        <v>36</v>
      </c>
      <c r="S25" s="169" t="s">
        <v>29</v>
      </c>
      <c r="T25" s="158" t="s">
        <v>1915</v>
      </c>
      <c r="U25" s="164" t="s">
        <v>31</v>
      </c>
      <c r="V25" s="164" t="n">
        <v>43343</v>
      </c>
    </row>
    <row r="26" customFormat="false" ht="12.8" hidden="false" customHeight="false" outlineLevel="0" collapsed="false">
      <c r="B26" s="2" t="n">
        <v>30340</v>
      </c>
      <c r="C26" s="155" t="n">
        <v>43285</v>
      </c>
      <c r="D26" s="5" t="s">
        <v>22</v>
      </c>
      <c r="E26" s="5" t="s">
        <v>322</v>
      </c>
      <c r="F26" s="157" t="s">
        <v>323</v>
      </c>
      <c r="G26" s="5" t="s">
        <v>570</v>
      </c>
      <c r="H26" s="165" t="s">
        <v>68</v>
      </c>
      <c r="I26" s="2" t="n">
        <v>3</v>
      </c>
      <c r="J26" s="284" t="s">
        <v>4900</v>
      </c>
      <c r="K26" s="199" t="n">
        <v>255301.85</v>
      </c>
      <c r="L26" s="200" t="n">
        <f aca="false">K26/J26</f>
        <v>8299.80006501951</v>
      </c>
      <c r="M26" s="283"/>
      <c r="N26" s="168"/>
      <c r="O26" s="168" t="n">
        <f aca="false">K26+N26</f>
        <v>255301.85</v>
      </c>
      <c r="P26" s="168" t="n">
        <f aca="false">ROUND(O26/J26, 2)</f>
        <v>8299.8</v>
      </c>
      <c r="Q26" s="5" t="s">
        <v>41</v>
      </c>
      <c r="R26" s="5" t="s">
        <v>27</v>
      </c>
      <c r="S26" s="169" t="s">
        <v>29</v>
      </c>
      <c r="T26" s="158" t="s">
        <v>1915</v>
      </c>
      <c r="U26" s="164" t="s">
        <v>31</v>
      </c>
      <c r="V26" s="164" t="n">
        <v>43343</v>
      </c>
    </row>
    <row r="27" customFormat="false" ht="12.8" hidden="false" customHeight="false" outlineLevel="0" collapsed="false">
      <c r="B27" s="2" t="n">
        <v>30373</v>
      </c>
      <c r="C27" s="155" t="n">
        <v>43285</v>
      </c>
      <c r="D27" s="5" t="s">
        <v>22</v>
      </c>
      <c r="E27" s="5" t="s">
        <v>322</v>
      </c>
      <c r="F27" s="157" t="s">
        <v>323</v>
      </c>
      <c r="G27" s="5" t="s">
        <v>674</v>
      </c>
      <c r="H27" s="165" t="s">
        <v>658</v>
      </c>
      <c r="I27" s="165" t="s">
        <v>25</v>
      </c>
      <c r="J27" s="158" t="n">
        <v>36.42</v>
      </c>
      <c r="K27" s="199" t="n">
        <v>298241.84</v>
      </c>
      <c r="L27" s="200" t="n">
        <f aca="false">K27/J27</f>
        <v>8188.95771554091</v>
      </c>
      <c r="M27" s="283" t="s">
        <v>205</v>
      </c>
      <c r="N27" s="168" t="n">
        <v>29999.7</v>
      </c>
      <c r="O27" s="168" t="n">
        <f aca="false">K27+N27</f>
        <v>328241.54</v>
      </c>
      <c r="P27" s="168" t="n">
        <f aca="false">ROUND(O27/J27, 2)</f>
        <v>9012.67</v>
      </c>
      <c r="Q27" s="5" t="s">
        <v>161</v>
      </c>
      <c r="R27" s="5" t="s">
        <v>36</v>
      </c>
      <c r="S27" s="169" t="s">
        <v>29</v>
      </c>
      <c r="T27" s="158" t="s">
        <v>1915</v>
      </c>
      <c r="U27" s="164" t="s">
        <v>31</v>
      </c>
      <c r="V27" s="164" t="n">
        <v>43343</v>
      </c>
    </row>
    <row r="28" customFormat="false" ht="12.8" hidden="false" customHeight="false" outlineLevel="0" collapsed="false">
      <c r="B28" s="2" t="n">
        <v>30706</v>
      </c>
      <c r="C28" s="155" t="n">
        <v>43286</v>
      </c>
      <c r="D28" s="5" t="s">
        <v>22</v>
      </c>
      <c r="E28" s="5" t="s">
        <v>322</v>
      </c>
      <c r="F28" s="157" t="s">
        <v>323</v>
      </c>
      <c r="G28" s="5" t="s">
        <v>674</v>
      </c>
      <c r="H28" s="165" t="s">
        <v>150</v>
      </c>
      <c r="I28" s="165" t="s">
        <v>26</v>
      </c>
      <c r="J28" s="158" t="n">
        <v>30.72</v>
      </c>
      <c r="K28" s="199" t="n">
        <v>254969.86</v>
      </c>
      <c r="L28" s="200" t="n">
        <f aca="false">K28/J28</f>
        <v>8299.80013020833</v>
      </c>
      <c r="M28" s="282"/>
      <c r="N28" s="168"/>
      <c r="O28" s="168" t="n">
        <f aca="false">K28+N28</f>
        <v>254969.86</v>
      </c>
      <c r="P28" s="168" t="n">
        <f aca="false">ROUND(O28/J28, 2)</f>
        <v>8299.8</v>
      </c>
      <c r="Q28" s="5" t="s">
        <v>41</v>
      </c>
      <c r="R28" s="5" t="n">
        <v>1</v>
      </c>
      <c r="S28" s="169" t="s">
        <v>29</v>
      </c>
      <c r="T28" s="158" t="s">
        <v>1915</v>
      </c>
      <c r="U28" s="164" t="s">
        <v>31</v>
      </c>
      <c r="V28" s="164" t="n">
        <v>43343</v>
      </c>
    </row>
    <row r="29" customFormat="false" ht="12.8" hidden="false" customHeight="false" outlineLevel="0" collapsed="false">
      <c r="B29" s="2" t="n">
        <v>3200</v>
      </c>
      <c r="C29" s="155" t="n">
        <v>43286</v>
      </c>
      <c r="D29" s="5" t="s">
        <v>22</v>
      </c>
      <c r="E29" s="5" t="s">
        <v>433</v>
      </c>
      <c r="F29" s="157" t="s">
        <v>434</v>
      </c>
      <c r="G29" s="5" t="s">
        <v>82</v>
      </c>
      <c r="H29" s="165" t="s">
        <v>678</v>
      </c>
      <c r="I29" s="165" t="s">
        <v>25</v>
      </c>
      <c r="J29" s="158" t="n">
        <f aca="false">58.64-1.67</f>
        <v>56.97</v>
      </c>
      <c r="K29" s="199" t="n">
        <v>465000</v>
      </c>
      <c r="L29" s="200" t="n">
        <f aca="false">K29/J29</f>
        <v>8162.1906266456</v>
      </c>
      <c r="M29" s="283" t="s">
        <v>4901</v>
      </c>
      <c r="N29" s="168"/>
      <c r="O29" s="168" t="n">
        <f aca="false">K29+N29</f>
        <v>465000</v>
      </c>
      <c r="P29" s="168" t="n">
        <f aca="false">ROUND(O29/J29, 2)</f>
        <v>8162.19</v>
      </c>
      <c r="Q29" s="5" t="s">
        <v>232</v>
      </c>
      <c r="R29" s="5" t="s">
        <v>26</v>
      </c>
      <c r="S29" s="169" t="s">
        <v>29</v>
      </c>
      <c r="T29" s="158" t="s">
        <v>1915</v>
      </c>
      <c r="U29" s="164" t="s">
        <v>31</v>
      </c>
      <c r="V29" s="164" t="n">
        <v>43343</v>
      </c>
    </row>
    <row r="30" customFormat="false" ht="12.8" hidden="false" customHeight="false" outlineLevel="0" collapsed="false">
      <c r="B30" s="2" t="n">
        <v>30722</v>
      </c>
      <c r="C30" s="155" t="n">
        <v>43286</v>
      </c>
      <c r="D30" s="5" t="s">
        <v>22</v>
      </c>
      <c r="E30" s="5" t="s">
        <v>433</v>
      </c>
      <c r="F30" s="157" t="s">
        <v>434</v>
      </c>
      <c r="G30" s="5" t="s">
        <v>101</v>
      </c>
      <c r="H30" s="165" t="s">
        <v>2931</v>
      </c>
      <c r="I30" s="165" t="s">
        <v>112</v>
      </c>
      <c r="J30" s="158" t="n">
        <f aca="false">40.89-2.86</f>
        <v>38.03</v>
      </c>
      <c r="K30" s="199" t="n">
        <v>421524.92</v>
      </c>
      <c r="L30" s="200" t="n">
        <f aca="false">K30/J30</f>
        <v>11084.0105180121</v>
      </c>
      <c r="M30" s="283" t="s">
        <v>4902</v>
      </c>
      <c r="N30" s="168"/>
      <c r="O30" s="168" t="n">
        <f aca="false">K30+N30</f>
        <v>421524.92</v>
      </c>
      <c r="P30" s="168" t="n">
        <f aca="false">ROUND(O30/J30, 2)</f>
        <v>11084.01</v>
      </c>
      <c r="Q30" s="5" t="s">
        <v>383</v>
      </c>
      <c r="R30" s="5" t="s">
        <v>27</v>
      </c>
      <c r="S30" s="169" t="s">
        <v>29</v>
      </c>
      <c r="T30" s="158" t="s">
        <v>1915</v>
      </c>
      <c r="U30" s="164" t="s">
        <v>31</v>
      </c>
      <c r="V30" s="164" t="n">
        <v>43343</v>
      </c>
    </row>
    <row r="31" customFormat="false" ht="12.8" hidden="false" customHeight="false" outlineLevel="0" collapsed="false">
      <c r="B31" s="2" t="n">
        <v>22213</v>
      </c>
      <c r="C31" s="155" t="n">
        <v>43286</v>
      </c>
      <c r="D31" s="5" t="s">
        <v>22</v>
      </c>
      <c r="E31" s="5" t="s">
        <v>203</v>
      </c>
      <c r="F31" s="157" t="s">
        <v>625</v>
      </c>
      <c r="G31" s="5" t="s">
        <v>49</v>
      </c>
      <c r="H31" s="165" t="s">
        <v>4903</v>
      </c>
      <c r="I31" s="165" t="s">
        <v>57</v>
      </c>
      <c r="J31" s="158" t="n">
        <v>60.93</v>
      </c>
      <c r="K31" s="199" t="n">
        <v>521924.24</v>
      </c>
      <c r="L31" s="200" t="n">
        <f aca="false">K31/J31</f>
        <v>8565.96487772854</v>
      </c>
      <c r="M31" s="283" t="s">
        <v>4904</v>
      </c>
      <c r="N31" s="168" t="n">
        <v>72000</v>
      </c>
      <c r="O31" s="168" t="n">
        <f aca="false">K31+N31</f>
        <v>593924.24</v>
      </c>
      <c r="P31" s="168" t="n">
        <f aca="false">ROUND(O31/J31, 2)</f>
        <v>9747.65</v>
      </c>
      <c r="Q31" s="5" t="s">
        <v>491</v>
      </c>
      <c r="R31" s="5" t="s">
        <v>49</v>
      </c>
      <c r="S31" s="169" t="s">
        <v>29</v>
      </c>
      <c r="T31" s="158" t="s">
        <v>1915</v>
      </c>
      <c r="U31" s="164" t="s">
        <v>31</v>
      </c>
      <c r="V31" s="164" t="n">
        <v>43343</v>
      </c>
    </row>
    <row r="32" customFormat="false" ht="12.8" hidden="false" customHeight="false" outlineLevel="0" collapsed="false">
      <c r="B32" s="2" t="n">
        <v>6637</v>
      </c>
      <c r="C32" s="155" t="n">
        <v>43287</v>
      </c>
      <c r="D32" s="5" t="s">
        <v>22</v>
      </c>
      <c r="E32" s="5" t="s">
        <v>2258</v>
      </c>
      <c r="F32" s="157" t="s">
        <v>2259</v>
      </c>
      <c r="G32" s="5" t="s">
        <v>27</v>
      </c>
      <c r="H32" s="165" t="s">
        <v>82</v>
      </c>
      <c r="I32" s="165" t="s">
        <v>26</v>
      </c>
      <c r="J32" s="158" t="n">
        <v>57.85</v>
      </c>
      <c r="K32" s="199" t="n">
        <v>585000</v>
      </c>
      <c r="L32" s="200" t="n">
        <f aca="false">K32/J32</f>
        <v>10112.3595505618</v>
      </c>
      <c r="M32" s="281" t="s">
        <v>4905</v>
      </c>
      <c r="N32" s="7" t="n">
        <v>123</v>
      </c>
      <c r="O32" s="168" t="n">
        <f aca="false">K32+N32</f>
        <v>585123</v>
      </c>
      <c r="P32" s="168" t="n">
        <f aca="false">ROUND(O32/J32, 2)</f>
        <v>10114.49</v>
      </c>
      <c r="Q32" s="158" t="s">
        <v>4906</v>
      </c>
      <c r="R32" s="5" t="s">
        <v>26</v>
      </c>
      <c r="S32" s="169" t="s">
        <v>29</v>
      </c>
      <c r="T32" s="158" t="s">
        <v>1915</v>
      </c>
      <c r="U32" s="164" t="s">
        <v>31</v>
      </c>
      <c r="V32" s="164" t="n">
        <v>43343</v>
      </c>
    </row>
    <row r="33" customFormat="false" ht="12.8" hidden="false" customHeight="false" outlineLevel="0" collapsed="false">
      <c r="B33" s="2" t="n">
        <v>6619</v>
      </c>
      <c r="C33" s="155" t="n">
        <v>43287</v>
      </c>
      <c r="D33" s="5" t="s">
        <v>22</v>
      </c>
      <c r="E33" s="5" t="s">
        <v>2258</v>
      </c>
      <c r="F33" s="157" t="s">
        <v>2259</v>
      </c>
      <c r="G33" s="5" t="s">
        <v>27</v>
      </c>
      <c r="H33" s="165" t="s">
        <v>47</v>
      </c>
      <c r="I33" s="165" t="s">
        <v>26</v>
      </c>
      <c r="J33" s="158" t="n">
        <v>63.97</v>
      </c>
      <c r="K33" s="199" t="n">
        <v>622000</v>
      </c>
      <c r="L33" s="200" t="n">
        <f aca="false">K33/J33</f>
        <v>9723.3078005315</v>
      </c>
      <c r="M33" s="281" t="s">
        <v>4905</v>
      </c>
      <c r="N33" s="168" t="n">
        <v>123</v>
      </c>
      <c r="O33" s="168" t="n">
        <f aca="false">K33+N33</f>
        <v>622123</v>
      </c>
      <c r="P33" s="168" t="n">
        <f aca="false">ROUND(O33/J33, 2)</f>
        <v>9725.23</v>
      </c>
      <c r="Q33" s="158" t="s">
        <v>4906</v>
      </c>
      <c r="R33" s="5" t="s">
        <v>26</v>
      </c>
      <c r="S33" s="169" t="s">
        <v>29</v>
      </c>
      <c r="T33" s="158" t="s">
        <v>1915</v>
      </c>
      <c r="U33" s="164" t="s">
        <v>31</v>
      </c>
      <c r="V33" s="164" t="n">
        <v>43343</v>
      </c>
    </row>
    <row r="34" customFormat="false" ht="12.8" hidden="false" customHeight="false" outlineLevel="0" collapsed="false">
      <c r="B34" s="2" t="n">
        <v>12321</v>
      </c>
      <c r="C34" s="155" t="n">
        <v>43287</v>
      </c>
      <c r="D34" s="5" t="s">
        <v>22</v>
      </c>
      <c r="E34" s="5" t="s">
        <v>350</v>
      </c>
      <c r="F34" s="157" t="s">
        <v>323</v>
      </c>
      <c r="G34" s="5" t="s">
        <v>4398</v>
      </c>
      <c r="H34" s="165" t="s">
        <v>126</v>
      </c>
      <c r="I34" s="165" t="s">
        <v>49</v>
      </c>
      <c r="J34" s="158" t="n">
        <v>73.91</v>
      </c>
      <c r="K34" s="199" t="n">
        <v>508000</v>
      </c>
      <c r="L34" s="200" t="n">
        <f aca="false">K34/J34</f>
        <v>6873.22419158436</v>
      </c>
      <c r="M34" s="283" t="s">
        <v>205</v>
      </c>
      <c r="N34" s="168" t="n">
        <v>32000</v>
      </c>
      <c r="O34" s="168" t="n">
        <f aca="false">K34+N34</f>
        <v>540000</v>
      </c>
      <c r="P34" s="168" t="n">
        <f aca="false">ROUND(O34/J34, 2)</f>
        <v>7306.18</v>
      </c>
      <c r="Q34" s="5" t="s">
        <v>232</v>
      </c>
      <c r="R34" s="5" t="s">
        <v>26</v>
      </c>
      <c r="S34" s="169" t="s">
        <v>29</v>
      </c>
      <c r="T34" s="158" t="s">
        <v>1915</v>
      </c>
      <c r="U34" s="164" t="s">
        <v>31</v>
      </c>
      <c r="V34" s="164" t="n">
        <v>43343</v>
      </c>
    </row>
    <row r="35" customFormat="false" ht="12.8" hidden="false" customHeight="false" outlineLevel="0" collapsed="false">
      <c r="B35" s="2" t="n">
        <v>12328</v>
      </c>
      <c r="C35" s="155" t="n">
        <v>43287</v>
      </c>
      <c r="D35" s="5" t="s">
        <v>22</v>
      </c>
      <c r="E35" s="5" t="s">
        <v>350</v>
      </c>
      <c r="F35" s="157" t="s">
        <v>323</v>
      </c>
      <c r="G35" s="5" t="s">
        <v>4398</v>
      </c>
      <c r="H35" s="165" t="s">
        <v>26</v>
      </c>
      <c r="I35" s="165" t="s">
        <v>27</v>
      </c>
      <c r="J35" s="158" t="n">
        <v>82.86</v>
      </c>
      <c r="K35" s="199" t="n">
        <v>562000</v>
      </c>
      <c r="L35" s="200" t="n">
        <f aca="false">K35/J35</f>
        <v>6782.52474052619</v>
      </c>
      <c r="M35" s="283" t="s">
        <v>987</v>
      </c>
      <c r="N35" s="168" t="n">
        <v>32000</v>
      </c>
      <c r="O35" s="168" t="n">
        <f aca="false">K35+N35</f>
        <v>594000</v>
      </c>
      <c r="P35" s="168" t="n">
        <f aca="false">ROUND(O35/J35, 2)</f>
        <v>7168.72</v>
      </c>
      <c r="Q35" s="5" t="s">
        <v>4907</v>
      </c>
      <c r="R35" s="5" t="s">
        <v>26</v>
      </c>
      <c r="S35" s="169" t="s">
        <v>29</v>
      </c>
      <c r="T35" s="158" t="s">
        <v>1915</v>
      </c>
      <c r="U35" s="164" t="s">
        <v>31</v>
      </c>
      <c r="V35" s="164" t="n">
        <v>43343</v>
      </c>
    </row>
    <row r="36" customFormat="false" ht="12.8" hidden="false" customHeight="false" outlineLevel="0" collapsed="false">
      <c r="B36" s="2" t="n">
        <v>30767</v>
      </c>
      <c r="C36" s="155" t="n">
        <v>43287</v>
      </c>
      <c r="D36" s="5" t="s">
        <v>22</v>
      </c>
      <c r="E36" s="5" t="s">
        <v>322</v>
      </c>
      <c r="F36" s="157" t="s">
        <v>323</v>
      </c>
      <c r="G36" s="5" t="s">
        <v>4196</v>
      </c>
      <c r="H36" s="165" t="s">
        <v>4528</v>
      </c>
      <c r="I36" s="165" t="s">
        <v>49</v>
      </c>
      <c r="J36" s="158" t="n">
        <v>49.39</v>
      </c>
      <c r="K36" s="199" t="n">
        <v>380883.06</v>
      </c>
      <c r="L36" s="200" t="n">
        <f aca="false">K36/J36</f>
        <v>7711.7444826888</v>
      </c>
      <c r="M36" s="283" t="s">
        <v>987</v>
      </c>
      <c r="N36" s="168" t="n">
        <v>29999.7</v>
      </c>
      <c r="O36" s="168" t="n">
        <f aca="false">K36+N36</f>
        <v>410882.76</v>
      </c>
      <c r="P36" s="168" t="n">
        <f aca="false">ROUND(O36/J36, 2)</f>
        <v>8319.15</v>
      </c>
      <c r="Q36" s="5" t="s">
        <v>50</v>
      </c>
      <c r="R36" s="5" t="s">
        <v>36</v>
      </c>
      <c r="S36" s="169" t="s">
        <v>29</v>
      </c>
      <c r="T36" s="158" t="s">
        <v>1915</v>
      </c>
      <c r="U36" s="164" t="s">
        <v>31</v>
      </c>
      <c r="V36" s="164" t="n">
        <v>43343</v>
      </c>
    </row>
    <row r="37" customFormat="false" ht="12.8" hidden="false" customHeight="false" outlineLevel="0" collapsed="false">
      <c r="B37" s="1" t="n">
        <v>4989</v>
      </c>
      <c r="C37" s="155" t="n">
        <v>43300</v>
      </c>
      <c r="D37" s="171" t="s">
        <v>22</v>
      </c>
      <c r="E37" s="5" t="s">
        <v>156</v>
      </c>
      <c r="F37" s="157" t="s">
        <v>4908</v>
      </c>
      <c r="G37" s="5" t="n">
        <v>3</v>
      </c>
      <c r="H37" s="165" t="n">
        <v>13</v>
      </c>
      <c r="I37" s="165" t="n">
        <v>1</v>
      </c>
      <c r="J37" s="158" t="n">
        <v>36.57</v>
      </c>
      <c r="K37" s="199" t="n">
        <v>313513.55</v>
      </c>
      <c r="L37" s="200" t="n">
        <f aca="false">ROUND(K37/J37,2)</f>
        <v>8572.97</v>
      </c>
      <c r="M37" s="248" t="s">
        <v>987</v>
      </c>
      <c r="N37" s="168"/>
      <c r="O37" s="168" t="n">
        <f aca="false">K37+N37</f>
        <v>313513.55</v>
      </c>
      <c r="P37" s="168" t="n">
        <f aca="false">ROUND(O37/J37,2)</f>
        <v>8572.97</v>
      </c>
      <c r="Q37" s="239" t="s">
        <v>4909</v>
      </c>
      <c r="R37" s="5" t="n">
        <v>2</v>
      </c>
      <c r="S37" s="169" t="s">
        <v>29</v>
      </c>
      <c r="T37" s="158" t="s">
        <v>1915</v>
      </c>
      <c r="U37" s="164" t="s">
        <v>31</v>
      </c>
      <c r="V37" s="35" t="s">
        <v>4910</v>
      </c>
      <c r="W37" s="1" t="s">
        <v>4749</v>
      </c>
    </row>
    <row r="38" customFormat="false" ht="12.8" hidden="false" customHeight="false" outlineLevel="0" collapsed="false">
      <c r="B38" s="1" t="n">
        <v>7157</v>
      </c>
      <c r="C38" s="155" t="n">
        <v>43306</v>
      </c>
      <c r="D38" s="171" t="s">
        <v>22</v>
      </c>
      <c r="E38" s="5" t="s">
        <v>407</v>
      </c>
      <c r="F38" s="157" t="s">
        <v>4911</v>
      </c>
      <c r="G38" s="5" t="n">
        <v>4</v>
      </c>
      <c r="H38" s="165" t="s">
        <v>4912</v>
      </c>
      <c r="I38" s="165" t="s">
        <v>4913</v>
      </c>
      <c r="J38" s="158" t="n">
        <v>168.32</v>
      </c>
      <c r="K38" s="199" t="n">
        <v>1822877</v>
      </c>
      <c r="L38" s="200" t="n">
        <f aca="false">ROUND(K38/J38,2)</f>
        <v>10829.83</v>
      </c>
      <c r="M38" s="248" t="s">
        <v>4914</v>
      </c>
      <c r="N38" s="168" t="n">
        <v>123</v>
      </c>
      <c r="O38" s="168" t="n">
        <f aca="false">K38+N38</f>
        <v>1823000</v>
      </c>
      <c r="P38" s="168" t="n">
        <f aca="false">ROUND(O38/J38,2)</f>
        <v>10830.56</v>
      </c>
      <c r="Q38" s="239" t="s">
        <v>4915</v>
      </c>
      <c r="R38" s="5" t="n">
        <v>6</v>
      </c>
      <c r="S38" s="169" t="s">
        <v>29</v>
      </c>
      <c r="T38" s="158" t="s">
        <v>1915</v>
      </c>
      <c r="U38" s="164" t="s">
        <v>31</v>
      </c>
      <c r="V38" s="35" t="s">
        <v>4910</v>
      </c>
      <c r="W38" s="1" t="s">
        <v>1214</v>
      </c>
    </row>
    <row r="39" customFormat="false" ht="12.8" hidden="false" customHeight="false" outlineLevel="0" collapsed="false">
      <c r="B39" s="1" t="n">
        <v>7211</v>
      </c>
      <c r="C39" s="155" t="n">
        <v>43307</v>
      </c>
      <c r="D39" s="171" t="s">
        <v>22</v>
      </c>
      <c r="E39" s="5" t="s">
        <v>2258</v>
      </c>
      <c r="F39" s="157" t="s">
        <v>2259</v>
      </c>
      <c r="G39" s="5" t="n">
        <v>1</v>
      </c>
      <c r="H39" s="165" t="n">
        <v>5</v>
      </c>
      <c r="I39" s="165" t="n">
        <v>2</v>
      </c>
      <c r="J39" s="158" t="n">
        <v>76.77</v>
      </c>
      <c r="K39" s="199" t="n">
        <v>713277</v>
      </c>
      <c r="L39" s="200" t="n">
        <f aca="false">ROUND(K39/J39,2)</f>
        <v>9291.09</v>
      </c>
      <c r="M39" s="248" t="s">
        <v>4916</v>
      </c>
      <c r="N39" s="168" t="n">
        <v>123</v>
      </c>
      <c r="O39" s="168" t="n">
        <f aca="false">K39+N39</f>
        <v>713400</v>
      </c>
      <c r="P39" s="168" t="n">
        <f aca="false">ROUND(O39/J39,2)</f>
        <v>9292.69</v>
      </c>
      <c r="Q39" s="239" t="s">
        <v>4917</v>
      </c>
      <c r="R39" s="5" t="n">
        <v>3</v>
      </c>
      <c r="S39" s="169" t="s">
        <v>29</v>
      </c>
      <c r="T39" s="158" t="s">
        <v>1915</v>
      </c>
      <c r="U39" s="164" t="s">
        <v>31</v>
      </c>
      <c r="V39" s="35" t="s">
        <v>4910</v>
      </c>
      <c r="W39" s="1" t="s">
        <v>4918</v>
      </c>
    </row>
    <row r="40" customFormat="false" ht="12.8" hidden="false" customHeight="false" outlineLevel="0" collapsed="false">
      <c r="B40" s="1" t="n">
        <v>7197</v>
      </c>
      <c r="C40" s="155" t="n">
        <v>43307</v>
      </c>
      <c r="D40" s="171" t="s">
        <v>22</v>
      </c>
      <c r="E40" s="5" t="s">
        <v>407</v>
      </c>
      <c r="F40" s="157" t="s">
        <v>4919</v>
      </c>
      <c r="G40" s="5" t="n">
        <v>1</v>
      </c>
      <c r="H40" s="165" t="n">
        <v>2</v>
      </c>
      <c r="I40" s="165" t="n">
        <v>1</v>
      </c>
      <c r="J40" s="158" t="n">
        <v>73.79</v>
      </c>
      <c r="K40" s="199" t="n">
        <v>871377</v>
      </c>
      <c r="L40" s="200" t="n">
        <f aca="false">ROUND(K40/J40,2)</f>
        <v>11808.88</v>
      </c>
      <c r="M40" s="248" t="s">
        <v>4920</v>
      </c>
      <c r="N40" s="168"/>
      <c r="O40" s="168" t="n">
        <f aca="false">K40+N40</f>
        <v>871377</v>
      </c>
      <c r="P40" s="168" t="n">
        <f aca="false">ROUND(O40/J40,2)</f>
        <v>11808.88</v>
      </c>
      <c r="Q40" s="239" t="s">
        <v>4921</v>
      </c>
      <c r="R40" s="5" t="n">
        <v>3</v>
      </c>
      <c r="S40" s="169" t="s">
        <v>29</v>
      </c>
      <c r="T40" s="158" t="s">
        <v>1915</v>
      </c>
      <c r="U40" s="164" t="s">
        <v>31</v>
      </c>
      <c r="V40" s="35" t="s">
        <v>4910</v>
      </c>
      <c r="W40" s="1" t="s">
        <v>4922</v>
      </c>
    </row>
    <row r="41" customFormat="false" ht="12.8" hidden="false" customHeight="false" outlineLevel="0" collapsed="false">
      <c r="B41" s="1" t="n">
        <v>35660</v>
      </c>
      <c r="C41" s="155" t="n">
        <v>43311</v>
      </c>
      <c r="D41" s="171" t="s">
        <v>22</v>
      </c>
      <c r="E41" s="5" t="s">
        <v>322</v>
      </c>
      <c r="F41" s="157" t="s">
        <v>323</v>
      </c>
      <c r="G41" s="5" t="s">
        <v>570</v>
      </c>
      <c r="H41" s="165" t="n">
        <v>51</v>
      </c>
      <c r="I41" s="165" t="n">
        <v>6</v>
      </c>
      <c r="J41" s="158" t="n">
        <v>53.06</v>
      </c>
      <c r="K41" s="199" t="n">
        <v>421820.63</v>
      </c>
      <c r="L41" s="200" t="n">
        <f aca="false">ROUND(K41/J41,2)</f>
        <v>7949.88</v>
      </c>
      <c r="M41" s="248" t="s">
        <v>943</v>
      </c>
      <c r="N41" s="168" t="n">
        <v>37999.62</v>
      </c>
      <c r="O41" s="168" t="n">
        <f aca="false">K41+N41</f>
        <v>459820.25</v>
      </c>
      <c r="P41" s="168" t="n">
        <f aca="false">ROUND(O41/J41,2)</f>
        <v>8666.04</v>
      </c>
      <c r="Q41" s="239" t="s">
        <v>1133</v>
      </c>
      <c r="R41" s="5" t="n">
        <v>2</v>
      </c>
      <c r="S41" s="169" t="s">
        <v>29</v>
      </c>
      <c r="T41" s="158" t="s">
        <v>1915</v>
      </c>
      <c r="U41" s="164" t="s">
        <v>31</v>
      </c>
      <c r="V41" s="35" t="s">
        <v>4910</v>
      </c>
      <c r="W41" s="1" t="s">
        <v>4923</v>
      </c>
    </row>
    <row r="42" customFormat="false" ht="12.8" hidden="false" customHeight="false" outlineLevel="0" collapsed="false">
      <c r="B42" s="1" t="n">
        <v>35854</v>
      </c>
      <c r="C42" s="155" t="n">
        <v>43311</v>
      </c>
      <c r="D42" s="171" t="s">
        <v>22</v>
      </c>
      <c r="E42" s="5" t="s">
        <v>322</v>
      </c>
      <c r="F42" s="157" t="s">
        <v>323</v>
      </c>
      <c r="G42" s="5" t="s">
        <v>570</v>
      </c>
      <c r="H42" s="165" t="n">
        <v>23</v>
      </c>
      <c r="I42" s="165" t="n">
        <v>3</v>
      </c>
      <c r="J42" s="158" t="n">
        <v>30.83</v>
      </c>
      <c r="K42" s="199" t="n">
        <v>260479.64</v>
      </c>
      <c r="L42" s="200" t="n">
        <f aca="false">ROUND(K42/J42,2)</f>
        <v>8448.9</v>
      </c>
      <c r="M42" s="248"/>
      <c r="N42" s="168"/>
      <c r="O42" s="168" t="n">
        <f aca="false">K42+N42</f>
        <v>260479.64</v>
      </c>
      <c r="P42" s="168" t="n">
        <f aca="false">ROUND(O42/J42,2)</f>
        <v>8448.9</v>
      </c>
      <c r="Q42" s="239" t="s">
        <v>1295</v>
      </c>
      <c r="R42" s="5" t="n">
        <v>2</v>
      </c>
      <c r="S42" s="169" t="s">
        <v>29</v>
      </c>
      <c r="T42" s="158" t="s">
        <v>1915</v>
      </c>
      <c r="U42" s="164" t="s">
        <v>31</v>
      </c>
      <c r="V42" s="35" t="s">
        <v>4910</v>
      </c>
      <c r="W42" s="1" t="s">
        <v>4924</v>
      </c>
    </row>
    <row r="43" customFormat="false" ht="12.8" hidden="false" customHeight="false" outlineLevel="0" collapsed="false">
      <c r="B43" s="1" t="n">
        <v>36256</v>
      </c>
      <c r="C43" s="155" t="n">
        <v>43312</v>
      </c>
      <c r="D43" s="171" t="s">
        <v>22</v>
      </c>
      <c r="E43" s="5" t="s">
        <v>433</v>
      </c>
      <c r="F43" s="157" t="s">
        <v>434</v>
      </c>
      <c r="G43" s="5" t="n">
        <v>9</v>
      </c>
      <c r="H43" s="165" t="n">
        <v>62</v>
      </c>
      <c r="I43" s="165" t="n">
        <v>8</v>
      </c>
      <c r="J43" s="158" t="n">
        <v>49.61</v>
      </c>
      <c r="K43" s="199" t="n">
        <v>417692</v>
      </c>
      <c r="L43" s="200" t="n">
        <f aca="false">ROUND(K43/J43,2)</f>
        <v>8419.51</v>
      </c>
      <c r="M43" s="248" t="s">
        <v>4925</v>
      </c>
      <c r="N43" s="168"/>
      <c r="O43" s="168" t="n">
        <f aca="false">K43+N43</f>
        <v>417692</v>
      </c>
      <c r="P43" s="168" t="n">
        <f aca="false">ROUND(O43/J43,2)</f>
        <v>8419.51</v>
      </c>
      <c r="Q43" s="239" t="s">
        <v>4926</v>
      </c>
      <c r="R43" s="5" t="n">
        <v>2</v>
      </c>
      <c r="S43" s="169" t="s">
        <v>29</v>
      </c>
      <c r="T43" s="158" t="s">
        <v>1915</v>
      </c>
      <c r="U43" s="164" t="s">
        <v>31</v>
      </c>
      <c r="V43" s="35" t="s">
        <v>4910</v>
      </c>
      <c r="W43" s="1" t="s">
        <v>4927</v>
      </c>
    </row>
    <row r="44" customFormat="false" ht="12.8" hidden="false" customHeight="false" outlineLevel="0" collapsed="false">
      <c r="B44" s="1" t="n">
        <v>36264</v>
      </c>
      <c r="C44" s="155" t="n">
        <v>43312</v>
      </c>
      <c r="D44" s="171" t="s">
        <v>22</v>
      </c>
      <c r="E44" s="5" t="s">
        <v>433</v>
      </c>
      <c r="F44" s="157" t="s">
        <v>434</v>
      </c>
      <c r="G44" s="5" t="n">
        <v>9</v>
      </c>
      <c r="H44" s="165" t="n">
        <v>61</v>
      </c>
      <c r="I44" s="165" t="n">
        <v>8</v>
      </c>
      <c r="J44" s="158" t="n">
        <v>27.62</v>
      </c>
      <c r="K44" s="199" t="n">
        <v>259764.51</v>
      </c>
      <c r="L44" s="200" t="n">
        <f aca="false">ROUND(K44/J44,2)</f>
        <v>9404.94</v>
      </c>
      <c r="M44" s="248" t="s">
        <v>987</v>
      </c>
      <c r="N44" s="168"/>
      <c r="O44" s="168" t="n">
        <f aca="false">K44+N44</f>
        <v>259764.51</v>
      </c>
      <c r="P44" s="168" t="n">
        <f aca="false">ROUND(O44/J44,2)</f>
        <v>9404.94</v>
      </c>
      <c r="Q44" s="239" t="s">
        <v>4928</v>
      </c>
      <c r="R44" s="5" t="n">
        <v>2</v>
      </c>
      <c r="S44" s="169" t="s">
        <v>29</v>
      </c>
      <c r="T44" s="158" t="s">
        <v>1915</v>
      </c>
      <c r="U44" s="164" t="s">
        <v>31</v>
      </c>
      <c r="V44" s="35" t="s">
        <v>4910</v>
      </c>
      <c r="W44" s="1" t="s">
        <v>4927</v>
      </c>
    </row>
    <row r="45" customFormat="false" ht="12.8" hidden="false" customHeight="false" outlineLevel="0" collapsed="false">
      <c r="B45" s="1" t="n">
        <v>11762</v>
      </c>
      <c r="C45" s="155" t="n">
        <v>43312</v>
      </c>
      <c r="D45" s="171" t="s">
        <v>22</v>
      </c>
      <c r="E45" s="5" t="s">
        <v>235</v>
      </c>
      <c r="F45" s="157" t="s">
        <v>4929</v>
      </c>
      <c r="G45" s="5" t="n">
        <v>33</v>
      </c>
      <c r="H45" s="165" t="n">
        <v>12</v>
      </c>
      <c r="I45" s="165" t="n">
        <v>3</v>
      </c>
      <c r="J45" s="158" t="n">
        <v>36.45</v>
      </c>
      <c r="K45" s="199" t="n">
        <v>459585</v>
      </c>
      <c r="L45" s="200" t="n">
        <f aca="false">ROUND(K45/J45,2)</f>
        <v>12608.64</v>
      </c>
      <c r="M45" s="248" t="s">
        <v>4930</v>
      </c>
      <c r="N45" s="168" t="n">
        <v>3000</v>
      </c>
      <c r="O45" s="168" t="n">
        <f aca="false">K45+N45</f>
        <v>462585</v>
      </c>
      <c r="P45" s="168" t="n">
        <f aca="false">ROUND(O45/J45,2)</f>
        <v>12690.95</v>
      </c>
      <c r="Q45" s="239" t="s">
        <v>1133</v>
      </c>
      <c r="R45" s="5" t="n">
        <v>2</v>
      </c>
      <c r="S45" s="169" t="s">
        <v>29</v>
      </c>
      <c r="T45" s="158" t="s">
        <v>1915</v>
      </c>
      <c r="U45" s="164" t="s">
        <v>31</v>
      </c>
      <c r="V45" s="35" t="s">
        <v>4910</v>
      </c>
      <c r="W45" s="1" t="s">
        <v>4923</v>
      </c>
    </row>
    <row r="46" customFormat="false" ht="12.8" hidden="false" customHeight="false" outlineLevel="0" collapsed="false">
      <c r="B46" s="1" t="n">
        <v>11786</v>
      </c>
      <c r="C46" s="155" t="n">
        <v>43312</v>
      </c>
      <c r="D46" s="171" t="s">
        <v>22</v>
      </c>
      <c r="E46" s="5" t="s">
        <v>235</v>
      </c>
      <c r="F46" s="157" t="s">
        <v>4929</v>
      </c>
      <c r="G46" s="5" t="n">
        <v>33</v>
      </c>
      <c r="H46" s="165" t="n">
        <v>19</v>
      </c>
      <c r="I46" s="165" t="n">
        <v>3</v>
      </c>
      <c r="J46" s="158" t="n">
        <v>28.06</v>
      </c>
      <c r="K46" s="199" t="n">
        <v>381792</v>
      </c>
      <c r="L46" s="200" t="n">
        <f aca="false">ROUND(K46/J46,2)</f>
        <v>13606.27</v>
      </c>
      <c r="M46" s="248" t="s">
        <v>4931</v>
      </c>
      <c r="N46" s="168" t="n">
        <v>50000</v>
      </c>
      <c r="O46" s="168" t="n">
        <f aca="false">K46+N46</f>
        <v>431792</v>
      </c>
      <c r="P46" s="168" t="n">
        <f aca="false">ROUND(O46/J46,2)</f>
        <v>15388.17</v>
      </c>
      <c r="Q46" s="239" t="s">
        <v>1133</v>
      </c>
      <c r="R46" s="5" t="n">
        <v>2</v>
      </c>
      <c r="S46" s="169" t="s">
        <v>29</v>
      </c>
      <c r="T46" s="158" t="s">
        <v>1915</v>
      </c>
      <c r="U46" s="164" t="s">
        <v>31</v>
      </c>
      <c r="V46" s="35" t="s">
        <v>4910</v>
      </c>
      <c r="W46" s="1" t="s">
        <v>4923</v>
      </c>
    </row>
    <row r="47" customFormat="false" ht="12.8" hidden="false" customHeight="false" outlineLevel="0" collapsed="false">
      <c r="B47" s="1" t="n">
        <v>5507</v>
      </c>
      <c r="C47" s="155" t="n">
        <v>43313</v>
      </c>
      <c r="D47" s="171" t="s">
        <v>22</v>
      </c>
      <c r="E47" s="5" t="s">
        <v>433</v>
      </c>
      <c r="F47" s="157" t="s">
        <v>434</v>
      </c>
      <c r="G47" s="5" t="n">
        <v>7</v>
      </c>
      <c r="H47" s="165" t="n">
        <v>2</v>
      </c>
      <c r="I47" s="165" t="n">
        <v>2</v>
      </c>
      <c r="J47" s="158" t="n">
        <v>35.56</v>
      </c>
      <c r="K47" s="199" t="n">
        <v>300472.04</v>
      </c>
      <c r="L47" s="200" t="n">
        <f aca="false">ROUND(K47/J47,2)</f>
        <v>8449.72</v>
      </c>
      <c r="M47" s="248"/>
      <c r="N47" s="168"/>
      <c r="O47" s="168" t="n">
        <f aca="false">K47+N47</f>
        <v>300472.04</v>
      </c>
      <c r="P47" s="168" t="n">
        <f aca="false">ROUND(O47/J47,2)</f>
        <v>8449.72</v>
      </c>
      <c r="Q47" s="239" t="s">
        <v>4932</v>
      </c>
      <c r="R47" s="5" t="n">
        <v>2</v>
      </c>
      <c r="S47" s="169" t="s">
        <v>29</v>
      </c>
      <c r="T47" s="158" t="s">
        <v>1915</v>
      </c>
      <c r="U47" s="164" t="s">
        <v>31</v>
      </c>
      <c r="V47" s="35" t="s">
        <v>4910</v>
      </c>
      <c r="W47" s="1" t="s">
        <v>4933</v>
      </c>
    </row>
    <row r="48" customFormat="false" ht="12.8" hidden="false" customHeight="false" outlineLevel="0" collapsed="false">
      <c r="B48" s="1" t="n">
        <v>7301</v>
      </c>
      <c r="C48" s="155" t="n">
        <v>43313</v>
      </c>
      <c r="D48" s="171" t="s">
        <v>22</v>
      </c>
      <c r="E48" s="5" t="s">
        <v>2258</v>
      </c>
      <c r="F48" s="157" t="s">
        <v>4911</v>
      </c>
      <c r="G48" s="5" t="n">
        <v>3</v>
      </c>
      <c r="H48" s="165" t="n">
        <v>6</v>
      </c>
      <c r="I48" s="165" t="n">
        <v>3</v>
      </c>
      <c r="J48" s="158" t="n">
        <v>52.78</v>
      </c>
      <c r="K48" s="199" t="n">
        <v>606877</v>
      </c>
      <c r="L48" s="200" t="n">
        <f aca="false">ROUND(K48/J48,2)</f>
        <v>11498.24</v>
      </c>
      <c r="M48" s="248" t="s">
        <v>4934</v>
      </c>
      <c r="N48" s="168"/>
      <c r="O48" s="168" t="n">
        <f aca="false">K48+N48</f>
        <v>606877</v>
      </c>
      <c r="P48" s="168" t="n">
        <f aca="false">ROUND(O48/J48,2)</f>
        <v>11498.24</v>
      </c>
      <c r="Q48" s="239" t="s">
        <v>4935</v>
      </c>
      <c r="R48" s="5" t="n">
        <v>2</v>
      </c>
      <c r="S48" s="169" t="s">
        <v>29</v>
      </c>
      <c r="T48" s="158" t="s">
        <v>1915</v>
      </c>
      <c r="U48" s="164" t="s">
        <v>31</v>
      </c>
      <c r="V48" s="35" t="s">
        <v>4910</v>
      </c>
      <c r="W48" s="1" t="s">
        <v>4918</v>
      </c>
    </row>
    <row r="49" customFormat="false" ht="12.8" hidden="false" customHeight="false" outlineLevel="0" collapsed="false">
      <c r="B49" s="1" t="n">
        <v>7318</v>
      </c>
      <c r="C49" s="155" t="n">
        <v>43313</v>
      </c>
      <c r="D49" s="171" t="s">
        <v>22</v>
      </c>
      <c r="E49" s="5" t="s">
        <v>407</v>
      </c>
      <c r="F49" s="157" t="s">
        <v>2259</v>
      </c>
      <c r="G49" s="5" t="n">
        <v>7</v>
      </c>
      <c r="H49" s="165" t="n">
        <v>1</v>
      </c>
      <c r="I49" s="165" t="n">
        <v>1</v>
      </c>
      <c r="J49" s="158" t="n">
        <v>82.1</v>
      </c>
      <c r="K49" s="199" t="n">
        <v>818000</v>
      </c>
      <c r="L49" s="200" t="n">
        <f aca="false">ROUND(K49/J49,2)</f>
        <v>9963.46</v>
      </c>
      <c r="M49" s="248" t="s">
        <v>987</v>
      </c>
      <c r="N49" s="168"/>
      <c r="O49" s="168" t="n">
        <f aca="false">K49+N49</f>
        <v>818000</v>
      </c>
      <c r="P49" s="168" t="n">
        <f aca="false">ROUND(O49/J49,2)</f>
        <v>9963.46</v>
      </c>
      <c r="Q49" s="239" t="s">
        <v>1128</v>
      </c>
      <c r="R49" s="5" t="n">
        <v>3</v>
      </c>
      <c r="S49" s="169" t="s">
        <v>29</v>
      </c>
      <c r="T49" s="158" t="s">
        <v>1915</v>
      </c>
      <c r="U49" s="164" t="s">
        <v>31</v>
      </c>
      <c r="V49" s="35" t="s">
        <v>4910</v>
      </c>
      <c r="W49" s="1" t="s">
        <v>4936</v>
      </c>
    </row>
    <row r="50" customFormat="false" ht="12.8" hidden="false" customHeight="false" outlineLevel="0" collapsed="false">
      <c r="B50" s="1" t="n">
        <v>8327</v>
      </c>
      <c r="C50" s="155" t="n">
        <v>43313</v>
      </c>
      <c r="D50" s="171" t="s">
        <v>22</v>
      </c>
      <c r="E50" s="5" t="s">
        <v>962</v>
      </c>
      <c r="F50" s="157" t="s">
        <v>963</v>
      </c>
      <c r="G50" s="5" t="n">
        <v>1</v>
      </c>
      <c r="H50" s="165" t="n">
        <v>74</v>
      </c>
      <c r="I50" s="165" t="n">
        <v>7</v>
      </c>
      <c r="J50" s="158" t="n">
        <v>59.16</v>
      </c>
      <c r="K50" s="199" t="n">
        <v>580000</v>
      </c>
      <c r="L50" s="200" t="n">
        <f aca="false">ROUND(K50/J50,2)</f>
        <v>9803.92</v>
      </c>
      <c r="M50" s="248" t="s">
        <v>4937</v>
      </c>
      <c r="N50" s="168"/>
      <c r="O50" s="168" t="n">
        <f aca="false">K50+N50</f>
        <v>580000</v>
      </c>
      <c r="P50" s="168" t="n">
        <f aca="false">ROUND(O50/J50,2)</f>
        <v>9803.92</v>
      </c>
      <c r="Q50" s="239" t="s">
        <v>4938</v>
      </c>
      <c r="R50" s="5" t="n">
        <v>2</v>
      </c>
      <c r="S50" s="169" t="s">
        <v>29</v>
      </c>
      <c r="T50" s="158" t="s">
        <v>1915</v>
      </c>
      <c r="U50" s="164" t="s">
        <v>31</v>
      </c>
      <c r="V50" s="35" t="s">
        <v>4910</v>
      </c>
      <c r="W50" s="1" t="s">
        <v>4939</v>
      </c>
    </row>
    <row r="51" customFormat="false" ht="12.8" hidden="false" customHeight="false" outlineLevel="0" collapsed="false">
      <c r="B51" s="1" t="n">
        <v>10382</v>
      </c>
      <c r="C51" s="155" t="n">
        <v>43314</v>
      </c>
      <c r="D51" s="171" t="s">
        <v>22</v>
      </c>
      <c r="E51" s="5" t="s">
        <v>156</v>
      </c>
      <c r="F51" s="285" t="s">
        <v>4940</v>
      </c>
      <c r="G51" s="5" t="s">
        <v>748</v>
      </c>
      <c r="H51" s="227" t="n">
        <v>24</v>
      </c>
      <c r="I51" s="227" t="n">
        <v>4</v>
      </c>
      <c r="J51" s="158" t="n">
        <v>50.94</v>
      </c>
      <c r="K51" s="199" t="n">
        <v>420255.06</v>
      </c>
      <c r="L51" s="199" t="n">
        <f aca="false">ROUND(K51/J51,2)</f>
        <v>8250</v>
      </c>
      <c r="M51" s="286" t="s">
        <v>1126</v>
      </c>
      <c r="N51" s="287" t="n">
        <v>14744.94</v>
      </c>
      <c r="O51" s="168" t="n">
        <f aca="false">K51+N51</f>
        <v>435000</v>
      </c>
      <c r="P51" s="168" t="n">
        <f aca="false">ROUND(O51/J51,2)</f>
        <v>8539.46</v>
      </c>
      <c r="Q51" s="168" t="s">
        <v>4941</v>
      </c>
      <c r="R51" s="239"/>
      <c r="S51" s="5" t="s">
        <v>29</v>
      </c>
      <c r="T51" s="169" t="s">
        <v>1915</v>
      </c>
      <c r="U51" s="164" t="s">
        <v>31</v>
      </c>
      <c r="V51" s="35" t="s">
        <v>4910</v>
      </c>
      <c r="W51" s="164"/>
    </row>
    <row r="52" customFormat="false" ht="12.8" hidden="false" customHeight="false" outlineLevel="0" collapsed="false">
      <c r="B52" s="1" t="n">
        <v>4670</v>
      </c>
      <c r="C52" s="155" t="n">
        <v>43314</v>
      </c>
      <c r="D52" s="171" t="s">
        <v>22</v>
      </c>
      <c r="E52" s="5" t="s">
        <v>623</v>
      </c>
      <c r="F52" s="157" t="s">
        <v>272</v>
      </c>
      <c r="G52" s="5" t="s">
        <v>3113</v>
      </c>
      <c r="H52" s="165" t="n">
        <v>162</v>
      </c>
      <c r="I52" s="165" t="n">
        <v>2</v>
      </c>
      <c r="J52" s="158" t="n">
        <v>52.96</v>
      </c>
      <c r="K52" s="199" t="n">
        <v>407250</v>
      </c>
      <c r="L52" s="200" t="n">
        <f aca="false">ROUND(K52/J52,2)</f>
        <v>7689.77</v>
      </c>
      <c r="M52" s="248" t="s">
        <v>4942</v>
      </c>
      <c r="N52" s="168"/>
      <c r="O52" s="168" t="n">
        <f aca="false">K52+N52</f>
        <v>407250</v>
      </c>
      <c r="P52" s="168" t="n">
        <f aca="false">ROUND(O52/J52,2)</f>
        <v>7689.77</v>
      </c>
      <c r="Q52" s="239" t="s">
        <v>4943</v>
      </c>
      <c r="R52" s="5" t="n">
        <v>2</v>
      </c>
      <c r="S52" s="169" t="s">
        <v>29</v>
      </c>
      <c r="T52" s="158" t="s">
        <v>1915</v>
      </c>
      <c r="U52" s="164" t="s">
        <v>31</v>
      </c>
      <c r="V52" s="35" t="s">
        <v>4910</v>
      </c>
      <c r="W52" s="1" t="s">
        <v>4944</v>
      </c>
    </row>
    <row r="53" customFormat="false" ht="12.8" hidden="false" customHeight="false" outlineLevel="0" collapsed="false">
      <c r="B53" s="1" t="n">
        <v>6106</v>
      </c>
      <c r="C53" s="155" t="n">
        <v>43314</v>
      </c>
      <c r="D53" s="171" t="s">
        <v>22</v>
      </c>
      <c r="E53" s="5" t="s">
        <v>350</v>
      </c>
      <c r="F53" s="157" t="s">
        <v>351</v>
      </c>
      <c r="G53" s="5" t="n">
        <v>3</v>
      </c>
      <c r="H53" s="165" t="n">
        <v>191</v>
      </c>
      <c r="I53" s="165" t="n">
        <v>7</v>
      </c>
      <c r="J53" s="158" t="n">
        <v>78.93</v>
      </c>
      <c r="K53" s="199" t="n">
        <v>686691</v>
      </c>
      <c r="L53" s="200" t="n">
        <f aca="false">ROUND(K53/J53,2)</f>
        <v>8700</v>
      </c>
      <c r="M53" s="248"/>
      <c r="N53" s="168"/>
      <c r="O53" s="168" t="n">
        <f aca="false">K53+N53</f>
        <v>686691</v>
      </c>
      <c r="P53" s="168" t="n">
        <f aca="false">ROUND(O53/J53,2)</f>
        <v>8700</v>
      </c>
      <c r="Q53" s="239" t="s">
        <v>4945</v>
      </c>
      <c r="R53" s="5" t="n">
        <v>2</v>
      </c>
      <c r="S53" s="169" t="s">
        <v>29</v>
      </c>
      <c r="T53" s="158" t="s">
        <v>1915</v>
      </c>
      <c r="U53" s="164" t="s">
        <v>31</v>
      </c>
      <c r="V53" s="35" t="s">
        <v>4910</v>
      </c>
      <c r="W53" s="1" t="s">
        <v>4946</v>
      </c>
    </row>
    <row r="54" customFormat="false" ht="12.8" hidden="false" customHeight="false" outlineLevel="0" collapsed="false">
      <c r="B54" s="1" t="n">
        <v>37382</v>
      </c>
      <c r="C54" s="155" t="n">
        <v>43315</v>
      </c>
      <c r="D54" s="171" t="s">
        <v>22</v>
      </c>
      <c r="E54" s="5" t="s">
        <v>433</v>
      </c>
      <c r="F54" s="157" t="s">
        <v>434</v>
      </c>
      <c r="G54" s="5" t="n">
        <v>9</v>
      </c>
      <c r="H54" s="165" t="n">
        <v>13</v>
      </c>
      <c r="I54" s="165" t="n">
        <v>4</v>
      </c>
      <c r="J54" s="158" t="n">
        <v>37.98</v>
      </c>
      <c r="K54" s="199" t="n">
        <v>325108.8</v>
      </c>
      <c r="L54" s="200" t="n">
        <f aca="false">ROUND(K54/J54,2)</f>
        <v>8560</v>
      </c>
      <c r="M54" s="248"/>
      <c r="N54" s="168"/>
      <c r="O54" s="168" t="n">
        <f aca="false">K54+N54</f>
        <v>325108.8</v>
      </c>
      <c r="P54" s="168" t="n">
        <f aca="false">ROUND(O54/J54,2)</f>
        <v>8560</v>
      </c>
      <c r="Q54" s="239" t="s">
        <v>4947</v>
      </c>
      <c r="R54" s="5" t="n">
        <v>2</v>
      </c>
      <c r="S54" s="169" t="s">
        <v>29</v>
      </c>
      <c r="T54" s="158" t="s">
        <v>1915</v>
      </c>
      <c r="U54" s="164" t="s">
        <v>31</v>
      </c>
      <c r="V54" s="35" t="s">
        <v>4910</v>
      </c>
      <c r="W54" s="1" t="s">
        <v>4927</v>
      </c>
    </row>
    <row r="55" customFormat="false" ht="12.8" hidden="false" customHeight="false" outlineLevel="0" collapsed="false">
      <c r="B55" s="1" t="n">
        <v>7374</v>
      </c>
      <c r="C55" s="155" t="n">
        <v>43315</v>
      </c>
      <c r="D55" s="171" t="s">
        <v>22</v>
      </c>
      <c r="E55" s="5" t="s">
        <v>522</v>
      </c>
      <c r="F55" s="157" t="s">
        <v>523</v>
      </c>
      <c r="G55" s="5" t="s">
        <v>146</v>
      </c>
      <c r="H55" s="165" t="n">
        <v>51</v>
      </c>
      <c r="I55" s="165" t="n">
        <v>4</v>
      </c>
      <c r="J55" s="158" t="n">
        <v>141.15</v>
      </c>
      <c r="K55" s="199" t="n">
        <v>1115000</v>
      </c>
      <c r="L55" s="200" t="n">
        <f aca="false">ROUND(K55/J55,2)</f>
        <v>7899.4</v>
      </c>
      <c r="M55" s="248" t="s">
        <v>4948</v>
      </c>
      <c r="N55" s="168" t="n">
        <v>57000</v>
      </c>
      <c r="O55" s="168" t="n">
        <f aca="false">K55+N55</f>
        <v>1172000</v>
      </c>
      <c r="P55" s="168" t="n">
        <f aca="false">ROUND(O55/J55,2)</f>
        <v>8303.22</v>
      </c>
      <c r="Q55" s="239" t="s">
        <v>4949</v>
      </c>
      <c r="R55" s="5" t="n">
        <v>6</v>
      </c>
      <c r="S55" s="169" t="s">
        <v>29</v>
      </c>
      <c r="T55" s="158" t="s">
        <v>1915</v>
      </c>
      <c r="U55" s="164" t="s">
        <v>31</v>
      </c>
      <c r="V55" s="35" t="s">
        <v>4910</v>
      </c>
      <c r="W55" s="1" t="s">
        <v>4950</v>
      </c>
    </row>
    <row r="56" customFormat="false" ht="12.8" hidden="false" customHeight="false" outlineLevel="0" collapsed="false">
      <c r="B56" s="1" t="n">
        <v>37523</v>
      </c>
      <c r="C56" s="155" t="n">
        <v>43318</v>
      </c>
      <c r="D56" s="171" t="s">
        <v>22</v>
      </c>
      <c r="E56" s="5" t="s">
        <v>322</v>
      </c>
      <c r="F56" s="157" t="s">
        <v>323</v>
      </c>
      <c r="G56" s="5" t="s">
        <v>674</v>
      </c>
      <c r="H56" s="165" t="n">
        <v>104</v>
      </c>
      <c r="I56" s="165" t="n">
        <v>2</v>
      </c>
      <c r="J56" s="158" t="n">
        <v>69.5</v>
      </c>
      <c r="K56" s="199" t="n">
        <v>507330.54</v>
      </c>
      <c r="L56" s="200" t="n">
        <f aca="false">ROUND(K56/J56,2)</f>
        <v>7299.72</v>
      </c>
      <c r="M56" s="248"/>
      <c r="N56" s="168"/>
      <c r="O56" s="168" t="n">
        <f aca="false">K56+N56</f>
        <v>507330.54</v>
      </c>
      <c r="P56" s="168" t="n">
        <f aca="false">ROUND(O56/J56,2)</f>
        <v>7299.72</v>
      </c>
      <c r="Q56" s="239" t="s">
        <v>4951</v>
      </c>
      <c r="R56" s="5" t="n">
        <v>4</v>
      </c>
      <c r="S56" s="169" t="s">
        <v>29</v>
      </c>
      <c r="T56" s="158" t="s">
        <v>1915</v>
      </c>
      <c r="U56" s="164" t="s">
        <v>31</v>
      </c>
      <c r="V56" s="35" t="s">
        <v>4910</v>
      </c>
      <c r="W56" s="1" t="s">
        <v>4924</v>
      </c>
    </row>
    <row r="57" customFormat="false" ht="12.8" hidden="false" customHeight="false" outlineLevel="0" collapsed="false">
      <c r="B57" s="1" t="n">
        <v>4775</v>
      </c>
      <c r="C57" s="155" t="n">
        <v>43319</v>
      </c>
      <c r="D57" s="171" t="s">
        <v>22</v>
      </c>
      <c r="E57" s="5" t="s">
        <v>623</v>
      </c>
      <c r="F57" s="157" t="s">
        <v>272</v>
      </c>
      <c r="G57" s="5" t="s">
        <v>3113</v>
      </c>
      <c r="H57" s="165" t="n">
        <v>260</v>
      </c>
      <c r="I57" s="165" t="n">
        <v>5</v>
      </c>
      <c r="J57" s="158" t="n">
        <v>48.23</v>
      </c>
      <c r="K57" s="199" t="n">
        <v>404070</v>
      </c>
      <c r="L57" s="200" t="n">
        <f aca="false">ROUND(K57/J57,2)</f>
        <v>8377.98</v>
      </c>
      <c r="M57" s="248" t="s">
        <v>4952</v>
      </c>
      <c r="N57" s="168"/>
      <c r="O57" s="168" t="n">
        <f aca="false">K57+N57</f>
        <v>404070</v>
      </c>
      <c r="P57" s="168" t="n">
        <f aca="false">ROUND(O57/J57,2)</f>
        <v>8377.98</v>
      </c>
      <c r="Q57" s="239" t="s">
        <v>4943</v>
      </c>
      <c r="R57" s="5" t="n">
        <v>2</v>
      </c>
      <c r="S57" s="169" t="s">
        <v>29</v>
      </c>
      <c r="T57" s="158" t="s">
        <v>1915</v>
      </c>
      <c r="U57" s="164" t="s">
        <v>31</v>
      </c>
      <c r="V57" s="35" t="s">
        <v>4910</v>
      </c>
      <c r="W57" s="1" t="s">
        <v>4944</v>
      </c>
    </row>
    <row r="58" customFormat="false" ht="12.8" hidden="false" customHeight="false" outlineLevel="0" collapsed="false">
      <c r="B58" s="1" t="n">
        <v>4758</v>
      </c>
      <c r="C58" s="155" t="n">
        <v>43319</v>
      </c>
      <c r="D58" s="171" t="s">
        <v>22</v>
      </c>
      <c r="E58" s="5" t="s">
        <v>623</v>
      </c>
      <c r="F58" s="157" t="s">
        <v>272</v>
      </c>
      <c r="G58" s="5" t="s">
        <v>3113</v>
      </c>
      <c r="H58" s="165" t="n">
        <v>203</v>
      </c>
      <c r="I58" s="165" t="n">
        <v>8</v>
      </c>
      <c r="J58" s="158" t="n">
        <v>70.87</v>
      </c>
      <c r="K58" s="199" t="n">
        <v>612035.68</v>
      </c>
      <c r="L58" s="200" t="n">
        <f aca="false">ROUND(K58/J58,2)</f>
        <v>8636.03</v>
      </c>
      <c r="M58" s="248" t="s">
        <v>4953</v>
      </c>
      <c r="N58" s="168"/>
      <c r="O58" s="168" t="n">
        <f aca="false">K58+N58</f>
        <v>612035.68</v>
      </c>
      <c r="P58" s="168" t="n">
        <f aca="false">ROUND(O58/J58,2)</f>
        <v>8636.03</v>
      </c>
      <c r="Q58" s="239" t="s">
        <v>4954</v>
      </c>
      <c r="R58" s="5" t="n">
        <v>3</v>
      </c>
      <c r="S58" s="169" t="s">
        <v>29</v>
      </c>
      <c r="T58" s="158" t="s">
        <v>1915</v>
      </c>
      <c r="U58" s="164" t="s">
        <v>31</v>
      </c>
      <c r="V58" s="35" t="s">
        <v>4910</v>
      </c>
      <c r="W58" s="1" t="s">
        <v>4944</v>
      </c>
    </row>
    <row r="59" customFormat="false" ht="12.8" hidden="false" customHeight="false" outlineLevel="0" collapsed="false">
      <c r="B59" s="1" t="n">
        <v>10641</v>
      </c>
      <c r="C59" s="155" t="n">
        <v>43319</v>
      </c>
      <c r="D59" s="171" t="s">
        <v>22</v>
      </c>
      <c r="E59" s="5" t="s">
        <v>75</v>
      </c>
      <c r="F59" s="157" t="s">
        <v>1209</v>
      </c>
      <c r="G59" s="5" t="n">
        <v>103</v>
      </c>
      <c r="H59" s="165" t="n">
        <v>49</v>
      </c>
      <c r="I59" s="165" t="n">
        <v>5</v>
      </c>
      <c r="J59" s="158" t="n">
        <v>55.42</v>
      </c>
      <c r="K59" s="199" t="n">
        <v>533990</v>
      </c>
      <c r="L59" s="200" t="n">
        <f aca="false">ROUND(K59/J59,2)</f>
        <v>9635.33</v>
      </c>
      <c r="M59" s="248" t="s">
        <v>943</v>
      </c>
      <c r="N59" s="168"/>
      <c r="O59" s="168" t="n">
        <f aca="false">K59+N59</f>
        <v>533990</v>
      </c>
      <c r="P59" s="168" t="n">
        <f aca="false">ROUND(O59/J59,2)</f>
        <v>9635.33</v>
      </c>
      <c r="Q59" s="239" t="s">
        <v>4955</v>
      </c>
      <c r="R59" s="5" t="n">
        <v>4</v>
      </c>
      <c r="S59" s="169" t="s">
        <v>29</v>
      </c>
      <c r="T59" s="158" t="s">
        <v>1915</v>
      </c>
      <c r="U59" s="164" t="s">
        <v>31</v>
      </c>
      <c r="V59" s="35" t="s">
        <v>4910</v>
      </c>
      <c r="W59" s="1" t="s">
        <v>4956</v>
      </c>
    </row>
    <row r="60" customFormat="false" ht="12.8" hidden="false" customHeight="false" outlineLevel="0" collapsed="false">
      <c r="B60" s="1" t="n">
        <v>6274</v>
      </c>
      <c r="C60" s="155" t="n">
        <v>43320</v>
      </c>
      <c r="D60" s="171" t="s">
        <v>22</v>
      </c>
      <c r="E60" s="5" t="s">
        <v>350</v>
      </c>
      <c r="F60" s="157" t="s">
        <v>351</v>
      </c>
      <c r="G60" s="5" t="n">
        <v>3</v>
      </c>
      <c r="H60" s="165" t="n">
        <v>83</v>
      </c>
      <c r="I60" s="165" t="n">
        <v>5</v>
      </c>
      <c r="J60" s="158" t="n">
        <v>59.55</v>
      </c>
      <c r="K60" s="199" t="n">
        <v>518085</v>
      </c>
      <c r="L60" s="200" t="n">
        <f aca="false">ROUND(K60/J60,2)</f>
        <v>8700</v>
      </c>
      <c r="M60" s="248"/>
      <c r="N60" s="168"/>
      <c r="O60" s="168" t="n">
        <f aca="false">K60+N60</f>
        <v>518085</v>
      </c>
      <c r="P60" s="168" t="n">
        <f aca="false">ROUND(O60/J60,2)</f>
        <v>8700</v>
      </c>
      <c r="Q60" s="239" t="s">
        <v>4957</v>
      </c>
      <c r="R60" s="5" t="n">
        <v>2</v>
      </c>
      <c r="S60" s="169" t="s">
        <v>29</v>
      </c>
      <c r="T60" s="158" t="s">
        <v>1915</v>
      </c>
      <c r="U60" s="164" t="s">
        <v>31</v>
      </c>
      <c r="V60" s="35" t="s">
        <v>4910</v>
      </c>
      <c r="W60" s="1" t="s">
        <v>4946</v>
      </c>
    </row>
    <row r="61" customFormat="false" ht="12.8" hidden="false" customHeight="false" outlineLevel="0" collapsed="false">
      <c r="B61" s="1" t="n">
        <v>4847</v>
      </c>
      <c r="C61" s="155" t="n">
        <v>43321</v>
      </c>
      <c r="D61" s="171" t="s">
        <v>22</v>
      </c>
      <c r="E61" s="5" t="s">
        <v>623</v>
      </c>
      <c r="F61" s="157" t="s">
        <v>272</v>
      </c>
      <c r="G61" s="5" t="s">
        <v>3113</v>
      </c>
      <c r="H61" s="165" t="n">
        <v>165</v>
      </c>
      <c r="I61" s="165" t="n">
        <v>3</v>
      </c>
      <c r="J61" s="158" t="n">
        <v>63.45</v>
      </c>
      <c r="K61" s="199" t="n">
        <v>489329</v>
      </c>
      <c r="L61" s="200" t="n">
        <f aca="false">ROUND(K61/J61,2)</f>
        <v>7712.04</v>
      </c>
      <c r="M61" s="248" t="s">
        <v>4958</v>
      </c>
      <c r="N61" s="168"/>
      <c r="O61" s="168" t="n">
        <f aca="false">K61+N61</f>
        <v>489329</v>
      </c>
      <c r="P61" s="168" t="n">
        <f aca="false">ROUND(O61/J61,2)</f>
        <v>7712.04</v>
      </c>
      <c r="Q61" s="239" t="s">
        <v>4959</v>
      </c>
      <c r="R61" s="5" t="n">
        <v>4</v>
      </c>
      <c r="S61" s="169" t="s">
        <v>29</v>
      </c>
      <c r="T61" s="158" t="s">
        <v>1915</v>
      </c>
      <c r="U61" s="164" t="s">
        <v>31</v>
      </c>
      <c r="V61" s="35" t="s">
        <v>4910</v>
      </c>
      <c r="W61" s="1" t="s">
        <v>4944</v>
      </c>
    </row>
    <row r="62" customFormat="false" ht="12.8" hidden="false" customHeight="false" outlineLevel="0" collapsed="false">
      <c r="B62" s="1" t="n">
        <v>10839</v>
      </c>
      <c r="C62" s="155" t="n">
        <v>43321</v>
      </c>
      <c r="D62" s="171" t="s">
        <v>22</v>
      </c>
      <c r="E62" s="5" t="s">
        <v>75</v>
      </c>
      <c r="F62" s="157" t="s">
        <v>1209</v>
      </c>
      <c r="G62" s="5" t="n">
        <v>103</v>
      </c>
      <c r="H62" s="165" t="n">
        <v>13</v>
      </c>
      <c r="I62" s="165" t="n">
        <v>3</v>
      </c>
      <c r="J62" s="158" t="n">
        <v>72.79</v>
      </c>
      <c r="K62" s="199" t="n">
        <v>663298.37</v>
      </c>
      <c r="L62" s="200" t="n">
        <f aca="false">ROUND(K62/J62,2)</f>
        <v>9112.49</v>
      </c>
      <c r="M62" s="248" t="s">
        <v>4960</v>
      </c>
      <c r="N62" s="168"/>
      <c r="O62" s="168" t="n">
        <f aca="false">K62+N62</f>
        <v>663298.37</v>
      </c>
      <c r="P62" s="168" t="n">
        <f aca="false">ROUND(O62/J62,2)</f>
        <v>9112.49</v>
      </c>
      <c r="Q62" s="239" t="s">
        <v>4961</v>
      </c>
      <c r="R62" s="5" t="n">
        <v>4</v>
      </c>
      <c r="S62" s="169" t="s">
        <v>29</v>
      </c>
      <c r="T62" s="158" t="s">
        <v>1915</v>
      </c>
      <c r="U62" s="164" t="s">
        <v>31</v>
      </c>
      <c r="V62" s="35" t="s">
        <v>4910</v>
      </c>
      <c r="W62" s="1" t="s">
        <v>4956</v>
      </c>
    </row>
    <row r="63" customFormat="false" ht="12.8" hidden="false" customHeight="false" outlineLevel="0" collapsed="false">
      <c r="B63" s="1" t="n">
        <v>10809</v>
      </c>
      <c r="C63" s="155" t="n">
        <v>43321</v>
      </c>
      <c r="D63" s="171" t="s">
        <v>22</v>
      </c>
      <c r="E63" s="5" t="s">
        <v>75</v>
      </c>
      <c r="F63" s="157" t="s">
        <v>1209</v>
      </c>
      <c r="G63" s="5" t="n">
        <v>103</v>
      </c>
      <c r="H63" s="165" t="n">
        <v>76</v>
      </c>
      <c r="I63" s="165" t="n">
        <v>6</v>
      </c>
      <c r="J63" s="158" t="n">
        <v>67.49</v>
      </c>
      <c r="K63" s="199" t="n">
        <v>725338.33</v>
      </c>
      <c r="L63" s="200" t="n">
        <f aca="false">ROUND(K63/J63,2)</f>
        <v>10747.35</v>
      </c>
      <c r="M63" s="248" t="s">
        <v>943</v>
      </c>
      <c r="N63" s="168"/>
      <c r="O63" s="168" t="n">
        <f aca="false">K63+N63</f>
        <v>725338.33</v>
      </c>
      <c r="P63" s="168" t="n">
        <f aca="false">ROUND(O63/J63,2)</f>
        <v>10747.35</v>
      </c>
      <c r="Q63" s="239" t="s">
        <v>4962</v>
      </c>
      <c r="R63" s="5" t="n">
        <v>3</v>
      </c>
      <c r="S63" s="169" t="s">
        <v>29</v>
      </c>
      <c r="T63" s="158" t="s">
        <v>1915</v>
      </c>
      <c r="U63" s="164" t="s">
        <v>31</v>
      </c>
      <c r="V63" s="35" t="s">
        <v>4910</v>
      </c>
      <c r="W63" s="1" t="s">
        <v>4956</v>
      </c>
    </row>
    <row r="64" customFormat="false" ht="12.8" hidden="false" customHeight="false" outlineLevel="0" collapsed="false">
      <c r="B64" s="1" t="n">
        <v>7450</v>
      </c>
      <c r="C64" s="155" t="n">
        <v>43321</v>
      </c>
      <c r="D64" s="171" t="s">
        <v>22</v>
      </c>
      <c r="E64" s="5" t="s">
        <v>407</v>
      </c>
      <c r="F64" s="157" t="s">
        <v>4919</v>
      </c>
      <c r="G64" s="5" t="n">
        <v>1</v>
      </c>
      <c r="H64" s="165" t="n">
        <v>1</v>
      </c>
      <c r="I64" s="165" t="n">
        <v>1</v>
      </c>
      <c r="J64" s="158" t="n">
        <v>120.14</v>
      </c>
      <c r="K64" s="199" t="n">
        <v>1412056</v>
      </c>
      <c r="L64" s="200" t="n">
        <f aca="false">ROUND(K64/J64,2)</f>
        <v>11753.42</v>
      </c>
      <c r="M64" s="248" t="s">
        <v>4963</v>
      </c>
      <c r="N64" s="168" t="n">
        <v>123</v>
      </c>
      <c r="O64" s="168" t="n">
        <f aca="false">K64+N64</f>
        <v>1412179</v>
      </c>
      <c r="P64" s="168" t="n">
        <f aca="false">ROUND(O64/J64,2)</f>
        <v>11754.44</v>
      </c>
      <c r="Q64" s="239" t="s">
        <v>4964</v>
      </c>
      <c r="R64" s="5" t="n">
        <v>5</v>
      </c>
      <c r="S64" s="169" t="s">
        <v>29</v>
      </c>
      <c r="T64" s="158" t="s">
        <v>1915</v>
      </c>
      <c r="U64" s="164" t="s">
        <v>31</v>
      </c>
      <c r="V64" s="35" t="s">
        <v>4910</v>
      </c>
      <c r="W64" s="1" t="s">
        <v>4922</v>
      </c>
    </row>
    <row r="65" customFormat="false" ht="12.8" hidden="false" customHeight="false" outlineLevel="0" collapsed="false">
      <c r="B65" s="1" t="n">
        <v>14891</v>
      </c>
      <c r="C65" s="155" t="n">
        <v>43325</v>
      </c>
      <c r="D65" s="171" t="s">
        <v>22</v>
      </c>
      <c r="E65" s="5" t="s">
        <v>350</v>
      </c>
      <c r="F65" s="157" t="s">
        <v>323</v>
      </c>
      <c r="G65" s="5" t="s">
        <v>4398</v>
      </c>
      <c r="H65" s="165" t="n">
        <v>111</v>
      </c>
      <c r="I65" s="165" t="n">
        <v>7</v>
      </c>
      <c r="J65" s="158" t="n">
        <v>37.85</v>
      </c>
      <c r="K65" s="199" t="n">
        <v>326482.46</v>
      </c>
      <c r="L65" s="200" t="n">
        <f aca="false">ROUND(K65/J65,2)</f>
        <v>8625.69</v>
      </c>
      <c r="M65" s="248" t="s">
        <v>4965</v>
      </c>
      <c r="N65" s="168" t="n">
        <v>32000</v>
      </c>
      <c r="O65" s="168" t="n">
        <f aca="false">K65+N65</f>
        <v>358482.46</v>
      </c>
      <c r="P65" s="168" t="n">
        <f aca="false">ROUND(O65/J65,2)</f>
        <v>9471.14</v>
      </c>
      <c r="Q65" s="239" t="s">
        <v>1133</v>
      </c>
      <c r="R65" s="5" t="n">
        <v>2</v>
      </c>
      <c r="S65" s="169" t="s">
        <v>29</v>
      </c>
      <c r="T65" s="158" t="s">
        <v>1915</v>
      </c>
      <c r="U65" s="164" t="s">
        <v>31</v>
      </c>
      <c r="V65" s="35" t="s">
        <v>4910</v>
      </c>
      <c r="W65" s="1" t="s">
        <v>4966</v>
      </c>
    </row>
    <row r="66" customFormat="false" ht="12.8" hidden="false" customHeight="false" outlineLevel="0" collapsed="false">
      <c r="B66" s="1" t="n">
        <v>7106</v>
      </c>
      <c r="C66" s="155" t="n">
        <v>43325</v>
      </c>
      <c r="D66" s="171" t="s">
        <v>22</v>
      </c>
      <c r="E66" s="5" t="s">
        <v>319</v>
      </c>
      <c r="F66" s="157" t="s">
        <v>320</v>
      </c>
      <c r="G66" s="5" t="n">
        <v>10</v>
      </c>
      <c r="H66" s="165" t="n">
        <v>59</v>
      </c>
      <c r="I66" s="165" t="n">
        <v>3</v>
      </c>
      <c r="J66" s="158" t="n">
        <v>66.2</v>
      </c>
      <c r="K66" s="199" t="n">
        <v>564013.73</v>
      </c>
      <c r="L66" s="200" t="n">
        <f aca="false">ROUND(K66/J66,2)</f>
        <v>8519.84</v>
      </c>
      <c r="M66" s="248"/>
      <c r="N66" s="168"/>
      <c r="O66" s="168" t="n">
        <f aca="false">K66+N66</f>
        <v>564013.73</v>
      </c>
      <c r="P66" s="168" t="n">
        <f aca="false">ROUND(O66/J66,2)</f>
        <v>8519.84</v>
      </c>
      <c r="Q66" s="239" t="s">
        <v>4967</v>
      </c>
      <c r="R66" s="5" t="n">
        <v>4</v>
      </c>
      <c r="S66" s="169" t="s">
        <v>29</v>
      </c>
      <c r="T66" s="158" t="s">
        <v>1915</v>
      </c>
      <c r="U66" s="164" t="s">
        <v>31</v>
      </c>
      <c r="V66" s="35" t="s">
        <v>4910</v>
      </c>
      <c r="W66" s="1" t="s">
        <v>4968</v>
      </c>
    </row>
    <row r="67" customFormat="false" ht="12.8" hidden="false" customHeight="false" outlineLevel="0" collapsed="false">
      <c r="B67" s="1" t="n">
        <v>14341</v>
      </c>
      <c r="C67" s="155" t="n">
        <v>43325</v>
      </c>
      <c r="D67" s="171" t="s">
        <v>22</v>
      </c>
      <c r="E67" s="5" t="s">
        <v>206</v>
      </c>
      <c r="F67" s="157" t="s">
        <v>4969</v>
      </c>
      <c r="G67" s="5" t="n">
        <v>8</v>
      </c>
      <c r="H67" s="165" t="n">
        <v>138</v>
      </c>
      <c r="I67" s="165" t="n">
        <v>5</v>
      </c>
      <c r="J67" s="158" t="n">
        <v>65.79</v>
      </c>
      <c r="K67" s="199" t="n">
        <v>611847</v>
      </c>
      <c r="L67" s="200" t="n">
        <f aca="false">ROUND(K67/J67,2)</f>
        <v>9300</v>
      </c>
      <c r="M67" s="248" t="s">
        <v>4970</v>
      </c>
      <c r="N67" s="168" t="n">
        <v>32000</v>
      </c>
      <c r="O67" s="168" t="n">
        <f aca="false">K67+N67</f>
        <v>643847</v>
      </c>
      <c r="P67" s="168" t="n">
        <f aca="false">ROUND(O67/J67,2)</f>
        <v>9786.4</v>
      </c>
      <c r="Q67" s="239" t="s">
        <v>4971</v>
      </c>
      <c r="R67" s="5" t="n">
        <v>3</v>
      </c>
      <c r="S67" s="169" t="s">
        <v>29</v>
      </c>
      <c r="T67" s="158" t="s">
        <v>1915</v>
      </c>
      <c r="U67" s="164" t="s">
        <v>31</v>
      </c>
      <c r="V67" s="35" t="s">
        <v>4910</v>
      </c>
      <c r="W67" s="1" t="s">
        <v>4972</v>
      </c>
    </row>
    <row r="68" customFormat="false" ht="12.8" hidden="false" customHeight="false" outlineLevel="0" collapsed="false">
      <c r="B68" s="1" t="n">
        <v>14433</v>
      </c>
      <c r="C68" s="155" t="n">
        <v>43326</v>
      </c>
      <c r="D68" s="171" t="s">
        <v>22</v>
      </c>
      <c r="E68" s="5" t="s">
        <v>206</v>
      </c>
      <c r="F68" s="157" t="s">
        <v>4969</v>
      </c>
      <c r="G68" s="5" t="n">
        <v>8</v>
      </c>
      <c r="H68" s="165" t="n">
        <v>91</v>
      </c>
      <c r="I68" s="165" t="n">
        <v>3</v>
      </c>
      <c r="J68" s="158" t="n">
        <v>64.4</v>
      </c>
      <c r="K68" s="199" t="n">
        <v>592480</v>
      </c>
      <c r="L68" s="200" t="n">
        <f aca="false">ROUND(K68/J68,2)</f>
        <v>9200</v>
      </c>
      <c r="M68" s="248" t="s">
        <v>4960</v>
      </c>
      <c r="N68" s="168"/>
      <c r="O68" s="168" t="n">
        <f aca="false">K68+N68</f>
        <v>592480</v>
      </c>
      <c r="P68" s="168" t="n">
        <f aca="false">ROUND(O68/J68,2)</f>
        <v>9200</v>
      </c>
      <c r="Q68" s="239" t="s">
        <v>4971</v>
      </c>
      <c r="R68" s="5" t="n">
        <v>3</v>
      </c>
      <c r="S68" s="169" t="s">
        <v>29</v>
      </c>
      <c r="T68" s="158" t="s">
        <v>1915</v>
      </c>
      <c r="U68" s="164" t="s">
        <v>31</v>
      </c>
      <c r="V68" s="35" t="s">
        <v>4910</v>
      </c>
      <c r="W68" s="1" t="s">
        <v>4972</v>
      </c>
    </row>
    <row r="69" customFormat="false" ht="12.8" hidden="false" customHeight="false" outlineLevel="0" collapsed="false">
      <c r="B69" s="1" t="n">
        <v>26468</v>
      </c>
      <c r="C69" s="155" t="n">
        <v>43326</v>
      </c>
      <c r="D69" s="171" t="s">
        <v>22</v>
      </c>
      <c r="E69" s="5" t="s">
        <v>203</v>
      </c>
      <c r="F69" s="157" t="s">
        <v>625</v>
      </c>
      <c r="G69" s="5" t="n">
        <v>4</v>
      </c>
      <c r="H69" s="165" t="n">
        <v>2</v>
      </c>
      <c r="I69" s="165" t="n">
        <v>1</v>
      </c>
      <c r="J69" s="158" t="n">
        <v>39.19</v>
      </c>
      <c r="K69" s="199" t="n">
        <v>439481.96</v>
      </c>
      <c r="L69" s="200" t="n">
        <f aca="false">ROUND(K69/J69,2)</f>
        <v>11214.14</v>
      </c>
      <c r="M69" s="248" t="s">
        <v>943</v>
      </c>
      <c r="N69" s="168" t="n">
        <v>36000</v>
      </c>
      <c r="O69" s="168" t="n">
        <f aca="false">K69+N69</f>
        <v>475481.96</v>
      </c>
      <c r="P69" s="168" t="n">
        <f aca="false">ROUND(O69/J69,2)</f>
        <v>12132.74</v>
      </c>
      <c r="Q69" s="239" t="s">
        <v>1133</v>
      </c>
      <c r="R69" s="5" t="n">
        <v>2</v>
      </c>
      <c r="S69" s="169" t="s">
        <v>29</v>
      </c>
      <c r="T69" s="158" t="s">
        <v>1915</v>
      </c>
      <c r="U69" s="164" t="s">
        <v>31</v>
      </c>
      <c r="V69" s="35" t="s">
        <v>4910</v>
      </c>
      <c r="W69" s="1" t="s">
        <v>4973</v>
      </c>
    </row>
    <row r="70" customFormat="false" ht="12.8" hidden="false" customHeight="false" outlineLevel="0" collapsed="false">
      <c r="B70" s="1" t="n">
        <v>14426</v>
      </c>
      <c r="C70" s="155" t="n">
        <v>43326</v>
      </c>
      <c r="D70" s="171" t="s">
        <v>22</v>
      </c>
      <c r="E70" s="5" t="s">
        <v>206</v>
      </c>
      <c r="F70" s="157" t="s">
        <v>4969</v>
      </c>
      <c r="G70" s="5" t="n">
        <v>8</v>
      </c>
      <c r="H70" s="165" t="n">
        <v>61</v>
      </c>
      <c r="I70" s="165" t="n">
        <v>4</v>
      </c>
      <c r="J70" s="158" t="n">
        <v>63.08</v>
      </c>
      <c r="K70" s="199" t="n">
        <v>611876</v>
      </c>
      <c r="L70" s="200" t="n">
        <f aca="false">ROUND(K70/J70,2)</f>
        <v>9700</v>
      </c>
      <c r="M70" s="248" t="s">
        <v>4974</v>
      </c>
      <c r="N70" s="168" t="n">
        <v>37000</v>
      </c>
      <c r="O70" s="168" t="n">
        <f aca="false">K70+N70</f>
        <v>648876</v>
      </c>
      <c r="P70" s="168" t="n">
        <f aca="false">ROUND(O70/J70,2)</f>
        <v>10286.56</v>
      </c>
      <c r="Q70" s="239" t="s">
        <v>4971</v>
      </c>
      <c r="R70" s="5" t="n">
        <v>3</v>
      </c>
      <c r="S70" s="169" t="s">
        <v>29</v>
      </c>
      <c r="T70" s="158" t="s">
        <v>1915</v>
      </c>
      <c r="U70" s="164" t="s">
        <v>31</v>
      </c>
      <c r="V70" s="35" t="s">
        <v>4910</v>
      </c>
      <c r="W70" s="1" t="s">
        <v>4972</v>
      </c>
    </row>
    <row r="71" customFormat="false" ht="12.8" hidden="false" customHeight="false" outlineLevel="0" collapsed="false">
      <c r="B71" s="1" t="n">
        <v>7675</v>
      </c>
      <c r="C71" s="155" t="n">
        <v>43329</v>
      </c>
      <c r="D71" s="171" t="s">
        <v>22</v>
      </c>
      <c r="E71" s="5" t="s">
        <v>407</v>
      </c>
      <c r="F71" s="157" t="s">
        <v>4919</v>
      </c>
      <c r="G71" s="5" t="n">
        <v>8</v>
      </c>
      <c r="H71" s="165" t="s">
        <v>4975</v>
      </c>
      <c r="I71" s="165" t="s">
        <v>4913</v>
      </c>
      <c r="J71" s="158" t="n">
        <v>167.98</v>
      </c>
      <c r="K71" s="199" t="n">
        <v>1620470</v>
      </c>
      <c r="L71" s="200" t="n">
        <f aca="false">ROUND(K71/J71,2)</f>
        <v>9646.8</v>
      </c>
      <c r="M71" s="248" t="s">
        <v>4914</v>
      </c>
      <c r="N71" s="168" t="n">
        <v>123</v>
      </c>
      <c r="O71" s="168" t="n">
        <f aca="false">K71+N71</f>
        <v>1620593</v>
      </c>
      <c r="P71" s="168" t="n">
        <f aca="false">ROUND(O71/J71,2)</f>
        <v>9647.54</v>
      </c>
      <c r="Q71" s="239" t="s">
        <v>4976</v>
      </c>
      <c r="R71" s="5" t="n">
        <v>5</v>
      </c>
      <c r="S71" s="169" t="s">
        <v>29</v>
      </c>
      <c r="T71" s="158" t="s">
        <v>1915</v>
      </c>
      <c r="U71" s="164" t="s">
        <v>31</v>
      </c>
      <c r="V71" s="35" t="s">
        <v>4910</v>
      </c>
      <c r="W71" s="1" t="s">
        <v>4977</v>
      </c>
    </row>
    <row r="72" customFormat="false" ht="12.8" hidden="false" customHeight="false" outlineLevel="0" collapsed="false">
      <c r="B72" s="1" t="n">
        <v>12229</v>
      </c>
      <c r="C72" s="155" t="n">
        <v>43329</v>
      </c>
      <c r="D72" s="171" t="s">
        <v>22</v>
      </c>
      <c r="E72" s="5" t="s">
        <v>235</v>
      </c>
      <c r="F72" s="157" t="s">
        <v>4929</v>
      </c>
      <c r="G72" s="5" t="n">
        <v>33</v>
      </c>
      <c r="H72" s="165" t="n">
        <v>21</v>
      </c>
      <c r="I72" s="165" t="n">
        <v>4</v>
      </c>
      <c r="J72" s="158" t="n">
        <v>27.34</v>
      </c>
      <c r="K72" s="199" t="n">
        <v>346049</v>
      </c>
      <c r="L72" s="200" t="n">
        <f aca="false">ROUND(K72/J72,2)</f>
        <v>12657.24</v>
      </c>
      <c r="M72" s="248" t="s">
        <v>4931</v>
      </c>
      <c r="N72" s="168" t="n">
        <v>3000</v>
      </c>
      <c r="O72" s="168" t="n">
        <f aca="false">K72+N72</f>
        <v>349049</v>
      </c>
      <c r="P72" s="168" t="n">
        <f aca="false">ROUND(O72/J72,2)</f>
        <v>12766.97</v>
      </c>
      <c r="Q72" s="239" t="s">
        <v>4978</v>
      </c>
      <c r="R72" s="5" t="n">
        <v>1</v>
      </c>
      <c r="S72" s="169" t="s">
        <v>29</v>
      </c>
      <c r="T72" s="158" t="s">
        <v>1915</v>
      </c>
      <c r="U72" s="164" t="s">
        <v>31</v>
      </c>
      <c r="V72" s="35" t="s">
        <v>4910</v>
      </c>
      <c r="W72" s="1" t="s">
        <v>4923</v>
      </c>
    </row>
    <row r="73" customFormat="false" ht="12.8" hidden="false" customHeight="false" outlineLevel="0" collapsed="false">
      <c r="B73" s="1" t="n">
        <v>3352</v>
      </c>
      <c r="C73" s="155" t="n">
        <v>43332</v>
      </c>
      <c r="D73" s="171" t="s">
        <v>22</v>
      </c>
      <c r="E73" s="5" t="s">
        <v>229</v>
      </c>
      <c r="F73" s="285" t="s">
        <v>4979</v>
      </c>
      <c r="G73" s="5" t="s">
        <v>1069</v>
      </c>
      <c r="H73" s="227" t="n">
        <v>87</v>
      </c>
      <c r="I73" s="227"/>
      <c r="J73" s="158" t="n">
        <v>47.07</v>
      </c>
      <c r="K73" s="199" t="n">
        <v>490000</v>
      </c>
      <c r="L73" s="199" t="n">
        <f aca="false">ROUND(K73/J73,2)</f>
        <v>10410.03</v>
      </c>
      <c r="M73" s="286" t="s">
        <v>4980</v>
      </c>
      <c r="N73" s="287" t="n">
        <f aca="false">10000+17500</f>
        <v>27500</v>
      </c>
      <c r="O73" s="168" t="n">
        <f aca="false">K73+N73</f>
        <v>517500</v>
      </c>
      <c r="P73" s="168" t="n">
        <f aca="false">ROUND(O73/J73,2)</f>
        <v>10994.26</v>
      </c>
      <c r="Q73" s="168" t="s">
        <v>4981</v>
      </c>
      <c r="R73" s="239"/>
      <c r="S73" s="5" t="s">
        <v>29</v>
      </c>
      <c r="T73" s="169" t="s">
        <v>1915</v>
      </c>
      <c r="U73" s="164" t="s">
        <v>31</v>
      </c>
      <c r="V73" s="35" t="s">
        <v>4910</v>
      </c>
      <c r="W73" s="164"/>
    </row>
    <row r="74" customFormat="false" ht="23.85" hidden="false" customHeight="false" outlineLevel="0" collapsed="false">
      <c r="B74" s="1" t="n">
        <v>3352</v>
      </c>
      <c r="C74" s="155" t="n">
        <v>43332</v>
      </c>
      <c r="D74" s="171" t="s">
        <v>22</v>
      </c>
      <c r="E74" s="5" t="s">
        <v>229</v>
      </c>
      <c r="F74" s="157" t="s">
        <v>4979</v>
      </c>
      <c r="G74" s="5" t="s">
        <v>1069</v>
      </c>
      <c r="H74" s="165" t="n">
        <v>87</v>
      </c>
      <c r="I74" s="165"/>
      <c r="J74" s="158" t="n">
        <v>47.07</v>
      </c>
      <c r="K74" s="199" t="n">
        <v>490000</v>
      </c>
      <c r="L74" s="200" t="n">
        <f aca="false">ROUND(K74/J74,2)</f>
        <v>10410.03</v>
      </c>
      <c r="M74" s="248" t="s">
        <v>4980</v>
      </c>
      <c r="N74" s="168" t="n">
        <f aca="false">10000+17500</f>
        <v>27500</v>
      </c>
      <c r="O74" s="168" t="n">
        <f aca="false">K74+N74</f>
        <v>517500</v>
      </c>
      <c r="P74" s="168" t="n">
        <f aca="false">ROUND(O74/J74,2)</f>
        <v>10994.26</v>
      </c>
      <c r="Q74" s="239" t="s">
        <v>1133</v>
      </c>
      <c r="R74" s="5" t="n">
        <v>2</v>
      </c>
      <c r="S74" s="169" t="s">
        <v>29</v>
      </c>
      <c r="T74" s="158" t="s">
        <v>1915</v>
      </c>
      <c r="U74" s="164" t="s">
        <v>31</v>
      </c>
      <c r="V74" s="35" t="s">
        <v>4910</v>
      </c>
    </row>
    <row r="75" customFormat="false" ht="12.8" hidden="false" customHeight="false" outlineLevel="0" collapsed="false">
      <c r="B75" s="1" t="n">
        <v>5405</v>
      </c>
      <c r="C75" s="155" t="n">
        <v>43332</v>
      </c>
      <c r="D75" s="171" t="s">
        <v>22</v>
      </c>
      <c r="E75" s="5" t="s">
        <v>1875</v>
      </c>
      <c r="F75" s="157" t="s">
        <v>4982</v>
      </c>
      <c r="G75" s="5" t="s">
        <v>139</v>
      </c>
      <c r="H75" s="165" t="n">
        <v>4</v>
      </c>
      <c r="I75" s="165" t="n">
        <v>2</v>
      </c>
      <c r="J75" s="158" t="n">
        <v>135.31</v>
      </c>
      <c r="K75" s="199" t="n">
        <v>1737060</v>
      </c>
      <c r="L75" s="200" t="n">
        <f aca="false">ROUND(K75/J75,2)</f>
        <v>12837.63</v>
      </c>
      <c r="M75" s="248" t="s">
        <v>1021</v>
      </c>
      <c r="N75" s="168"/>
      <c r="O75" s="168" t="n">
        <f aca="false">K75+N75</f>
        <v>1737060</v>
      </c>
      <c r="P75" s="168" t="n">
        <f aca="false">ROUND(O75/J75,2)</f>
        <v>12837.63</v>
      </c>
      <c r="Q75" s="239" t="s">
        <v>4983</v>
      </c>
      <c r="R75" s="5" t="n">
        <v>5</v>
      </c>
      <c r="S75" s="169" t="s">
        <v>29</v>
      </c>
      <c r="T75" s="158" t="s">
        <v>1915</v>
      </c>
      <c r="U75" s="164" t="s">
        <v>31</v>
      </c>
      <c r="V75" s="35" t="s">
        <v>4910</v>
      </c>
      <c r="W75" s="1" t="s">
        <v>4984</v>
      </c>
    </row>
    <row r="76" customFormat="false" ht="12.8" hidden="false" customHeight="false" outlineLevel="0" collapsed="false">
      <c r="B76" s="1" t="n">
        <v>7727</v>
      </c>
      <c r="C76" s="155" t="n">
        <v>43333</v>
      </c>
      <c r="D76" s="171" t="s">
        <v>22</v>
      </c>
      <c r="E76" s="5" t="s">
        <v>522</v>
      </c>
      <c r="F76" s="157" t="s">
        <v>523</v>
      </c>
      <c r="G76" s="5" t="n">
        <v>11</v>
      </c>
      <c r="H76" s="165" t="n">
        <v>3</v>
      </c>
      <c r="I76" s="165" t="n">
        <v>1</v>
      </c>
      <c r="J76" s="158" t="n">
        <v>35.42</v>
      </c>
      <c r="K76" s="199" t="n">
        <v>324500</v>
      </c>
      <c r="L76" s="200" t="n">
        <f aca="false">ROUND(K76/J76,2)</f>
        <v>9161.49</v>
      </c>
      <c r="M76" s="248" t="s">
        <v>4985</v>
      </c>
      <c r="N76" s="168" t="n">
        <v>34000</v>
      </c>
      <c r="O76" s="168" t="n">
        <f aca="false">K76+N76</f>
        <v>358500</v>
      </c>
      <c r="P76" s="168" t="n">
        <f aca="false">ROUND(O76/J76,2)</f>
        <v>10121.4</v>
      </c>
      <c r="Q76" s="239" t="s">
        <v>4986</v>
      </c>
      <c r="R76" s="5" t="n">
        <v>2</v>
      </c>
      <c r="S76" s="169" t="s">
        <v>29</v>
      </c>
      <c r="T76" s="158" t="s">
        <v>1915</v>
      </c>
      <c r="U76" s="164" t="s">
        <v>31</v>
      </c>
      <c r="V76" s="35" t="s">
        <v>4910</v>
      </c>
      <c r="W76" s="1" t="s">
        <v>4950</v>
      </c>
    </row>
    <row r="77" customFormat="false" ht="12.8" hidden="false" customHeight="false" outlineLevel="0" collapsed="false">
      <c r="B77" s="1" t="n">
        <v>26858</v>
      </c>
      <c r="C77" s="155" t="n">
        <v>43333</v>
      </c>
      <c r="D77" s="171" t="s">
        <v>22</v>
      </c>
      <c r="E77" s="5" t="s">
        <v>203</v>
      </c>
      <c r="F77" s="157" t="s">
        <v>625</v>
      </c>
      <c r="G77" s="5" t="n">
        <v>2</v>
      </c>
      <c r="H77" s="165" t="n">
        <v>54</v>
      </c>
      <c r="I77" s="165" t="n">
        <v>8</v>
      </c>
      <c r="J77" s="158" t="n">
        <v>54.02</v>
      </c>
      <c r="K77" s="199" t="n">
        <v>536659.9</v>
      </c>
      <c r="L77" s="200" t="n">
        <f aca="false">ROUND(K77/J77,2)</f>
        <v>9934.47</v>
      </c>
      <c r="M77" s="248" t="s">
        <v>4987</v>
      </c>
      <c r="N77" s="168"/>
      <c r="O77" s="168" t="n">
        <f aca="false">K77+N77</f>
        <v>536659.9</v>
      </c>
      <c r="P77" s="168" t="n">
        <f aca="false">ROUND(O77/J77,2)</f>
        <v>9934.47</v>
      </c>
      <c r="Q77" s="239" t="s">
        <v>1133</v>
      </c>
      <c r="R77" s="5" t="n">
        <v>2</v>
      </c>
      <c r="S77" s="169" t="s">
        <v>29</v>
      </c>
      <c r="T77" s="158" t="s">
        <v>1915</v>
      </c>
      <c r="U77" s="164" t="s">
        <v>31</v>
      </c>
      <c r="V77" s="35" t="s">
        <v>4910</v>
      </c>
      <c r="W77" s="1" t="s">
        <v>4973</v>
      </c>
    </row>
    <row r="78" customFormat="false" ht="12.8" hidden="false" customHeight="false" outlineLevel="0" collapsed="false">
      <c r="B78" s="1" t="n">
        <v>5603</v>
      </c>
      <c r="C78" s="155" t="n">
        <v>43339</v>
      </c>
      <c r="D78" s="171" t="s">
        <v>22</v>
      </c>
      <c r="E78" s="5" t="s">
        <v>1875</v>
      </c>
      <c r="F78" s="157" t="s">
        <v>4982</v>
      </c>
      <c r="G78" s="5" t="s">
        <v>139</v>
      </c>
      <c r="H78" s="165" t="n">
        <v>2</v>
      </c>
      <c r="I78" s="165" t="n">
        <v>1</v>
      </c>
      <c r="J78" s="158" t="n">
        <v>135.41</v>
      </c>
      <c r="K78" s="199" t="n">
        <v>1463010</v>
      </c>
      <c r="L78" s="200" t="n">
        <f aca="false">ROUND(K78/J78,2)</f>
        <v>10804.3</v>
      </c>
      <c r="M78" s="248" t="s">
        <v>1021</v>
      </c>
      <c r="N78" s="168"/>
      <c r="O78" s="168" t="n">
        <f aca="false">K78+N78</f>
        <v>1463010</v>
      </c>
      <c r="P78" s="168" t="n">
        <f aca="false">ROUND(O78/J78,2)</f>
        <v>10804.3</v>
      </c>
      <c r="Q78" s="239" t="s">
        <v>4988</v>
      </c>
      <c r="R78" s="5" t="n">
        <v>5</v>
      </c>
      <c r="S78" s="169" t="s">
        <v>29</v>
      </c>
      <c r="T78" s="158" t="s">
        <v>1915</v>
      </c>
      <c r="U78" s="164" t="s">
        <v>31</v>
      </c>
      <c r="V78" s="35" t="s">
        <v>4910</v>
      </c>
      <c r="W78" s="1" t="s">
        <v>4984</v>
      </c>
    </row>
    <row r="79" customFormat="false" ht="12.8" hidden="false" customHeight="false" outlineLevel="0" collapsed="false">
      <c r="B79" s="1" t="n">
        <v>5578</v>
      </c>
      <c r="C79" s="155" t="n">
        <v>43339</v>
      </c>
      <c r="D79" s="171" t="s">
        <v>22</v>
      </c>
      <c r="E79" s="5" t="s">
        <v>1875</v>
      </c>
      <c r="F79" s="157" t="s">
        <v>4982</v>
      </c>
      <c r="G79" s="5" t="s">
        <v>139</v>
      </c>
      <c r="H79" s="165" t="n">
        <v>5</v>
      </c>
      <c r="I79" s="165" t="n">
        <v>3</v>
      </c>
      <c r="J79" s="158" t="n">
        <v>70.01</v>
      </c>
      <c r="K79" s="199" t="n">
        <v>1135200</v>
      </c>
      <c r="L79" s="200" t="n">
        <f aca="false">ROUND(K79/J79,2)</f>
        <v>16214.83</v>
      </c>
      <c r="M79" s="248" t="s">
        <v>4960</v>
      </c>
      <c r="N79" s="168"/>
      <c r="O79" s="168" t="n">
        <f aca="false">K79+N79</f>
        <v>1135200</v>
      </c>
      <c r="P79" s="168" t="n">
        <f aca="false">ROUND(O79/J79,2)</f>
        <v>16214.83</v>
      </c>
      <c r="Q79" s="239" t="s">
        <v>4989</v>
      </c>
      <c r="R79" s="5" t="n">
        <v>3</v>
      </c>
      <c r="S79" s="169" t="s">
        <v>29</v>
      </c>
      <c r="T79" s="158" t="s">
        <v>1915</v>
      </c>
      <c r="U79" s="164" t="s">
        <v>31</v>
      </c>
      <c r="V79" s="35" t="s">
        <v>4910</v>
      </c>
      <c r="W79" s="1" t="s">
        <v>4984</v>
      </c>
    </row>
    <row r="80" customFormat="false" ht="12.8" hidden="false" customHeight="false" outlineLevel="0" collapsed="false">
      <c r="B80" s="1" t="n">
        <v>2723</v>
      </c>
      <c r="C80" s="155" t="n">
        <v>43340</v>
      </c>
      <c r="D80" s="171" t="s">
        <v>22</v>
      </c>
      <c r="E80" s="5" t="s">
        <v>156</v>
      </c>
      <c r="F80" s="157" t="s">
        <v>2225</v>
      </c>
      <c r="G80" s="5" t="n">
        <v>31</v>
      </c>
      <c r="H80" s="165" t="n">
        <v>5</v>
      </c>
      <c r="I80" s="165" t="n">
        <v>2</v>
      </c>
      <c r="J80" s="158" t="n">
        <v>44.17</v>
      </c>
      <c r="K80" s="199" t="n">
        <v>347760.9</v>
      </c>
      <c r="L80" s="200" t="n">
        <f aca="false">ROUND(K80/J80,2)</f>
        <v>7873.24</v>
      </c>
      <c r="M80" s="248"/>
      <c r="N80" s="168"/>
      <c r="O80" s="168" t="n">
        <f aca="false">K80+N80</f>
        <v>347760.9</v>
      </c>
      <c r="P80" s="168" t="n">
        <f aca="false">ROUND(O80/J80,2)</f>
        <v>7873.24</v>
      </c>
      <c r="Q80" s="239" t="s">
        <v>4990</v>
      </c>
      <c r="R80" s="5" t="n">
        <v>3</v>
      </c>
      <c r="S80" s="169" t="s">
        <v>29</v>
      </c>
      <c r="T80" s="158" t="s">
        <v>1915</v>
      </c>
      <c r="U80" s="164" t="s">
        <v>31</v>
      </c>
      <c r="V80" s="35" t="s">
        <v>4910</v>
      </c>
      <c r="W80" s="1" t="s">
        <v>4752</v>
      </c>
    </row>
    <row r="81" customFormat="false" ht="12.8" hidden="false" customHeight="false" outlineLevel="0" collapsed="false">
      <c r="B81" s="1" t="n">
        <v>8041</v>
      </c>
      <c r="C81" s="155" t="n">
        <v>43341</v>
      </c>
      <c r="D81" s="171" t="s">
        <v>22</v>
      </c>
      <c r="E81" s="5" t="s">
        <v>156</v>
      </c>
      <c r="F81" s="157" t="s">
        <v>2225</v>
      </c>
      <c r="G81" s="5" t="n">
        <v>33</v>
      </c>
      <c r="H81" s="165" t="n">
        <v>19</v>
      </c>
      <c r="I81" s="165" t="n">
        <v>3</v>
      </c>
      <c r="J81" s="158" t="n">
        <v>63.57</v>
      </c>
      <c r="K81" s="199" t="n">
        <v>484863.74</v>
      </c>
      <c r="L81" s="200" t="n">
        <f aca="false">ROUND(K81/J81,2)</f>
        <v>7627.24</v>
      </c>
      <c r="M81" s="248" t="s">
        <v>987</v>
      </c>
      <c r="N81" s="168"/>
      <c r="O81" s="168" t="n">
        <f aca="false">K81+N81</f>
        <v>484863.74</v>
      </c>
      <c r="P81" s="168" t="n">
        <f aca="false">ROUND(O81/J81,2)</f>
        <v>7627.24</v>
      </c>
      <c r="Q81" s="239" t="s">
        <v>4991</v>
      </c>
      <c r="R81" s="5" t="n">
        <v>4</v>
      </c>
      <c r="S81" s="169" t="s">
        <v>29</v>
      </c>
      <c r="T81" s="158" t="s">
        <v>1915</v>
      </c>
      <c r="U81" s="164" t="s">
        <v>31</v>
      </c>
      <c r="V81" s="35" t="s">
        <v>4910</v>
      </c>
      <c r="W81" s="1" t="s">
        <v>4752</v>
      </c>
    </row>
    <row r="82" customFormat="false" ht="12.8" hidden="false" customHeight="false" outlineLevel="0" collapsed="false">
      <c r="B82" s="1" t="n">
        <v>15229</v>
      </c>
      <c r="C82" s="155" t="n">
        <v>43341</v>
      </c>
      <c r="D82" s="171" t="s">
        <v>22</v>
      </c>
      <c r="E82" s="5" t="s">
        <v>42</v>
      </c>
      <c r="F82" s="157" t="s">
        <v>24</v>
      </c>
      <c r="G82" s="5" t="n">
        <v>7</v>
      </c>
      <c r="H82" s="165" t="n">
        <v>1</v>
      </c>
      <c r="I82" s="165" t="n">
        <v>1</v>
      </c>
      <c r="J82" s="158" t="n">
        <v>47.79</v>
      </c>
      <c r="K82" s="199" t="n">
        <v>469000</v>
      </c>
      <c r="L82" s="200" t="n">
        <f aca="false">ROUND(K82/J82,2)</f>
        <v>9813.77</v>
      </c>
      <c r="M82" s="248" t="s">
        <v>4992</v>
      </c>
      <c r="N82" s="168" t="n">
        <v>30000</v>
      </c>
      <c r="O82" s="168" t="n">
        <f aca="false">K82+N82</f>
        <v>499000</v>
      </c>
      <c r="P82" s="168" t="n">
        <f aca="false">ROUND(O82/J82,2)</f>
        <v>10441.51</v>
      </c>
      <c r="Q82" s="239" t="s">
        <v>4993</v>
      </c>
      <c r="R82" s="5" t="n">
        <v>2</v>
      </c>
      <c r="S82" s="169" t="s">
        <v>29</v>
      </c>
      <c r="T82" s="158" t="s">
        <v>1915</v>
      </c>
      <c r="U82" s="164" t="s">
        <v>31</v>
      </c>
      <c r="V82" s="35" t="s">
        <v>4910</v>
      </c>
      <c r="W82" s="1" t="s">
        <v>4994</v>
      </c>
    </row>
    <row r="83" customFormat="false" ht="12.8" hidden="false" customHeight="false" outlineLevel="0" collapsed="false">
      <c r="B83" s="1" t="n">
        <v>8053</v>
      </c>
      <c r="C83" s="155" t="n">
        <v>43341</v>
      </c>
      <c r="D83" s="171" t="s">
        <v>22</v>
      </c>
      <c r="E83" s="5" t="s">
        <v>156</v>
      </c>
      <c r="F83" s="157" t="s">
        <v>2225</v>
      </c>
      <c r="G83" s="5" t="n">
        <v>31</v>
      </c>
      <c r="H83" s="165" t="n">
        <v>14</v>
      </c>
      <c r="I83" s="165" t="n">
        <v>2</v>
      </c>
      <c r="J83" s="158" t="n">
        <v>72.77</v>
      </c>
      <c r="K83" s="199" t="n">
        <v>582869.64</v>
      </c>
      <c r="L83" s="200" t="n">
        <f aca="false">ROUND(K83/J83,2)</f>
        <v>8009.75</v>
      </c>
      <c r="M83" s="248" t="s">
        <v>4995</v>
      </c>
      <c r="N83" s="168"/>
      <c r="O83" s="168" t="n">
        <f aca="false">K83+N83</f>
        <v>582869.64</v>
      </c>
      <c r="P83" s="168" t="n">
        <f aca="false">ROUND(O83/J83,2)</f>
        <v>8009.75</v>
      </c>
      <c r="Q83" s="239" t="s">
        <v>4996</v>
      </c>
      <c r="R83" s="5" t="n">
        <v>5</v>
      </c>
      <c r="S83" s="169" t="s">
        <v>29</v>
      </c>
      <c r="T83" s="158" t="s">
        <v>1915</v>
      </c>
      <c r="U83" s="164" t="s">
        <v>31</v>
      </c>
      <c r="V83" s="35" t="s">
        <v>4910</v>
      </c>
      <c r="W83" s="1" t="s">
        <v>4752</v>
      </c>
    </row>
    <row r="84" customFormat="false" ht="12.8" hidden="false" customHeight="false" outlineLevel="0" collapsed="false">
      <c r="B84" s="1" t="n">
        <v>6864</v>
      </c>
      <c r="C84" s="155" t="n">
        <v>43341</v>
      </c>
      <c r="D84" s="171" t="s">
        <v>22</v>
      </c>
      <c r="E84" s="5" t="s">
        <v>350</v>
      </c>
      <c r="F84" s="157" t="s">
        <v>351</v>
      </c>
      <c r="G84" s="5" t="n">
        <v>3</v>
      </c>
      <c r="H84" s="165" t="n">
        <v>1</v>
      </c>
      <c r="I84" s="165" t="n">
        <v>2</v>
      </c>
      <c r="J84" s="158" t="n">
        <v>59.39</v>
      </c>
      <c r="K84" s="199" t="n">
        <v>500000</v>
      </c>
      <c r="L84" s="200" t="n">
        <f aca="false">ROUND(K84/J84,2)</f>
        <v>8418.93</v>
      </c>
      <c r="M84" s="248"/>
      <c r="N84" s="168"/>
      <c r="O84" s="168" t="n">
        <f aca="false">K84+N84</f>
        <v>500000</v>
      </c>
      <c r="P84" s="168" t="n">
        <f aca="false">ROUND(O84/J84,2)</f>
        <v>8418.93</v>
      </c>
      <c r="Q84" s="239" t="s">
        <v>4997</v>
      </c>
      <c r="R84" s="5" t="n">
        <v>2</v>
      </c>
      <c r="S84" s="169" t="s">
        <v>29</v>
      </c>
      <c r="T84" s="158" t="s">
        <v>1915</v>
      </c>
      <c r="U84" s="164" t="s">
        <v>31</v>
      </c>
      <c r="V84" s="35" t="s">
        <v>4910</v>
      </c>
      <c r="W84" s="1" t="s">
        <v>4946</v>
      </c>
    </row>
    <row r="85" customFormat="false" ht="12.8" hidden="false" customHeight="false" outlineLevel="0" collapsed="false">
      <c r="B85" s="1" t="n">
        <v>27806</v>
      </c>
      <c r="C85" s="155" t="n">
        <v>43342</v>
      </c>
      <c r="D85" s="171" t="s">
        <v>22</v>
      </c>
      <c r="E85" s="5" t="s">
        <v>522</v>
      </c>
      <c r="F85" s="157" t="s">
        <v>523</v>
      </c>
      <c r="G85" s="5" t="n">
        <v>13</v>
      </c>
      <c r="H85" s="165" t="n">
        <v>28</v>
      </c>
      <c r="I85" s="165" t="n">
        <v>7</v>
      </c>
      <c r="J85" s="158" t="n">
        <v>54.78</v>
      </c>
      <c r="K85" s="199" t="n">
        <v>528889.03</v>
      </c>
      <c r="L85" s="200" t="n">
        <f aca="false">ROUND(K85/J85,2)</f>
        <v>9654.78</v>
      </c>
      <c r="M85" s="248" t="s">
        <v>4998</v>
      </c>
      <c r="N85" s="168" t="n">
        <v>32000</v>
      </c>
      <c r="O85" s="168" t="n">
        <f aca="false">K85+N85</f>
        <v>560889.03</v>
      </c>
      <c r="P85" s="168" t="n">
        <f aca="false">ROUND(O85/J85,2)</f>
        <v>10238.94</v>
      </c>
      <c r="Q85" s="239" t="s">
        <v>1128</v>
      </c>
      <c r="R85" s="5" t="n">
        <v>3</v>
      </c>
      <c r="S85" s="169" t="s">
        <v>29</v>
      </c>
      <c r="T85" s="158" t="s">
        <v>1915</v>
      </c>
      <c r="U85" s="164" t="s">
        <v>31</v>
      </c>
      <c r="V85" s="35" t="s">
        <v>4910</v>
      </c>
      <c r="W85" s="1" t="s">
        <v>4999</v>
      </c>
    </row>
    <row r="86" customFormat="false" ht="12.8" hidden="false" customHeight="false" outlineLevel="0" collapsed="false">
      <c r="B86" s="1" t="n">
        <v>7468</v>
      </c>
      <c r="C86" s="155" t="n">
        <v>43342</v>
      </c>
      <c r="D86" s="171" t="s">
        <v>22</v>
      </c>
      <c r="E86" s="5" t="s">
        <v>319</v>
      </c>
      <c r="F86" s="157" t="s">
        <v>320</v>
      </c>
      <c r="G86" s="5" t="s">
        <v>752</v>
      </c>
      <c r="H86" s="165" t="n">
        <v>8</v>
      </c>
      <c r="I86" s="165" t="n">
        <v>3</v>
      </c>
      <c r="J86" s="158" t="n">
        <v>47.99</v>
      </c>
      <c r="K86" s="199" t="n">
        <v>407915</v>
      </c>
      <c r="L86" s="200" t="n">
        <f aca="false">ROUND(K86/J86,2)</f>
        <v>8500</v>
      </c>
      <c r="M86" s="248" t="s">
        <v>1235</v>
      </c>
      <c r="N86" s="168" t="n">
        <f aca="false">9535.61+3240</f>
        <v>12775.61</v>
      </c>
      <c r="O86" s="168" t="n">
        <f aca="false">K86+N86</f>
        <v>420690.61</v>
      </c>
      <c r="P86" s="168" t="n">
        <f aca="false">ROUND(O86/J86,2)</f>
        <v>8766.21</v>
      </c>
      <c r="Q86" s="239" t="s">
        <v>701</v>
      </c>
      <c r="R86" s="5" t="n">
        <v>3</v>
      </c>
      <c r="S86" s="169" t="s">
        <v>29</v>
      </c>
      <c r="T86" s="158" t="s">
        <v>1915</v>
      </c>
      <c r="U86" s="164" t="s">
        <v>31</v>
      </c>
      <c r="V86" s="35" t="s">
        <v>4910</v>
      </c>
      <c r="W86" s="1" t="s">
        <v>4968</v>
      </c>
    </row>
    <row r="87" s="249" customFormat="true" ht="23.85" hidden="false" customHeight="false" outlineLevel="0" collapsed="false">
      <c r="A87" s="1"/>
      <c r="B87" s="1" t="n">
        <v>12731</v>
      </c>
      <c r="C87" s="155" t="n">
        <v>43356</v>
      </c>
      <c r="D87" s="171" t="s">
        <v>22</v>
      </c>
      <c r="E87" s="5" t="s">
        <v>156</v>
      </c>
      <c r="F87" s="157" t="s">
        <v>157</v>
      </c>
      <c r="G87" s="5" t="s">
        <v>748</v>
      </c>
      <c r="H87" s="165" t="n">
        <v>11</v>
      </c>
      <c r="I87" s="165" t="n">
        <v>3</v>
      </c>
      <c r="J87" s="158" t="n">
        <v>51.15</v>
      </c>
      <c r="K87" s="199" t="n">
        <v>483550</v>
      </c>
      <c r="L87" s="200" t="n">
        <f aca="false">ROUND(K87/J87,2)</f>
        <v>9453.57</v>
      </c>
      <c r="M87" s="248" t="s">
        <v>987</v>
      </c>
      <c r="N87" s="168" t="n">
        <v>18450</v>
      </c>
      <c r="O87" s="168" t="n">
        <f aca="false">K87+N87</f>
        <v>502000</v>
      </c>
      <c r="P87" s="168" t="n">
        <f aca="false">ROUND(O87/J87,2)</f>
        <v>9814.27</v>
      </c>
      <c r="Q87" s="239" t="s">
        <v>1133</v>
      </c>
      <c r="R87" s="5" t="n">
        <v>2</v>
      </c>
      <c r="S87" s="169" t="s">
        <v>29</v>
      </c>
      <c r="T87" s="158" t="s">
        <v>1915</v>
      </c>
      <c r="U87" s="164" t="s">
        <v>31</v>
      </c>
      <c r="V87" s="35" t="s">
        <v>4910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customFormat="false" ht="12.8" hidden="false" customHeight="false" outlineLevel="0" collapsed="false">
      <c r="B88" s="1" t="n">
        <v>4788</v>
      </c>
      <c r="C88" s="155" t="n">
        <v>43360</v>
      </c>
      <c r="D88" s="171" t="s">
        <v>22</v>
      </c>
      <c r="E88" s="5" t="s">
        <v>623</v>
      </c>
      <c r="F88" s="285" t="s">
        <v>272</v>
      </c>
      <c r="G88" s="5" t="s">
        <v>217</v>
      </c>
      <c r="H88" s="165" t="s">
        <v>5000</v>
      </c>
      <c r="I88" s="227" t="s">
        <v>5001</v>
      </c>
      <c r="J88" s="158" t="n">
        <v>143.65</v>
      </c>
      <c r="K88" s="159" t="n">
        <v>1060693.04</v>
      </c>
      <c r="L88" s="166" t="n">
        <f aca="false">K88/J88</f>
        <v>7383.87079707623</v>
      </c>
      <c r="M88" s="287" t="s">
        <v>5002</v>
      </c>
      <c r="N88" s="163" t="n">
        <v>18450</v>
      </c>
      <c r="O88" s="163" t="n">
        <f aca="false">K88+N88</f>
        <v>1079143.04</v>
      </c>
      <c r="P88" s="163" t="n">
        <f aca="false">O88/J88</f>
        <v>7512.30797076227</v>
      </c>
      <c r="Q88" s="288" t="s">
        <v>859</v>
      </c>
      <c r="R88" s="5" t="s">
        <v>49</v>
      </c>
      <c r="S88" s="169" t="s">
        <v>29</v>
      </c>
      <c r="T88" s="158" t="s">
        <v>1915</v>
      </c>
      <c r="U88" s="164" t="s">
        <v>31</v>
      </c>
      <c r="V88" s="164" t="s">
        <v>4894</v>
      </c>
      <c r="W88" s="1" t="s">
        <v>5003</v>
      </c>
    </row>
    <row r="89" customFormat="false" ht="12.8" hidden="false" customHeight="false" outlineLevel="0" collapsed="false">
      <c r="B89" s="1" t="n">
        <v>7530</v>
      </c>
      <c r="C89" s="155" t="n">
        <v>43362</v>
      </c>
      <c r="D89" s="171" t="s">
        <v>22</v>
      </c>
      <c r="E89" s="5" t="s">
        <v>623</v>
      </c>
      <c r="F89" s="285" t="s">
        <v>272</v>
      </c>
      <c r="G89" s="5" t="s">
        <v>3113</v>
      </c>
      <c r="H89" s="165" t="s">
        <v>5004</v>
      </c>
      <c r="I89" s="227" t="s">
        <v>111</v>
      </c>
      <c r="J89" s="158" t="n">
        <v>48.73</v>
      </c>
      <c r="K89" s="159" t="n">
        <v>439375.08</v>
      </c>
      <c r="L89" s="166" t="n">
        <f aca="false">K89/J89</f>
        <v>9016.52123948286</v>
      </c>
      <c r="M89" s="287" t="s">
        <v>5005</v>
      </c>
      <c r="N89" s="163"/>
      <c r="O89" s="163" t="n">
        <f aca="false">K89+N89</f>
        <v>439375.08</v>
      </c>
      <c r="P89" s="163" t="n">
        <f aca="false">O89/J89</f>
        <v>9016.52123948286</v>
      </c>
      <c r="Q89" s="288" t="s">
        <v>5006</v>
      </c>
      <c r="R89" s="5" t="s">
        <v>36</v>
      </c>
      <c r="S89" s="169" t="s">
        <v>29</v>
      </c>
      <c r="T89" s="158" t="s">
        <v>1915</v>
      </c>
      <c r="U89" s="164" t="s">
        <v>31</v>
      </c>
      <c r="V89" s="164" t="s">
        <v>4894</v>
      </c>
      <c r="W89" s="1" t="s">
        <v>4944</v>
      </c>
    </row>
    <row r="90" customFormat="false" ht="12.8" hidden="false" customHeight="false" outlineLevel="0" collapsed="false">
      <c r="B90" s="1" t="n">
        <v>7512</v>
      </c>
      <c r="C90" s="155" t="n">
        <v>43362</v>
      </c>
      <c r="D90" s="171" t="s">
        <v>22</v>
      </c>
      <c r="E90" s="5" t="s">
        <v>433</v>
      </c>
      <c r="F90" s="285" t="s">
        <v>434</v>
      </c>
      <c r="G90" s="5" t="s">
        <v>82</v>
      </c>
      <c r="H90" s="165" t="s">
        <v>596</v>
      </c>
      <c r="I90" s="227" t="s">
        <v>26</v>
      </c>
      <c r="J90" s="158" t="n">
        <v>68.51</v>
      </c>
      <c r="K90" s="159" t="n">
        <v>564303</v>
      </c>
      <c r="L90" s="166" t="n">
        <f aca="false">K90/J90</f>
        <v>8236.79754780324</v>
      </c>
      <c r="M90" s="287" t="s">
        <v>940</v>
      </c>
      <c r="N90" s="163" t="n">
        <v>5000</v>
      </c>
      <c r="O90" s="163" t="n">
        <f aca="false">K90+N90</f>
        <v>569303</v>
      </c>
      <c r="P90" s="163" t="n">
        <f aca="false">O90/J90</f>
        <v>8309.77959421982</v>
      </c>
      <c r="Q90" s="288" t="s">
        <v>5007</v>
      </c>
      <c r="R90" s="5" t="s">
        <v>26</v>
      </c>
      <c r="S90" s="169" t="s">
        <v>29</v>
      </c>
      <c r="T90" s="158" t="s">
        <v>1915</v>
      </c>
      <c r="U90" s="164" t="s">
        <v>31</v>
      </c>
      <c r="V90" s="164" t="s">
        <v>4894</v>
      </c>
      <c r="W90" s="1" t="s">
        <v>4933</v>
      </c>
    </row>
    <row r="91" customFormat="false" ht="12" hidden="false" customHeight="true" outlineLevel="0" collapsed="false">
      <c r="B91" s="1" t="n">
        <v>7549</v>
      </c>
      <c r="C91" s="155" t="n">
        <v>43362</v>
      </c>
      <c r="D91" s="171" t="s">
        <v>22</v>
      </c>
      <c r="E91" s="5" t="s">
        <v>623</v>
      </c>
      <c r="F91" s="285" t="s">
        <v>272</v>
      </c>
      <c r="G91" s="5" t="s">
        <v>3113</v>
      </c>
      <c r="H91" s="165" t="s">
        <v>684</v>
      </c>
      <c r="I91" s="227" t="s">
        <v>36</v>
      </c>
      <c r="J91" s="158" t="n">
        <v>49.55</v>
      </c>
      <c r="K91" s="159" t="n">
        <v>391688</v>
      </c>
      <c r="L91" s="166" t="n">
        <f aca="false">K91/J91</f>
        <v>7904.90413723512</v>
      </c>
      <c r="M91" s="287" t="s">
        <v>5008</v>
      </c>
      <c r="N91" s="163" t="n">
        <v>33000</v>
      </c>
      <c r="O91" s="163" t="n">
        <f aca="false">K91+N91</f>
        <v>424688</v>
      </c>
      <c r="P91" s="163" t="n">
        <f aca="false">O91/J91</f>
        <v>8570.8980827447</v>
      </c>
      <c r="Q91" s="288" t="s">
        <v>5009</v>
      </c>
      <c r="R91" s="5" t="s">
        <v>36</v>
      </c>
      <c r="S91" s="169" t="s">
        <v>29</v>
      </c>
      <c r="T91" s="158" t="s">
        <v>1915</v>
      </c>
      <c r="U91" s="164" t="s">
        <v>31</v>
      </c>
      <c r="V91" s="164" t="s">
        <v>4894</v>
      </c>
      <c r="W91" s="1" t="s">
        <v>5010</v>
      </c>
    </row>
    <row r="92" customFormat="false" ht="12.8" hidden="false" customHeight="false" outlineLevel="0" collapsed="false">
      <c r="B92" s="1" t="n">
        <v>5088</v>
      </c>
      <c r="C92" s="155" t="n">
        <v>43363</v>
      </c>
      <c r="D92" s="171" t="s">
        <v>22</v>
      </c>
      <c r="E92" s="5" t="s">
        <v>156</v>
      </c>
      <c r="F92" s="157" t="s">
        <v>2225</v>
      </c>
      <c r="G92" s="5" t="s">
        <v>464</v>
      </c>
      <c r="H92" s="165" t="s">
        <v>49</v>
      </c>
      <c r="I92" s="165" t="s">
        <v>27</v>
      </c>
      <c r="J92" s="158" t="n">
        <v>56.06</v>
      </c>
      <c r="K92" s="159" t="n">
        <v>430952.97</v>
      </c>
      <c r="L92" s="166" t="n">
        <f aca="false">K92/J92</f>
        <v>7687.35230110596</v>
      </c>
      <c r="M92" s="248"/>
      <c r="N92" s="163"/>
      <c r="O92" s="163" t="n">
        <f aca="false">K92+N92</f>
        <v>430952.97</v>
      </c>
      <c r="P92" s="163" t="n">
        <f aca="false">O92/J92</f>
        <v>7687.35230110596</v>
      </c>
      <c r="Q92" s="239" t="s">
        <v>5011</v>
      </c>
      <c r="R92" s="5" t="s">
        <v>36</v>
      </c>
      <c r="S92" s="169" t="s">
        <v>29</v>
      </c>
      <c r="T92" s="158" t="s">
        <v>1915</v>
      </c>
      <c r="U92" s="164" t="s">
        <v>31</v>
      </c>
      <c r="V92" s="164" t="s">
        <v>4894</v>
      </c>
      <c r="W92" s="1" t="s">
        <v>4752</v>
      </c>
    </row>
    <row r="93" customFormat="false" ht="12.8" hidden="false" customHeight="false" outlineLevel="0" collapsed="false">
      <c r="B93" s="1" t="n">
        <v>5132</v>
      </c>
      <c r="C93" s="155" t="n">
        <v>43363</v>
      </c>
      <c r="D93" s="171" t="s">
        <v>22</v>
      </c>
      <c r="E93" s="5" t="s">
        <v>156</v>
      </c>
      <c r="F93" s="157" t="s">
        <v>2225</v>
      </c>
      <c r="G93" s="5" t="s">
        <v>217</v>
      </c>
      <c r="H93" s="165" t="s">
        <v>336</v>
      </c>
      <c r="I93" s="165" t="s">
        <v>26</v>
      </c>
      <c r="J93" s="158" t="n">
        <v>37.57</v>
      </c>
      <c r="K93" s="159" t="n">
        <v>325222.25</v>
      </c>
      <c r="L93" s="166" t="n">
        <f aca="false">K93/J93</f>
        <v>8656.43465531009</v>
      </c>
      <c r="M93" s="248"/>
      <c r="N93" s="163"/>
      <c r="O93" s="163" t="n">
        <f aca="false">K93+N93</f>
        <v>325222.25</v>
      </c>
      <c r="P93" s="163" t="n">
        <f aca="false">O93/J93</f>
        <v>8656.43465531009</v>
      </c>
      <c r="Q93" s="239" t="s">
        <v>5012</v>
      </c>
      <c r="R93" s="5" t="s">
        <v>27</v>
      </c>
      <c r="S93" s="169" t="s">
        <v>29</v>
      </c>
      <c r="T93" s="158" t="s">
        <v>1915</v>
      </c>
      <c r="U93" s="164" t="s">
        <v>31</v>
      </c>
      <c r="V93" s="164" t="s">
        <v>4894</v>
      </c>
      <c r="W93" s="1" t="s">
        <v>4752</v>
      </c>
    </row>
    <row r="94" customFormat="false" ht="12.8" hidden="false" customHeight="false" outlineLevel="0" collapsed="false">
      <c r="B94" s="1" t="n">
        <v>5118</v>
      </c>
      <c r="C94" s="155" t="n">
        <v>43363</v>
      </c>
      <c r="D94" s="171" t="s">
        <v>22</v>
      </c>
      <c r="E94" s="5" t="s">
        <v>156</v>
      </c>
      <c r="F94" s="157" t="s">
        <v>2225</v>
      </c>
      <c r="G94" s="5" t="s">
        <v>217</v>
      </c>
      <c r="H94" s="165" t="s">
        <v>141</v>
      </c>
      <c r="I94" s="165" t="s">
        <v>26</v>
      </c>
      <c r="J94" s="158" t="n">
        <v>43.36</v>
      </c>
      <c r="K94" s="159" t="n">
        <v>354572.94</v>
      </c>
      <c r="L94" s="166" t="n">
        <f aca="false">K94/J94</f>
        <v>8177.42020295203</v>
      </c>
      <c r="M94" s="248"/>
      <c r="N94" s="163"/>
      <c r="O94" s="163" t="n">
        <f aca="false">K94+N94</f>
        <v>354572.94</v>
      </c>
      <c r="P94" s="163" t="n">
        <f aca="false">O94/J94</f>
        <v>8177.42020295203</v>
      </c>
      <c r="Q94" s="239" t="s">
        <v>5013</v>
      </c>
      <c r="R94" s="5" t="s">
        <v>36</v>
      </c>
      <c r="S94" s="169" t="s">
        <v>29</v>
      </c>
      <c r="T94" s="158" t="s">
        <v>1915</v>
      </c>
      <c r="U94" s="164" t="s">
        <v>31</v>
      </c>
      <c r="V94" s="164" t="s">
        <v>4894</v>
      </c>
      <c r="W94" s="1" t="s">
        <v>4752</v>
      </c>
    </row>
    <row r="95" s="32" customFormat="true" ht="12.8" hidden="false" customHeight="false" outlineLevel="0" collapsed="false">
      <c r="A95" s="1"/>
      <c r="B95" s="1" t="n">
        <v>5095</v>
      </c>
      <c r="C95" s="155" t="n">
        <v>43363</v>
      </c>
      <c r="D95" s="171" t="s">
        <v>22</v>
      </c>
      <c r="E95" s="5" t="s">
        <v>156</v>
      </c>
      <c r="F95" s="157" t="s">
        <v>2225</v>
      </c>
      <c r="G95" s="5" t="s">
        <v>217</v>
      </c>
      <c r="H95" s="165" t="s">
        <v>135</v>
      </c>
      <c r="I95" s="165" t="s">
        <v>36</v>
      </c>
      <c r="J95" s="158" t="n">
        <v>43.99</v>
      </c>
      <c r="K95" s="159" t="n">
        <v>346418.12</v>
      </c>
      <c r="L95" s="166" t="n">
        <f aca="false">K95/J95</f>
        <v>7874.92884746533</v>
      </c>
      <c r="M95" s="248"/>
      <c r="N95" s="163"/>
      <c r="O95" s="163" t="n">
        <f aca="false">K95+N95</f>
        <v>346418.12</v>
      </c>
      <c r="P95" s="163" t="n">
        <f aca="false">O95/J95</f>
        <v>7874.92884746533</v>
      </c>
      <c r="Q95" s="239" t="s">
        <v>5014</v>
      </c>
      <c r="R95" s="5" t="s">
        <v>36</v>
      </c>
      <c r="S95" s="169" t="s">
        <v>29</v>
      </c>
      <c r="T95" s="158" t="s">
        <v>1915</v>
      </c>
      <c r="U95" s="164" t="s">
        <v>31</v>
      </c>
      <c r="V95" s="164" t="s">
        <v>4894</v>
      </c>
      <c r="W95" s="1" t="s">
        <v>4752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customFormat="false" ht="12.8" hidden="false" customHeight="false" outlineLevel="0" collapsed="false">
      <c r="B96" s="1" t="n">
        <v>8376</v>
      </c>
      <c r="C96" s="3" t="n">
        <v>43367</v>
      </c>
      <c r="D96" s="171" t="s">
        <v>22</v>
      </c>
      <c r="E96" s="8" t="s">
        <v>407</v>
      </c>
      <c r="F96" s="1" t="s">
        <v>4911</v>
      </c>
      <c r="G96" s="2" t="n">
        <v>14</v>
      </c>
      <c r="H96" s="2" t="s">
        <v>5015</v>
      </c>
      <c r="I96" s="2" t="s">
        <v>887</v>
      </c>
      <c r="J96" s="276" t="n">
        <v>168.16</v>
      </c>
      <c r="K96" s="6" t="n">
        <v>1758318</v>
      </c>
      <c r="L96" s="166" t="n">
        <f aca="false">K96/J96</f>
        <v>10456.2202664129</v>
      </c>
      <c r="N96" s="6"/>
      <c r="O96" s="163" t="n">
        <f aca="false">K96+N96</f>
        <v>1758318</v>
      </c>
      <c r="P96" s="163" t="n">
        <f aca="false">O96/J96</f>
        <v>10456.2202664129</v>
      </c>
      <c r="Q96" s="1" t="s">
        <v>5016</v>
      </c>
      <c r="R96" s="2" t="n">
        <v>4</v>
      </c>
      <c r="S96" s="169" t="s">
        <v>29</v>
      </c>
      <c r="T96" s="158" t="s">
        <v>1915</v>
      </c>
      <c r="U96" s="164" t="s">
        <v>31</v>
      </c>
      <c r="V96" s="164" t="s">
        <v>4894</v>
      </c>
      <c r="W96" s="1" t="s">
        <v>5017</v>
      </c>
    </row>
    <row r="97" customFormat="false" ht="12.8" hidden="false" customHeight="false" outlineLevel="0" collapsed="false">
      <c r="B97" s="1" t="n">
        <v>7636</v>
      </c>
      <c r="C97" s="3" t="n">
        <v>43367</v>
      </c>
      <c r="D97" s="171" t="s">
        <v>22</v>
      </c>
      <c r="E97" s="8" t="s">
        <v>623</v>
      </c>
      <c r="F97" s="1" t="s">
        <v>272</v>
      </c>
      <c r="G97" s="2" t="s">
        <v>3113</v>
      </c>
      <c r="H97" s="2" t="n">
        <v>170</v>
      </c>
      <c r="I97" s="2" t="n">
        <v>4</v>
      </c>
      <c r="J97" s="276" t="n">
        <v>48.56</v>
      </c>
      <c r="K97" s="6" t="n">
        <v>397706.89</v>
      </c>
      <c r="L97" s="166" t="n">
        <f aca="false">K97/J97</f>
        <v>8190.01009060955</v>
      </c>
      <c r="M97" s="1" t="s">
        <v>940</v>
      </c>
      <c r="N97" s="6" t="n">
        <v>6500</v>
      </c>
      <c r="O97" s="163" t="n">
        <f aca="false">K97+N97</f>
        <v>404206.89</v>
      </c>
      <c r="P97" s="163" t="n">
        <f aca="false">O97/J97</f>
        <v>8323.86511532125</v>
      </c>
      <c r="Q97" s="2" t="s">
        <v>5018</v>
      </c>
      <c r="R97" s="2" t="n">
        <v>1</v>
      </c>
      <c r="S97" s="169" t="s">
        <v>29</v>
      </c>
      <c r="T97" s="158" t="s">
        <v>1915</v>
      </c>
      <c r="U97" s="164" t="s">
        <v>31</v>
      </c>
      <c r="V97" s="164" t="s">
        <v>4894</v>
      </c>
      <c r="W97" s="1" t="s">
        <v>4944</v>
      </c>
    </row>
    <row r="98" customFormat="false" ht="12.8" hidden="false" customHeight="false" outlineLevel="0" collapsed="false">
      <c r="B98" s="1" t="n">
        <v>5235</v>
      </c>
      <c r="C98" s="155" t="n">
        <v>43368</v>
      </c>
      <c r="D98" s="171" t="s">
        <v>22</v>
      </c>
      <c r="E98" s="5" t="s">
        <v>156</v>
      </c>
      <c r="F98" s="157" t="s">
        <v>2225</v>
      </c>
      <c r="G98" s="5" t="s">
        <v>464</v>
      </c>
      <c r="H98" s="165" t="s">
        <v>154</v>
      </c>
      <c r="I98" s="165" t="s">
        <v>26</v>
      </c>
      <c r="J98" s="158" t="n">
        <v>43.69</v>
      </c>
      <c r="K98" s="159" t="n">
        <v>352987.74</v>
      </c>
      <c r="L98" s="166" t="n">
        <f aca="false">K98/J98</f>
        <v>8079.37148088807</v>
      </c>
      <c r="M98" s="248"/>
      <c r="N98" s="163"/>
      <c r="O98" s="163" t="n">
        <f aca="false">K98+N98</f>
        <v>352987.74</v>
      </c>
      <c r="P98" s="163" t="n">
        <f aca="false">O98/J98</f>
        <v>8079.37148088807</v>
      </c>
      <c r="Q98" s="239" t="s">
        <v>5019</v>
      </c>
      <c r="R98" s="5" t="s">
        <v>36</v>
      </c>
      <c r="S98" s="169" t="s">
        <v>29</v>
      </c>
      <c r="T98" s="158" t="s">
        <v>1915</v>
      </c>
      <c r="U98" s="164" t="s">
        <v>31</v>
      </c>
      <c r="V98" s="164" t="s">
        <v>4894</v>
      </c>
      <c r="W98" s="1" t="s">
        <v>4752</v>
      </c>
    </row>
    <row r="99" customFormat="false" ht="12.8" hidden="false" customHeight="false" outlineLevel="0" collapsed="false">
      <c r="B99" s="1" t="n">
        <v>5320</v>
      </c>
      <c r="C99" s="155" t="n">
        <v>43369</v>
      </c>
      <c r="D99" s="171" t="s">
        <v>22</v>
      </c>
      <c r="E99" s="5" t="s">
        <v>156</v>
      </c>
      <c r="F99" s="157" t="s">
        <v>2225</v>
      </c>
      <c r="G99" s="5" t="s">
        <v>217</v>
      </c>
      <c r="H99" s="165" t="s">
        <v>217</v>
      </c>
      <c r="I99" s="165" t="s">
        <v>49</v>
      </c>
      <c r="J99" s="158" t="n">
        <v>62.93</v>
      </c>
      <c r="K99" s="159" t="n">
        <v>541364.67</v>
      </c>
      <c r="L99" s="166" t="n">
        <f aca="false">K99/J99</f>
        <v>8602.64849833148</v>
      </c>
      <c r="M99" s="248"/>
      <c r="N99" s="163"/>
      <c r="O99" s="163" t="n">
        <f aca="false">K99+N99</f>
        <v>541364.67</v>
      </c>
      <c r="P99" s="163" t="n">
        <f aca="false">O99/J99</f>
        <v>8602.64849833148</v>
      </c>
      <c r="Q99" s="239" t="s">
        <v>5020</v>
      </c>
      <c r="R99" s="5" t="s">
        <v>26</v>
      </c>
      <c r="S99" s="169" t="s">
        <v>29</v>
      </c>
      <c r="T99" s="158" t="s">
        <v>1915</v>
      </c>
      <c r="U99" s="164" t="s">
        <v>31</v>
      </c>
      <c r="V99" s="164" t="s">
        <v>4894</v>
      </c>
      <c r="W99" s="1" t="s">
        <v>4752</v>
      </c>
    </row>
    <row r="100" customFormat="false" ht="12.8" hidden="false" customHeight="false" outlineLevel="0" collapsed="false">
      <c r="B100" s="1" t="n">
        <v>13674</v>
      </c>
      <c r="C100" s="155" t="n">
        <v>43369</v>
      </c>
      <c r="D100" s="171" t="s">
        <v>22</v>
      </c>
      <c r="E100" s="5" t="s">
        <v>23</v>
      </c>
      <c r="F100" s="285" t="s">
        <v>43</v>
      </c>
      <c r="G100" s="5" t="s">
        <v>48</v>
      </c>
      <c r="H100" s="165" t="s">
        <v>78</v>
      </c>
      <c r="I100" s="227" t="s">
        <v>25</v>
      </c>
      <c r="J100" s="158" t="n">
        <v>72.42</v>
      </c>
      <c r="K100" s="159" t="n">
        <v>1231140</v>
      </c>
      <c r="L100" s="166" t="n">
        <f aca="false">K100/J100</f>
        <v>17000</v>
      </c>
      <c r="M100" s="287" t="s">
        <v>5021</v>
      </c>
      <c r="N100" s="163" t="n">
        <v>64350</v>
      </c>
      <c r="O100" s="163" t="n">
        <f aca="false">K100+N100</f>
        <v>1295490</v>
      </c>
      <c r="P100" s="163" t="n">
        <f aca="false">O100/J100</f>
        <v>17888.5666942833</v>
      </c>
      <c r="Q100" s="288" t="s">
        <v>5022</v>
      </c>
      <c r="R100" s="5" t="s">
        <v>26</v>
      </c>
      <c r="S100" s="169" t="s">
        <v>29</v>
      </c>
      <c r="T100" s="158" t="s">
        <v>1915</v>
      </c>
      <c r="U100" s="164" t="s">
        <v>31</v>
      </c>
      <c r="V100" s="164" t="s">
        <v>4894</v>
      </c>
      <c r="W100" s="1" t="s">
        <v>5023</v>
      </c>
    </row>
    <row r="101" customFormat="false" ht="12.8" hidden="false" customHeight="false" outlineLevel="0" collapsed="false">
      <c r="B101" s="1" t="n">
        <v>47596</v>
      </c>
      <c r="C101" s="155" t="n">
        <v>43371</v>
      </c>
      <c r="D101" s="171" t="s">
        <v>22</v>
      </c>
      <c r="E101" s="5" t="s">
        <v>322</v>
      </c>
      <c r="F101" s="157" t="s">
        <v>323</v>
      </c>
      <c r="G101" s="5" t="s">
        <v>570</v>
      </c>
      <c r="H101" s="165" t="s">
        <v>49</v>
      </c>
      <c r="I101" s="165" t="s">
        <v>27</v>
      </c>
      <c r="J101" s="158" t="n">
        <v>37.89</v>
      </c>
      <c r="K101" s="159" t="n">
        <v>306909</v>
      </c>
      <c r="L101" s="166" t="n">
        <f aca="false">K101/J101</f>
        <v>8100</v>
      </c>
      <c r="M101" s="248" t="s">
        <v>5024</v>
      </c>
      <c r="N101" s="163" t="n">
        <v>37999.62</v>
      </c>
      <c r="O101" s="163" t="n">
        <f aca="false">K101+N101</f>
        <v>344908.62</v>
      </c>
      <c r="P101" s="163" t="n">
        <f aca="false">O101/J101</f>
        <v>9102.89311163895</v>
      </c>
      <c r="Q101" s="239" t="s">
        <v>5025</v>
      </c>
      <c r="R101" s="5" t="s">
        <v>27</v>
      </c>
      <c r="S101" s="169" t="s">
        <v>29</v>
      </c>
      <c r="T101" s="158" t="s">
        <v>1915</v>
      </c>
      <c r="U101" s="164" t="s">
        <v>31</v>
      </c>
      <c r="V101" s="164" t="s">
        <v>4894</v>
      </c>
      <c r="W101" s="1" t="s">
        <v>4924</v>
      </c>
    </row>
    <row r="102" customFormat="false" ht="12.8" hidden="false" customHeight="false" outlineLevel="0" collapsed="false">
      <c r="B102" s="1" t="n">
        <v>6309</v>
      </c>
      <c r="C102" s="3" t="n">
        <v>43371</v>
      </c>
      <c r="D102" s="171" t="s">
        <v>22</v>
      </c>
      <c r="E102" s="8" t="s">
        <v>623</v>
      </c>
      <c r="F102" s="1" t="s">
        <v>272</v>
      </c>
      <c r="G102" s="2" t="s">
        <v>3113</v>
      </c>
      <c r="H102" s="2" t="n">
        <v>282</v>
      </c>
      <c r="I102" s="2" t="n">
        <v>9</v>
      </c>
      <c r="J102" s="276" t="n">
        <v>58.9</v>
      </c>
      <c r="K102" s="6" t="n">
        <v>510774.2</v>
      </c>
      <c r="L102" s="166" t="n">
        <f aca="false">K102/J102</f>
        <v>8671.88794567063</v>
      </c>
      <c r="N102" s="6"/>
      <c r="O102" s="163" t="n">
        <f aca="false">K102+N102</f>
        <v>510774.2</v>
      </c>
      <c r="P102" s="163" t="n">
        <f aca="false">O102/J102</f>
        <v>8671.88794567063</v>
      </c>
      <c r="Q102" s="1" t="s">
        <v>5026</v>
      </c>
      <c r="R102" s="2" t="n">
        <v>2</v>
      </c>
      <c r="S102" s="169" t="s">
        <v>29</v>
      </c>
      <c r="T102" s="158" t="s">
        <v>1915</v>
      </c>
      <c r="U102" s="164" t="s">
        <v>31</v>
      </c>
      <c r="V102" s="164" t="s">
        <v>4894</v>
      </c>
      <c r="W102" s="1" t="s">
        <v>5010</v>
      </c>
    </row>
    <row r="103" customFormat="false" ht="12.8" hidden="false" customHeight="false" outlineLevel="0" collapsed="false">
      <c r="B103" s="1" t="n">
        <v>7847</v>
      </c>
      <c r="C103" s="3" t="n">
        <v>43371</v>
      </c>
      <c r="D103" s="171" t="s">
        <v>22</v>
      </c>
      <c r="E103" s="8" t="s">
        <v>623</v>
      </c>
      <c r="F103" s="1" t="s">
        <v>272</v>
      </c>
      <c r="G103" s="2" t="s">
        <v>3113</v>
      </c>
      <c r="H103" s="2" t="n">
        <v>78</v>
      </c>
      <c r="I103" s="2" t="n">
        <v>2</v>
      </c>
      <c r="J103" s="276" t="n">
        <v>47.45</v>
      </c>
      <c r="K103" s="6" t="n">
        <v>355074.99</v>
      </c>
      <c r="L103" s="166" t="n">
        <f aca="false">K103/J103</f>
        <v>7483.13993677555</v>
      </c>
      <c r="M103" s="1" t="s">
        <v>940</v>
      </c>
      <c r="N103" s="6" t="n">
        <v>5000</v>
      </c>
      <c r="O103" s="163" t="n">
        <f aca="false">K103+N103</f>
        <v>360074.99</v>
      </c>
      <c r="P103" s="163" t="n">
        <f aca="false">O103/J103</f>
        <v>7588.51401475237</v>
      </c>
      <c r="Q103" s="1" t="s">
        <v>5018</v>
      </c>
      <c r="R103" s="2" t="n">
        <v>1</v>
      </c>
      <c r="S103" s="169" t="s">
        <v>29</v>
      </c>
      <c r="T103" s="158" t="s">
        <v>1915</v>
      </c>
      <c r="U103" s="164" t="s">
        <v>31</v>
      </c>
      <c r="V103" s="164" t="s">
        <v>4894</v>
      </c>
      <c r="W103" s="1" t="s">
        <v>4944</v>
      </c>
    </row>
    <row r="104" customFormat="false" ht="12.8" hidden="false" customHeight="false" outlineLevel="0" collapsed="false">
      <c r="B104" s="1" t="n">
        <v>7170</v>
      </c>
      <c r="C104" s="3" t="n">
        <v>43374</v>
      </c>
      <c r="D104" s="171" t="s">
        <v>22</v>
      </c>
      <c r="E104" s="8" t="s">
        <v>433</v>
      </c>
      <c r="F104" s="157" t="s">
        <v>434</v>
      </c>
      <c r="G104" s="2" t="s">
        <v>1567</v>
      </c>
      <c r="H104" s="2" t="n">
        <v>239</v>
      </c>
      <c r="I104" s="2" t="n">
        <v>8</v>
      </c>
      <c r="J104" s="276" t="n">
        <v>50.82</v>
      </c>
      <c r="K104" s="6" t="n">
        <v>480916.27</v>
      </c>
      <c r="L104" s="166" t="n">
        <f aca="false">K104/J104</f>
        <v>9463.1300669028</v>
      </c>
      <c r="N104" s="6"/>
      <c r="O104" s="163" t="n">
        <f aca="false">K104+N104</f>
        <v>480916.27</v>
      </c>
      <c r="P104" s="163" t="n">
        <f aca="false">O104/J104</f>
        <v>9463.1300669028</v>
      </c>
      <c r="Q104" s="1" t="s">
        <v>5027</v>
      </c>
      <c r="R104" s="2" t="n">
        <v>2</v>
      </c>
      <c r="S104" s="169" t="s">
        <v>29</v>
      </c>
      <c r="T104" s="158" t="s">
        <v>1915</v>
      </c>
      <c r="U104" s="164" t="s">
        <v>31</v>
      </c>
      <c r="V104" s="164" t="s">
        <v>4894</v>
      </c>
      <c r="W104" s="1" t="s">
        <v>4927</v>
      </c>
    </row>
    <row r="105" customFormat="false" ht="12.8" hidden="false" customHeight="false" outlineLevel="0" collapsed="false">
      <c r="B105" s="1" t="n">
        <v>7177</v>
      </c>
      <c r="C105" s="3" t="n">
        <v>43374</v>
      </c>
      <c r="D105" s="171" t="s">
        <v>22</v>
      </c>
      <c r="E105" s="8" t="s">
        <v>433</v>
      </c>
      <c r="F105" s="157" t="s">
        <v>434</v>
      </c>
      <c r="G105" s="2" t="s">
        <v>1567</v>
      </c>
      <c r="H105" s="2" t="n">
        <v>221</v>
      </c>
      <c r="I105" s="2" t="n">
        <v>6</v>
      </c>
      <c r="J105" s="276" t="n">
        <v>39.64</v>
      </c>
      <c r="K105" s="6" t="n">
        <v>369968.96</v>
      </c>
      <c r="L105" s="166" t="n">
        <f aca="false">K105/J105</f>
        <v>9333.22300706357</v>
      </c>
      <c r="N105" s="6"/>
      <c r="O105" s="163" t="n">
        <f aca="false">K105+N105</f>
        <v>369968.96</v>
      </c>
      <c r="P105" s="163" t="n">
        <f aca="false">O105/J105</f>
        <v>9333.22300706357</v>
      </c>
      <c r="Q105" s="1" t="s">
        <v>1224</v>
      </c>
      <c r="R105" s="2" t="n">
        <v>1</v>
      </c>
      <c r="S105" s="169" t="s">
        <v>29</v>
      </c>
      <c r="T105" s="158" t="s">
        <v>1915</v>
      </c>
      <c r="U105" s="164" t="s">
        <v>31</v>
      </c>
      <c r="V105" s="164" t="s">
        <v>4894</v>
      </c>
      <c r="W105" s="1" t="s">
        <v>4927</v>
      </c>
    </row>
    <row r="106" customFormat="false" ht="12.8" hidden="false" customHeight="false" outlineLevel="0" collapsed="false">
      <c r="B106" s="1" t="n">
        <v>7215</v>
      </c>
      <c r="C106" s="3" t="n">
        <v>43374</v>
      </c>
      <c r="D106" s="171" t="s">
        <v>22</v>
      </c>
      <c r="E106" s="8" t="s">
        <v>433</v>
      </c>
      <c r="F106" s="157" t="s">
        <v>434</v>
      </c>
      <c r="G106" s="2" t="s">
        <v>1567</v>
      </c>
      <c r="H106" s="2" t="n">
        <v>330</v>
      </c>
      <c r="I106" s="2" t="n">
        <v>1</v>
      </c>
      <c r="J106" s="276" t="n">
        <v>34.16</v>
      </c>
      <c r="K106" s="6" t="n">
        <v>298917.97</v>
      </c>
      <c r="L106" s="166" t="n">
        <f aca="false">K106/J106</f>
        <v>8750.52605386417</v>
      </c>
      <c r="N106" s="6"/>
      <c r="O106" s="163" t="n">
        <f aca="false">K106+N106</f>
        <v>298917.97</v>
      </c>
      <c r="P106" s="163" t="n">
        <f aca="false">O106/J106</f>
        <v>8750.52605386417</v>
      </c>
      <c r="Q106" s="1" t="s">
        <v>5028</v>
      </c>
      <c r="R106" s="2" t="n">
        <v>1</v>
      </c>
      <c r="S106" s="169" t="s">
        <v>29</v>
      </c>
      <c r="T106" s="158" t="s">
        <v>1915</v>
      </c>
      <c r="U106" s="164" t="s">
        <v>31</v>
      </c>
      <c r="V106" s="164" t="s">
        <v>4894</v>
      </c>
      <c r="W106" s="1" t="s">
        <v>4927</v>
      </c>
    </row>
    <row r="107" customFormat="false" ht="12.8" hidden="false" customHeight="false" outlineLevel="0" collapsed="false">
      <c r="B107" s="1" t="n">
        <v>7201</v>
      </c>
      <c r="C107" s="155" t="n">
        <v>43374</v>
      </c>
      <c r="D107" s="171" t="s">
        <v>22</v>
      </c>
      <c r="E107" s="5" t="s">
        <v>433</v>
      </c>
      <c r="F107" s="285" t="s">
        <v>434</v>
      </c>
      <c r="G107" s="5" t="s">
        <v>1567</v>
      </c>
      <c r="H107" s="165" t="s">
        <v>5029</v>
      </c>
      <c r="I107" s="227" t="s">
        <v>101</v>
      </c>
      <c r="J107" s="158" t="n">
        <v>40.08</v>
      </c>
      <c r="K107" s="159" t="n">
        <v>363657.3</v>
      </c>
      <c r="L107" s="166" t="n">
        <f aca="false">K107/J107</f>
        <v>9073.28592814371</v>
      </c>
      <c r="M107" s="287" t="s">
        <v>5030</v>
      </c>
      <c r="N107" s="163"/>
      <c r="O107" s="163" t="n">
        <f aca="false">K107+N107</f>
        <v>363657.3</v>
      </c>
      <c r="P107" s="163" t="n">
        <f aca="false">O107/J107</f>
        <v>9073.28592814371</v>
      </c>
      <c r="Q107" s="288" t="s">
        <v>5031</v>
      </c>
      <c r="R107" s="5" t="s">
        <v>36</v>
      </c>
      <c r="S107" s="169" t="s">
        <v>29</v>
      </c>
      <c r="T107" s="158" t="s">
        <v>1915</v>
      </c>
      <c r="U107" s="164" t="s">
        <v>31</v>
      </c>
      <c r="V107" s="164" t="s">
        <v>4894</v>
      </c>
      <c r="W107" s="1" t="s">
        <v>4927</v>
      </c>
    </row>
    <row r="108" customFormat="false" ht="12.8" hidden="false" customHeight="false" outlineLevel="0" collapsed="false">
      <c r="B108" s="1" t="n">
        <v>7193</v>
      </c>
      <c r="C108" s="155" t="n">
        <v>43374</v>
      </c>
      <c r="D108" s="171" t="s">
        <v>22</v>
      </c>
      <c r="E108" s="5" t="s">
        <v>433</v>
      </c>
      <c r="F108" s="285" t="s">
        <v>434</v>
      </c>
      <c r="G108" s="5" t="s">
        <v>1567</v>
      </c>
      <c r="H108" s="165" t="s">
        <v>40</v>
      </c>
      <c r="I108" s="227" t="s">
        <v>27</v>
      </c>
      <c r="J108" s="158" t="n">
        <v>69.34</v>
      </c>
      <c r="K108" s="159" t="n">
        <v>541983.88</v>
      </c>
      <c r="L108" s="166" t="n">
        <f aca="false">K108/J108</f>
        <v>7816.32362272858</v>
      </c>
      <c r="M108" s="287" t="s">
        <v>5032</v>
      </c>
      <c r="N108" s="163"/>
      <c r="O108" s="163" t="n">
        <f aca="false">K108+N108</f>
        <v>541983.88</v>
      </c>
      <c r="P108" s="163" t="n">
        <f aca="false">O108/J108</f>
        <v>7816.32362272858</v>
      </c>
      <c r="Q108" s="288" t="s">
        <v>5033</v>
      </c>
      <c r="R108" s="5" t="s">
        <v>26</v>
      </c>
      <c r="S108" s="169" t="s">
        <v>29</v>
      </c>
      <c r="T108" s="158" t="s">
        <v>1915</v>
      </c>
      <c r="U108" s="164" t="s">
        <v>31</v>
      </c>
      <c r="V108" s="164" t="s">
        <v>4894</v>
      </c>
      <c r="W108" s="1" t="s">
        <v>4927</v>
      </c>
    </row>
    <row r="109" customFormat="false" ht="12.8" hidden="false" customHeight="false" outlineLevel="0" collapsed="false">
      <c r="B109" s="1" t="n">
        <v>7208</v>
      </c>
      <c r="C109" s="155" t="n">
        <v>43374</v>
      </c>
      <c r="D109" s="171" t="s">
        <v>22</v>
      </c>
      <c r="E109" s="5" t="s">
        <v>433</v>
      </c>
      <c r="F109" s="285" t="s">
        <v>434</v>
      </c>
      <c r="G109" s="5" t="s">
        <v>1567</v>
      </c>
      <c r="H109" s="165" t="s">
        <v>2933</v>
      </c>
      <c r="I109" s="227" t="s">
        <v>57</v>
      </c>
      <c r="J109" s="158" t="n">
        <v>42.26</v>
      </c>
      <c r="K109" s="159" t="n">
        <v>375345.67</v>
      </c>
      <c r="L109" s="166" t="n">
        <f aca="false">K109/J109</f>
        <v>8881.81897775674</v>
      </c>
      <c r="M109" s="287"/>
      <c r="N109" s="163"/>
      <c r="O109" s="163" t="n">
        <f aca="false">K109+N109</f>
        <v>375345.67</v>
      </c>
      <c r="P109" s="163" t="n">
        <f aca="false">O109/J109</f>
        <v>8881.81897775674</v>
      </c>
      <c r="Q109" s="288" t="s">
        <v>5034</v>
      </c>
      <c r="R109" s="5" t="s">
        <v>36</v>
      </c>
      <c r="S109" s="169" t="s">
        <v>29</v>
      </c>
      <c r="T109" s="158" t="s">
        <v>1915</v>
      </c>
      <c r="U109" s="164" t="s">
        <v>31</v>
      </c>
      <c r="V109" s="164" t="s">
        <v>4894</v>
      </c>
      <c r="W109" s="1" t="s">
        <v>4927</v>
      </c>
    </row>
    <row r="110" customFormat="false" ht="12.8" hidden="false" customHeight="false" outlineLevel="0" collapsed="false">
      <c r="B110" s="1" t="n">
        <v>7222</v>
      </c>
      <c r="C110" s="155" t="n">
        <v>43374</v>
      </c>
      <c r="D110" s="171" t="s">
        <v>22</v>
      </c>
      <c r="E110" s="5" t="s">
        <v>433</v>
      </c>
      <c r="F110" s="285" t="s">
        <v>434</v>
      </c>
      <c r="G110" s="5" t="s">
        <v>1567</v>
      </c>
      <c r="H110" s="165" t="s">
        <v>5035</v>
      </c>
      <c r="I110" s="227" t="s">
        <v>82</v>
      </c>
      <c r="J110" s="158" t="n">
        <v>60.01</v>
      </c>
      <c r="K110" s="159" t="n">
        <v>529057</v>
      </c>
      <c r="L110" s="166" t="n">
        <f aca="false">K110/J110</f>
        <v>8816.14730878187</v>
      </c>
      <c r="M110" s="287" t="s">
        <v>5036</v>
      </c>
      <c r="N110" s="163"/>
      <c r="O110" s="163" t="n">
        <f aca="false">K110+N110</f>
        <v>529057</v>
      </c>
      <c r="P110" s="163" t="n">
        <f aca="false">O110/J110</f>
        <v>8816.14730878187</v>
      </c>
      <c r="Q110" s="288" t="s">
        <v>5037</v>
      </c>
      <c r="R110" s="5" t="s">
        <v>26</v>
      </c>
      <c r="S110" s="169" t="s">
        <v>29</v>
      </c>
      <c r="T110" s="158" t="s">
        <v>1915</v>
      </c>
      <c r="U110" s="164" t="s">
        <v>31</v>
      </c>
      <c r="V110" s="164" t="s">
        <v>4894</v>
      </c>
      <c r="W110" s="1" t="s">
        <v>4927</v>
      </c>
    </row>
    <row r="111" customFormat="false" ht="12.8" hidden="false" customHeight="false" outlineLevel="0" collapsed="false">
      <c r="B111" s="1" t="n">
        <v>7291</v>
      </c>
      <c r="C111" s="155" t="n">
        <v>43375</v>
      </c>
      <c r="D111" s="171" t="s">
        <v>22</v>
      </c>
      <c r="E111" s="5" t="s">
        <v>433</v>
      </c>
      <c r="F111" s="157" t="s">
        <v>434</v>
      </c>
      <c r="G111" s="5" t="s">
        <v>1567</v>
      </c>
      <c r="H111" s="165" t="s">
        <v>5038</v>
      </c>
      <c r="I111" s="165" t="s">
        <v>101</v>
      </c>
      <c r="J111" s="158" t="n">
        <v>48.63</v>
      </c>
      <c r="K111" s="159" t="n">
        <v>425913.42</v>
      </c>
      <c r="L111" s="166" t="n">
        <f aca="false">K111/J111</f>
        <v>8758.2442936459</v>
      </c>
      <c r="M111" s="248"/>
      <c r="N111" s="163"/>
      <c r="O111" s="163" t="n">
        <f aca="false">K111+N111</f>
        <v>425913.42</v>
      </c>
      <c r="P111" s="163" t="n">
        <f aca="false">O111/J111</f>
        <v>8758.2442936459</v>
      </c>
      <c r="Q111" s="239" t="s">
        <v>5039</v>
      </c>
      <c r="R111" s="5" t="s">
        <v>27</v>
      </c>
      <c r="S111" s="169" t="s">
        <v>29</v>
      </c>
      <c r="T111" s="158" t="s">
        <v>1915</v>
      </c>
      <c r="U111" s="164" t="s">
        <v>31</v>
      </c>
      <c r="V111" s="164" t="s">
        <v>4894</v>
      </c>
      <c r="W111" s="1" t="s">
        <v>4927</v>
      </c>
    </row>
    <row r="112" customFormat="false" ht="12.8" hidden="false" customHeight="false" outlineLevel="0" collapsed="false">
      <c r="B112" s="1" t="n">
        <v>7242</v>
      </c>
      <c r="C112" s="155" t="n">
        <v>43375</v>
      </c>
      <c r="D112" s="171" t="s">
        <v>22</v>
      </c>
      <c r="E112" s="5" t="s">
        <v>433</v>
      </c>
      <c r="F112" s="157" t="s">
        <v>434</v>
      </c>
      <c r="G112" s="5" t="s">
        <v>1567</v>
      </c>
      <c r="H112" s="165" t="s">
        <v>5040</v>
      </c>
      <c r="I112" s="165" t="s">
        <v>26</v>
      </c>
      <c r="J112" s="158" t="n">
        <v>59.84</v>
      </c>
      <c r="K112" s="159" t="n">
        <v>502747.95</v>
      </c>
      <c r="L112" s="166" t="n">
        <f aca="false">K112/J112</f>
        <v>8401.53659759358</v>
      </c>
      <c r="M112" s="248"/>
      <c r="N112" s="163"/>
      <c r="O112" s="163" t="n">
        <f aca="false">K112+N112</f>
        <v>502747.95</v>
      </c>
      <c r="P112" s="163" t="n">
        <f aca="false">O112/J112</f>
        <v>8401.53659759358</v>
      </c>
      <c r="Q112" s="239" t="s">
        <v>5041</v>
      </c>
      <c r="R112" s="5" t="s">
        <v>36</v>
      </c>
      <c r="S112" s="169" t="s">
        <v>29</v>
      </c>
      <c r="T112" s="158" t="s">
        <v>1915</v>
      </c>
      <c r="U112" s="164" t="s">
        <v>31</v>
      </c>
      <c r="V112" s="164" t="s">
        <v>4894</v>
      </c>
      <c r="W112" s="1" t="s">
        <v>4927</v>
      </c>
    </row>
    <row r="113" customFormat="false" ht="12.8" hidden="false" customHeight="false" outlineLevel="0" collapsed="false">
      <c r="B113" s="1" t="n">
        <v>9802</v>
      </c>
      <c r="C113" s="155" t="n">
        <v>43375</v>
      </c>
      <c r="D113" s="171" t="s">
        <v>22</v>
      </c>
      <c r="E113" s="5" t="s">
        <v>962</v>
      </c>
      <c r="F113" s="157" t="s">
        <v>963</v>
      </c>
      <c r="G113" s="5" t="s">
        <v>27</v>
      </c>
      <c r="H113" s="165" t="s">
        <v>241</v>
      </c>
      <c r="I113" s="165" t="s">
        <v>25</v>
      </c>
      <c r="J113" s="158" t="n">
        <v>44.72</v>
      </c>
      <c r="K113" s="159" t="n">
        <v>415000</v>
      </c>
      <c r="L113" s="166" t="n">
        <f aca="false">K113/J113</f>
        <v>9279.96422182469</v>
      </c>
      <c r="M113" s="248"/>
      <c r="N113" s="163"/>
      <c r="O113" s="163" t="n">
        <f aca="false">K113+N113</f>
        <v>415000</v>
      </c>
      <c r="P113" s="163" t="n">
        <f aca="false">O113/J113</f>
        <v>9279.96422182469</v>
      </c>
      <c r="Q113" s="239" t="s">
        <v>5042</v>
      </c>
      <c r="R113" s="5" t="s">
        <v>27</v>
      </c>
      <c r="S113" s="169" t="s">
        <v>29</v>
      </c>
      <c r="T113" s="158" t="s">
        <v>1915</v>
      </c>
      <c r="U113" s="164" t="s">
        <v>31</v>
      </c>
      <c r="V113" s="164" t="s">
        <v>4894</v>
      </c>
      <c r="W113" s="1" t="s">
        <v>4939</v>
      </c>
    </row>
    <row r="114" customFormat="false" ht="12.8" hidden="false" customHeight="false" outlineLevel="0" collapsed="false">
      <c r="B114" s="1" t="n">
        <v>6376</v>
      </c>
      <c r="C114" s="3" t="n">
        <v>43375</v>
      </c>
      <c r="D114" s="171" t="s">
        <v>22</v>
      </c>
      <c r="E114" s="8" t="s">
        <v>623</v>
      </c>
      <c r="F114" s="1" t="s">
        <v>272</v>
      </c>
      <c r="G114" s="2" t="s">
        <v>3113</v>
      </c>
      <c r="H114" s="2" t="n">
        <v>101</v>
      </c>
      <c r="I114" s="2" t="n">
        <v>5</v>
      </c>
      <c r="J114" s="276" t="n">
        <v>52.18</v>
      </c>
      <c r="K114" s="6" t="n">
        <v>413222</v>
      </c>
      <c r="L114" s="166" t="n">
        <f aca="false">K114/J114</f>
        <v>7919.16443081641</v>
      </c>
      <c r="M114" s="1" t="s">
        <v>940</v>
      </c>
      <c r="N114" s="6" t="n">
        <v>27000</v>
      </c>
      <c r="O114" s="163" t="n">
        <f aca="false">K114+N114</f>
        <v>440222</v>
      </c>
      <c r="P114" s="163" t="n">
        <f aca="false">O114/J114</f>
        <v>8436.60406285933</v>
      </c>
      <c r="Q114" s="1" t="s">
        <v>5043</v>
      </c>
      <c r="R114" s="2" t="n">
        <v>1</v>
      </c>
      <c r="S114" s="169" t="s">
        <v>29</v>
      </c>
      <c r="T114" s="158" t="s">
        <v>1915</v>
      </c>
      <c r="U114" s="164" t="s">
        <v>31</v>
      </c>
      <c r="V114" s="164" t="s">
        <v>4894</v>
      </c>
      <c r="W114" s="1" t="s">
        <v>4944</v>
      </c>
    </row>
    <row r="115" customFormat="false" ht="12.8" hidden="false" customHeight="false" outlineLevel="0" collapsed="false">
      <c r="B115" s="1" t="n">
        <v>6362</v>
      </c>
      <c r="C115" s="3" t="n">
        <v>43375</v>
      </c>
      <c r="D115" s="171" t="s">
        <v>22</v>
      </c>
      <c r="E115" s="8" t="s">
        <v>623</v>
      </c>
      <c r="F115" s="1" t="s">
        <v>272</v>
      </c>
      <c r="G115" s="2" t="s">
        <v>3113</v>
      </c>
      <c r="H115" s="2" t="n">
        <v>244</v>
      </c>
      <c r="I115" s="2" t="n">
        <v>3</v>
      </c>
      <c r="J115" s="276" t="n">
        <v>74.32</v>
      </c>
      <c r="K115" s="6" t="n">
        <v>624964.51</v>
      </c>
      <c r="L115" s="166" t="n">
        <f aca="false">K115/J115</f>
        <v>8409.10266415501</v>
      </c>
      <c r="N115" s="6"/>
      <c r="O115" s="163" t="n">
        <f aca="false">K115+N115</f>
        <v>624964.51</v>
      </c>
      <c r="P115" s="163" t="n">
        <f aca="false">O115/J115</f>
        <v>8409.10266415501</v>
      </c>
      <c r="Q115" s="1" t="s">
        <v>5044</v>
      </c>
      <c r="R115" s="2" t="n">
        <v>2</v>
      </c>
      <c r="S115" s="169" t="s">
        <v>29</v>
      </c>
      <c r="T115" s="158" t="s">
        <v>1915</v>
      </c>
      <c r="U115" s="164" t="s">
        <v>31</v>
      </c>
      <c r="V115" s="164" t="s">
        <v>4894</v>
      </c>
      <c r="W115" s="1" t="s">
        <v>4944</v>
      </c>
    </row>
    <row r="116" customFormat="false" ht="12.8" hidden="false" customHeight="false" outlineLevel="0" collapsed="false">
      <c r="B116" s="1" t="n">
        <v>6352</v>
      </c>
      <c r="C116" s="3" t="n">
        <v>43375</v>
      </c>
      <c r="D116" s="171" t="s">
        <v>22</v>
      </c>
      <c r="E116" s="8" t="s">
        <v>623</v>
      </c>
      <c r="F116" s="1" t="s">
        <v>272</v>
      </c>
      <c r="G116" s="2" t="s">
        <v>3113</v>
      </c>
      <c r="H116" s="2" t="n">
        <v>294</v>
      </c>
      <c r="I116" s="2" t="n">
        <v>11</v>
      </c>
      <c r="J116" s="276" t="n">
        <v>59.02</v>
      </c>
      <c r="K116" s="6" t="n">
        <v>521147.19</v>
      </c>
      <c r="L116" s="166" t="n">
        <f aca="false">K116/J116</f>
        <v>8830.00999661132</v>
      </c>
      <c r="M116" s="1" t="s">
        <v>940</v>
      </c>
      <c r="N116" s="6" t="n">
        <v>44000</v>
      </c>
      <c r="O116" s="163" t="n">
        <f aca="false">K116+N116</f>
        <v>565147.19</v>
      </c>
      <c r="P116" s="163" t="n">
        <f aca="false">O116/J116</f>
        <v>9575.51999322264</v>
      </c>
      <c r="Q116" s="1" t="s">
        <v>5045</v>
      </c>
      <c r="R116" s="2" t="n">
        <v>2</v>
      </c>
      <c r="S116" s="169" t="s">
        <v>29</v>
      </c>
      <c r="T116" s="158" t="s">
        <v>1915</v>
      </c>
      <c r="U116" s="164" t="s">
        <v>31</v>
      </c>
      <c r="V116" s="164" t="s">
        <v>4894</v>
      </c>
      <c r="W116" s="1" t="s">
        <v>4944</v>
      </c>
    </row>
    <row r="117" customFormat="false" ht="12.8" hidden="false" customHeight="false" outlineLevel="0" collapsed="false">
      <c r="B117" s="1" t="n">
        <v>13229</v>
      </c>
      <c r="C117" s="3" t="n">
        <v>43376</v>
      </c>
      <c r="D117" s="171" t="s">
        <v>22</v>
      </c>
      <c r="F117" s="1" t="s">
        <v>162</v>
      </c>
      <c r="G117" s="2" t="n">
        <v>3</v>
      </c>
      <c r="H117" s="2" t="n">
        <v>58</v>
      </c>
      <c r="I117" s="2" t="n">
        <v>2</v>
      </c>
      <c r="J117" s="276" t="n">
        <v>74.26</v>
      </c>
      <c r="K117" s="7" t="n">
        <v>562400</v>
      </c>
      <c r="L117" s="200" t="n">
        <f aca="false">ROUND(K117/J117,2)</f>
        <v>7573.39</v>
      </c>
      <c r="M117" s="289" t="s">
        <v>940</v>
      </c>
      <c r="N117" s="7" t="n">
        <v>31600</v>
      </c>
      <c r="O117" s="168" t="n">
        <f aca="false">K117+N117</f>
        <v>594000</v>
      </c>
      <c r="P117" s="168" t="n">
        <f aca="false">ROUND(O117/J117,2)</f>
        <v>7998.92</v>
      </c>
      <c r="Q117" s="289" t="s">
        <v>1667</v>
      </c>
      <c r="R117" s="2" t="n">
        <v>4</v>
      </c>
      <c r="S117" s="169" t="s">
        <v>29</v>
      </c>
      <c r="T117" s="158" t="s">
        <v>1915</v>
      </c>
      <c r="U117" s="164" t="s">
        <v>31</v>
      </c>
      <c r="V117" s="164" t="s">
        <v>4894</v>
      </c>
    </row>
    <row r="118" customFormat="false" ht="12.8" hidden="false" customHeight="false" outlineLevel="0" collapsed="false">
      <c r="B118" s="1" t="n">
        <v>4981</v>
      </c>
      <c r="C118" s="155" t="n">
        <v>43376</v>
      </c>
      <c r="D118" s="171" t="s">
        <v>22</v>
      </c>
      <c r="E118" s="5" t="s">
        <v>229</v>
      </c>
      <c r="F118" s="157" t="s">
        <v>5046</v>
      </c>
      <c r="G118" s="5" t="s">
        <v>1069</v>
      </c>
      <c r="H118" s="165" t="s">
        <v>57</v>
      </c>
      <c r="I118" s="165" t="s">
        <v>27</v>
      </c>
      <c r="J118" s="158" t="n">
        <v>53.77</v>
      </c>
      <c r="K118" s="159" t="n">
        <v>414537</v>
      </c>
      <c r="L118" s="166" t="n">
        <f aca="false">K118/J118</f>
        <v>7709.44764738702</v>
      </c>
      <c r="M118" s="248"/>
      <c r="N118" s="163"/>
      <c r="O118" s="163" t="n">
        <f aca="false">K118+N118</f>
        <v>414537</v>
      </c>
      <c r="P118" s="163" t="n">
        <f aca="false">O118/J118</f>
        <v>7709.44764738702</v>
      </c>
      <c r="Q118" s="239" t="s">
        <v>5047</v>
      </c>
      <c r="R118" s="5" t="s">
        <v>27</v>
      </c>
      <c r="S118" s="169" t="s">
        <v>29</v>
      </c>
      <c r="T118" s="158" t="s">
        <v>1915</v>
      </c>
      <c r="U118" s="164" t="s">
        <v>31</v>
      </c>
      <c r="V118" s="164" t="s">
        <v>4894</v>
      </c>
      <c r="W118" s="1" t="s">
        <v>5048</v>
      </c>
    </row>
    <row r="119" customFormat="false" ht="12.8" hidden="false" customHeight="false" outlineLevel="0" collapsed="false">
      <c r="B119" s="1" t="n">
        <v>18286</v>
      </c>
      <c r="C119" s="155" t="n">
        <v>43376</v>
      </c>
      <c r="D119" s="171" t="s">
        <v>22</v>
      </c>
      <c r="E119" s="5" t="s">
        <v>322</v>
      </c>
      <c r="F119" s="157" t="s">
        <v>323</v>
      </c>
      <c r="G119" s="5" t="s">
        <v>4398</v>
      </c>
      <c r="H119" s="165" t="s">
        <v>280</v>
      </c>
      <c r="I119" s="165" t="s">
        <v>57</v>
      </c>
      <c r="J119" s="158" t="n">
        <v>96.65</v>
      </c>
      <c r="K119" s="159" t="n">
        <v>684000</v>
      </c>
      <c r="L119" s="166" t="n">
        <f aca="false">K119/J119</f>
        <v>7077.0822555613</v>
      </c>
      <c r="M119" s="248" t="s">
        <v>5049</v>
      </c>
      <c r="N119" s="163" t="n">
        <v>50000</v>
      </c>
      <c r="O119" s="163" t="n">
        <f aca="false">K119+N119</f>
        <v>734000</v>
      </c>
      <c r="P119" s="163" t="n">
        <f aca="false">O119/J119</f>
        <v>7594.41282979824</v>
      </c>
      <c r="Q119" s="239" t="s">
        <v>5050</v>
      </c>
      <c r="R119" s="5" t="s">
        <v>26</v>
      </c>
      <c r="S119" s="169" t="s">
        <v>29</v>
      </c>
      <c r="T119" s="158" t="s">
        <v>1915</v>
      </c>
      <c r="U119" s="164" t="s">
        <v>31</v>
      </c>
      <c r="V119" s="164" t="s">
        <v>4894</v>
      </c>
      <c r="W119" s="1" t="s">
        <v>4966</v>
      </c>
    </row>
    <row r="120" customFormat="false" ht="12.8" hidden="false" customHeight="false" outlineLevel="0" collapsed="false">
      <c r="B120" s="1" t="n">
        <v>9247</v>
      </c>
      <c r="C120" s="155" t="n">
        <v>43376</v>
      </c>
      <c r="D120" s="171" t="s">
        <v>22</v>
      </c>
      <c r="E120" s="5" t="s">
        <v>156</v>
      </c>
      <c r="F120" s="157" t="s">
        <v>2225</v>
      </c>
      <c r="G120" s="5" t="s">
        <v>128</v>
      </c>
      <c r="H120" s="165" t="s">
        <v>101</v>
      </c>
      <c r="I120" s="165" t="s">
        <v>36</v>
      </c>
      <c r="J120" s="158" t="n">
        <v>43.91</v>
      </c>
      <c r="K120" s="159" t="n">
        <v>345777.35</v>
      </c>
      <c r="L120" s="166" t="n">
        <f aca="false">K120/J120</f>
        <v>7874.68344340697</v>
      </c>
      <c r="M120" s="248"/>
      <c r="N120" s="163"/>
      <c r="O120" s="163" t="n">
        <f aca="false">K120+N120</f>
        <v>345777.35</v>
      </c>
      <c r="P120" s="163" t="n">
        <f aca="false">O120/J120</f>
        <v>7874.68344340697</v>
      </c>
      <c r="Q120" s="239" t="s">
        <v>5051</v>
      </c>
      <c r="R120" s="5" t="s">
        <v>36</v>
      </c>
      <c r="S120" s="169" t="s">
        <v>29</v>
      </c>
      <c r="T120" s="158" t="s">
        <v>1915</v>
      </c>
      <c r="U120" s="164" t="s">
        <v>31</v>
      </c>
      <c r="V120" s="164" t="s">
        <v>4894</v>
      </c>
      <c r="W120" s="1" t="s">
        <v>4752</v>
      </c>
    </row>
    <row r="121" customFormat="false" ht="12.8" hidden="false" customHeight="false" outlineLevel="0" collapsed="false">
      <c r="B121" s="1" t="n">
        <v>10855</v>
      </c>
      <c r="C121" s="155" t="n">
        <v>43376</v>
      </c>
      <c r="D121" s="171" t="s">
        <v>22</v>
      </c>
      <c r="E121" s="5" t="s">
        <v>75</v>
      </c>
      <c r="F121" s="157" t="s">
        <v>5052</v>
      </c>
      <c r="G121" s="5" t="s">
        <v>36</v>
      </c>
      <c r="H121" s="165" t="s">
        <v>197</v>
      </c>
      <c r="I121" s="165" t="s">
        <v>27</v>
      </c>
      <c r="J121" s="158" t="n">
        <v>65.05</v>
      </c>
      <c r="K121" s="199" t="n">
        <v>540000</v>
      </c>
      <c r="L121" s="200" t="n">
        <f aca="false">K121/J121</f>
        <v>8301.30668716372</v>
      </c>
      <c r="M121" s="248" t="s">
        <v>189</v>
      </c>
      <c r="N121" s="168"/>
      <c r="O121" s="168" t="n">
        <v>540000</v>
      </c>
      <c r="P121" s="168" t="n">
        <f aca="false">O121/J121</f>
        <v>8301.30668716372</v>
      </c>
      <c r="Q121" s="239" t="s">
        <v>1352</v>
      </c>
      <c r="R121" s="5" t="s">
        <v>26</v>
      </c>
      <c r="S121" s="169" t="s">
        <v>29</v>
      </c>
      <c r="T121" s="158" t="s">
        <v>1915</v>
      </c>
      <c r="U121" s="35" t="s">
        <v>31</v>
      </c>
      <c r="V121" s="164" t="s">
        <v>4894</v>
      </c>
      <c r="W121" s="1" t="s">
        <v>1395</v>
      </c>
    </row>
    <row r="122" customFormat="false" ht="12.8" hidden="false" customHeight="false" outlineLevel="0" collapsed="false">
      <c r="B122" s="1" t="n">
        <v>9357</v>
      </c>
      <c r="C122" s="155" t="n">
        <v>43377</v>
      </c>
      <c r="D122" s="171" t="s">
        <v>22</v>
      </c>
      <c r="E122" s="5" t="s">
        <v>156</v>
      </c>
      <c r="F122" s="157" t="s">
        <v>2225</v>
      </c>
      <c r="G122" s="5" t="s">
        <v>128</v>
      </c>
      <c r="H122" s="165" t="s">
        <v>82</v>
      </c>
      <c r="I122" s="165" t="s">
        <v>36</v>
      </c>
      <c r="J122" s="158" t="n">
        <v>63.25</v>
      </c>
      <c r="K122" s="159" t="n">
        <v>487121.53</v>
      </c>
      <c r="L122" s="166" t="n">
        <f aca="false">K122/J122</f>
        <v>7701.52616600791</v>
      </c>
      <c r="M122" s="248"/>
      <c r="N122" s="163"/>
      <c r="O122" s="163" t="n">
        <f aca="false">K122+N122</f>
        <v>487121.53</v>
      </c>
      <c r="P122" s="163" t="n">
        <f aca="false">O122/J122</f>
        <v>7701.52616600791</v>
      </c>
      <c r="Q122" s="239" t="s">
        <v>5053</v>
      </c>
      <c r="R122" s="5" t="s">
        <v>26</v>
      </c>
      <c r="S122" s="169" t="s">
        <v>29</v>
      </c>
      <c r="T122" s="158" t="s">
        <v>1915</v>
      </c>
      <c r="U122" s="164" t="s">
        <v>31</v>
      </c>
      <c r="V122" s="164" t="s">
        <v>4894</v>
      </c>
      <c r="W122" s="1" t="s">
        <v>4752</v>
      </c>
    </row>
    <row r="123" customFormat="false" ht="12.8" hidden="false" customHeight="false" outlineLevel="0" collapsed="false">
      <c r="B123" s="174" t="s">
        <v>5054</v>
      </c>
      <c r="C123" s="155" t="n">
        <v>43377</v>
      </c>
      <c r="D123" s="171" t="s">
        <v>22</v>
      </c>
      <c r="E123" s="5" t="s">
        <v>156</v>
      </c>
      <c r="F123" s="157" t="s">
        <v>2225</v>
      </c>
      <c r="G123" s="5" t="s">
        <v>128</v>
      </c>
      <c r="H123" s="165" t="s">
        <v>210</v>
      </c>
      <c r="I123" s="165" t="s">
        <v>49</v>
      </c>
      <c r="J123" s="158" t="n">
        <v>37.67</v>
      </c>
      <c r="K123" s="159" t="n">
        <v>326026.63</v>
      </c>
      <c r="L123" s="166" t="n">
        <f aca="false">K123/J123</f>
        <v>8654.80833554553</v>
      </c>
      <c r="M123" s="248"/>
      <c r="N123" s="163"/>
      <c r="O123" s="163" t="n">
        <f aca="false">K123+N123</f>
        <v>326026.63</v>
      </c>
      <c r="P123" s="163" t="n">
        <f aca="false">O123/J123</f>
        <v>8654.80833554553</v>
      </c>
      <c r="Q123" s="239" t="s">
        <v>5055</v>
      </c>
      <c r="R123" s="5" t="s">
        <v>27</v>
      </c>
      <c r="S123" s="169" t="s">
        <v>29</v>
      </c>
      <c r="T123" s="158" t="s">
        <v>1915</v>
      </c>
      <c r="U123" s="164" t="s">
        <v>31</v>
      </c>
      <c r="V123" s="164" t="s">
        <v>4894</v>
      </c>
      <c r="W123" s="1" t="s">
        <v>4752</v>
      </c>
    </row>
    <row r="124" customFormat="false" ht="12.8" hidden="false" customHeight="false" outlineLevel="0" collapsed="false">
      <c r="B124" s="1" t="n">
        <v>6457</v>
      </c>
      <c r="C124" s="3" t="n">
        <v>43377</v>
      </c>
      <c r="D124" s="171" t="s">
        <v>22</v>
      </c>
      <c r="E124" s="8" t="s">
        <v>623</v>
      </c>
      <c r="F124" s="1" t="s">
        <v>272</v>
      </c>
      <c r="G124" s="2" t="s">
        <v>3113</v>
      </c>
      <c r="H124" s="2" t="n">
        <v>213</v>
      </c>
      <c r="I124" s="2" t="n">
        <v>10</v>
      </c>
      <c r="J124" s="276" t="n">
        <v>68.82</v>
      </c>
      <c r="K124" s="6" t="n">
        <v>599994.78</v>
      </c>
      <c r="L124" s="166" t="n">
        <f aca="false">K124/J124</f>
        <v>8718.31996512642</v>
      </c>
      <c r="M124" s="1" t="s">
        <v>940</v>
      </c>
      <c r="N124" s="6" t="n">
        <v>32180</v>
      </c>
      <c r="O124" s="163" t="n">
        <f aca="false">K124+N124</f>
        <v>632174.78</v>
      </c>
      <c r="P124" s="163" t="n">
        <f aca="false">O124/J124</f>
        <v>9185.91659401337</v>
      </c>
      <c r="Q124" s="1" t="s">
        <v>5056</v>
      </c>
      <c r="R124" s="2" t="n">
        <v>2</v>
      </c>
      <c r="S124" s="169" t="s">
        <v>29</v>
      </c>
      <c r="T124" s="158" t="s">
        <v>1915</v>
      </c>
      <c r="U124" s="164" t="s">
        <v>31</v>
      </c>
      <c r="V124" s="164" t="s">
        <v>4894</v>
      </c>
      <c r="W124" s="1" t="s">
        <v>4944</v>
      </c>
    </row>
    <row r="125" customFormat="false" ht="12.8" hidden="false" customHeight="false" outlineLevel="0" collapsed="false">
      <c r="B125" s="1" t="n">
        <v>7480</v>
      </c>
      <c r="C125" s="3" t="n">
        <v>43378</v>
      </c>
      <c r="D125" s="171" t="s">
        <v>22</v>
      </c>
      <c r="E125" s="8" t="s">
        <v>433</v>
      </c>
      <c r="F125" s="157" t="s">
        <v>434</v>
      </c>
      <c r="G125" s="2" t="s">
        <v>1567</v>
      </c>
      <c r="H125" s="2" t="n">
        <v>339</v>
      </c>
      <c r="I125" s="2" t="n">
        <v>3</v>
      </c>
      <c r="J125" s="276" t="n">
        <v>39.16</v>
      </c>
      <c r="K125" s="6" t="n">
        <v>357817.25</v>
      </c>
      <c r="L125" s="166" t="n">
        <f aca="false">K125/J125</f>
        <v>9137.31486210419</v>
      </c>
      <c r="N125" s="6"/>
      <c r="O125" s="163" t="n">
        <f aca="false">K125+N125</f>
        <v>357817.25</v>
      </c>
      <c r="P125" s="163" t="n">
        <f aca="false">O125/J125</f>
        <v>9137.31486210419</v>
      </c>
      <c r="Q125" s="1" t="s">
        <v>5057</v>
      </c>
      <c r="R125" s="2" t="n">
        <v>2</v>
      </c>
      <c r="S125" s="169" t="s">
        <v>29</v>
      </c>
      <c r="T125" s="158" t="s">
        <v>1915</v>
      </c>
      <c r="U125" s="164" t="s">
        <v>31</v>
      </c>
      <c r="V125" s="164" t="s">
        <v>4894</v>
      </c>
      <c r="W125" s="1" t="s">
        <v>4927</v>
      </c>
    </row>
    <row r="126" customFormat="false" ht="12.8" hidden="false" customHeight="false" outlineLevel="0" collapsed="false">
      <c r="B126" s="1" t="n">
        <v>8245</v>
      </c>
      <c r="C126" s="155" t="n">
        <v>43381</v>
      </c>
      <c r="D126" s="171" t="s">
        <v>22</v>
      </c>
      <c r="E126" s="5" t="s">
        <v>623</v>
      </c>
      <c r="F126" s="157" t="s">
        <v>272</v>
      </c>
      <c r="G126" s="5" t="s">
        <v>3113</v>
      </c>
      <c r="H126" s="165" t="s">
        <v>474</v>
      </c>
      <c r="I126" s="165" t="s">
        <v>111</v>
      </c>
      <c r="J126" s="158" t="n">
        <v>27.93</v>
      </c>
      <c r="K126" s="159" t="n">
        <v>285164.18</v>
      </c>
      <c r="L126" s="166" t="n">
        <f aca="false">K126/J126</f>
        <v>10209.9598997494</v>
      </c>
      <c r="M126" s="248"/>
      <c r="N126" s="163"/>
      <c r="O126" s="163" t="n">
        <f aca="false">K126+N126</f>
        <v>285164.18</v>
      </c>
      <c r="P126" s="163" t="n">
        <f aca="false">O126/J126</f>
        <v>10209.9598997494</v>
      </c>
      <c r="Q126" s="239" t="s">
        <v>5058</v>
      </c>
      <c r="R126" s="5" t="s">
        <v>27</v>
      </c>
      <c r="S126" s="169" t="s">
        <v>29</v>
      </c>
      <c r="T126" s="158" t="s">
        <v>1915</v>
      </c>
      <c r="U126" s="164" t="s">
        <v>31</v>
      </c>
      <c r="V126" s="164" t="s">
        <v>4894</v>
      </c>
      <c r="W126" s="1" t="s">
        <v>4944</v>
      </c>
    </row>
    <row r="127" customFormat="false" ht="12.8" hidden="false" customHeight="false" outlineLevel="0" collapsed="false">
      <c r="B127" s="1" t="n">
        <v>7507</v>
      </c>
      <c r="C127" s="155" t="n">
        <v>43381</v>
      </c>
      <c r="D127" s="171" t="s">
        <v>22</v>
      </c>
      <c r="E127" s="5" t="s">
        <v>433</v>
      </c>
      <c r="F127" s="157" t="s">
        <v>434</v>
      </c>
      <c r="G127" s="5" t="s">
        <v>1567</v>
      </c>
      <c r="H127" s="165" t="s">
        <v>5059</v>
      </c>
      <c r="I127" s="165" t="s">
        <v>25</v>
      </c>
      <c r="J127" s="158" t="n">
        <v>48.03</v>
      </c>
      <c r="K127" s="159" t="n">
        <v>416900</v>
      </c>
      <c r="L127" s="166" t="n">
        <f aca="false">K127/J127</f>
        <v>8679.99167187175</v>
      </c>
      <c r="M127" s="248"/>
      <c r="N127" s="163"/>
      <c r="O127" s="163" t="n">
        <f aca="false">K127+N127</f>
        <v>416900</v>
      </c>
      <c r="P127" s="163" t="n">
        <f aca="false">O127/J127</f>
        <v>8679.99167187175</v>
      </c>
      <c r="Q127" s="239" t="s">
        <v>5060</v>
      </c>
      <c r="R127" s="5" t="s">
        <v>27</v>
      </c>
      <c r="S127" s="169" t="s">
        <v>29</v>
      </c>
      <c r="T127" s="158" t="s">
        <v>1915</v>
      </c>
      <c r="U127" s="164" t="s">
        <v>31</v>
      </c>
      <c r="V127" s="164" t="s">
        <v>4894</v>
      </c>
      <c r="W127" s="1" t="s">
        <v>4927</v>
      </c>
    </row>
    <row r="128" customFormat="false" ht="12.8" hidden="false" customHeight="false" outlineLevel="0" collapsed="false">
      <c r="B128" s="1" t="n">
        <v>7514</v>
      </c>
      <c r="C128" s="155" t="n">
        <v>43381</v>
      </c>
      <c r="D128" s="171" t="s">
        <v>22</v>
      </c>
      <c r="E128" s="5" t="s">
        <v>433</v>
      </c>
      <c r="F128" s="157" t="s">
        <v>434</v>
      </c>
      <c r="G128" s="5" t="s">
        <v>1567</v>
      </c>
      <c r="H128" s="165" t="s">
        <v>5061</v>
      </c>
      <c r="I128" s="165" t="s">
        <v>27</v>
      </c>
      <c r="J128" s="158" t="n">
        <v>32.78</v>
      </c>
      <c r="K128" s="159" t="n">
        <v>291106</v>
      </c>
      <c r="L128" s="166" t="n">
        <f aca="false">K128/J128</f>
        <v>8880.59792556437</v>
      </c>
      <c r="M128" s="248"/>
      <c r="N128" s="163"/>
      <c r="O128" s="163" t="n">
        <f aca="false">K128+N128</f>
        <v>291106</v>
      </c>
      <c r="P128" s="163" t="n">
        <f aca="false">O128/J128</f>
        <v>8880.59792556437</v>
      </c>
      <c r="Q128" s="239" t="s">
        <v>5062</v>
      </c>
      <c r="R128" s="5" t="s">
        <v>27</v>
      </c>
      <c r="S128" s="169" t="s">
        <v>29</v>
      </c>
      <c r="T128" s="158" t="s">
        <v>1915</v>
      </c>
      <c r="U128" s="164" t="s">
        <v>31</v>
      </c>
      <c r="V128" s="164" t="s">
        <v>4894</v>
      </c>
      <c r="W128" s="1" t="s">
        <v>4927</v>
      </c>
    </row>
    <row r="129" customFormat="false" ht="12.8" hidden="false" customHeight="false" outlineLevel="0" collapsed="false">
      <c r="B129" s="1" t="n">
        <v>4868</v>
      </c>
      <c r="C129" s="155" t="n">
        <v>43382</v>
      </c>
      <c r="D129" s="171" t="s">
        <v>22</v>
      </c>
      <c r="E129" s="5" t="s">
        <v>306</v>
      </c>
      <c r="F129" s="157" t="s">
        <v>138</v>
      </c>
      <c r="G129" s="5" t="s">
        <v>36</v>
      </c>
      <c r="H129" s="165" t="s">
        <v>165</v>
      </c>
      <c r="I129" s="165" t="s">
        <v>101</v>
      </c>
      <c r="J129" s="158" t="n">
        <v>122.4</v>
      </c>
      <c r="K129" s="159" t="n">
        <v>1056416</v>
      </c>
      <c r="L129" s="166" t="n">
        <f aca="false">K129/J129</f>
        <v>8630.84967320262</v>
      </c>
      <c r="M129" s="248" t="s">
        <v>5063</v>
      </c>
      <c r="N129" s="163" t="n">
        <v>37000</v>
      </c>
      <c r="O129" s="163" t="n">
        <f aca="false">K129+N129</f>
        <v>1093416</v>
      </c>
      <c r="P129" s="163" t="n">
        <f aca="false">O129/J129</f>
        <v>8933.13725490196</v>
      </c>
      <c r="Q129" s="239" t="s">
        <v>5064</v>
      </c>
      <c r="R129" s="5" t="s">
        <v>49</v>
      </c>
      <c r="S129" s="169" t="s">
        <v>29</v>
      </c>
      <c r="T129" s="158" t="s">
        <v>1915</v>
      </c>
      <c r="U129" s="164" t="s">
        <v>31</v>
      </c>
      <c r="V129" s="164" t="s">
        <v>4894</v>
      </c>
      <c r="W129" s="1" t="s">
        <v>5065</v>
      </c>
    </row>
    <row r="130" customFormat="false" ht="12.8" hidden="false" customHeight="false" outlineLevel="0" collapsed="false">
      <c r="B130" s="1" t="n">
        <v>6588</v>
      </c>
      <c r="C130" s="155" t="n">
        <v>43382</v>
      </c>
      <c r="D130" s="171" t="s">
        <v>22</v>
      </c>
      <c r="E130" s="5" t="s">
        <v>75</v>
      </c>
      <c r="F130" s="157" t="s">
        <v>1209</v>
      </c>
      <c r="G130" s="5" t="s">
        <v>821</v>
      </c>
      <c r="H130" s="165" t="s">
        <v>116</v>
      </c>
      <c r="I130" s="165" t="s">
        <v>49</v>
      </c>
      <c r="J130" s="158" t="n">
        <v>50.16</v>
      </c>
      <c r="K130" s="199" t="n">
        <v>445090</v>
      </c>
      <c r="L130" s="200" t="n">
        <f aca="false">K130/J130</f>
        <v>8873.40510366826</v>
      </c>
      <c r="M130" s="248" t="s">
        <v>987</v>
      </c>
      <c r="N130" s="168"/>
      <c r="O130" s="168" t="n">
        <v>445090</v>
      </c>
      <c r="P130" s="168" t="n">
        <f aca="false">O130/J130</f>
        <v>8873.40510366826</v>
      </c>
      <c r="Q130" s="239" t="s">
        <v>5066</v>
      </c>
      <c r="R130" s="5" t="s">
        <v>26</v>
      </c>
      <c r="S130" s="169" t="s">
        <v>29</v>
      </c>
      <c r="T130" s="158" t="s">
        <v>1915</v>
      </c>
      <c r="U130" s="35" t="s">
        <v>31</v>
      </c>
      <c r="V130" s="164" t="s">
        <v>4894</v>
      </c>
      <c r="W130" s="1" t="s">
        <v>4956</v>
      </c>
    </row>
    <row r="131" customFormat="false" ht="12.8" hidden="false" customHeight="false" outlineLevel="0" collapsed="false">
      <c r="B131" s="1" t="n">
        <v>7641</v>
      </c>
      <c r="C131" s="155" t="n">
        <v>43383</v>
      </c>
      <c r="D131" s="171" t="s">
        <v>22</v>
      </c>
      <c r="E131" s="5" t="s">
        <v>433</v>
      </c>
      <c r="F131" s="157" t="s">
        <v>434</v>
      </c>
      <c r="G131" s="5" t="s">
        <v>1567</v>
      </c>
      <c r="H131" s="165" t="s">
        <v>5067</v>
      </c>
      <c r="I131" s="165" t="s">
        <v>26</v>
      </c>
      <c r="J131" s="158" t="n">
        <v>30.51</v>
      </c>
      <c r="K131" s="159" t="n">
        <v>282679.35</v>
      </c>
      <c r="L131" s="166" t="n">
        <f aca="false">K131/J131</f>
        <v>9265.13765978368</v>
      </c>
      <c r="M131" s="248"/>
      <c r="N131" s="163"/>
      <c r="O131" s="163" t="n">
        <f aca="false">K131+N131</f>
        <v>282679.35</v>
      </c>
      <c r="P131" s="163" t="n">
        <f aca="false">O131/J131</f>
        <v>9265.13765978368</v>
      </c>
      <c r="Q131" s="239" t="s">
        <v>5068</v>
      </c>
      <c r="R131" s="5" t="s">
        <v>27</v>
      </c>
      <c r="S131" s="169" t="s">
        <v>29</v>
      </c>
      <c r="T131" s="158" t="s">
        <v>1915</v>
      </c>
      <c r="U131" s="164" t="s">
        <v>31</v>
      </c>
      <c r="V131" s="164" t="s">
        <v>4894</v>
      </c>
      <c r="W131" s="1" t="s">
        <v>4927</v>
      </c>
    </row>
    <row r="132" customFormat="false" ht="12.8" hidden="false" customHeight="false" outlineLevel="0" collapsed="false">
      <c r="B132" s="1" t="n">
        <v>9833</v>
      </c>
      <c r="C132" s="155" t="n">
        <v>43383</v>
      </c>
      <c r="D132" s="171" t="s">
        <v>22</v>
      </c>
      <c r="E132" s="5" t="s">
        <v>156</v>
      </c>
      <c r="F132" s="157" t="s">
        <v>2225</v>
      </c>
      <c r="G132" s="5" t="s">
        <v>217</v>
      </c>
      <c r="H132" s="165" t="s">
        <v>112</v>
      </c>
      <c r="I132" s="165" t="s">
        <v>36</v>
      </c>
      <c r="J132" s="158" t="n">
        <v>57.45</v>
      </c>
      <c r="K132" s="159" t="n">
        <v>451598.59</v>
      </c>
      <c r="L132" s="166" t="n">
        <f aca="false">K132/J132</f>
        <v>7860.72393385553</v>
      </c>
      <c r="M132" s="248"/>
      <c r="N132" s="163"/>
      <c r="O132" s="163" t="n">
        <f aca="false">K132+N132</f>
        <v>451598.59</v>
      </c>
      <c r="P132" s="163" t="n">
        <f aca="false">O132/J132</f>
        <v>7860.72393385553</v>
      </c>
      <c r="Q132" s="239" t="s">
        <v>5069</v>
      </c>
      <c r="R132" s="5" t="s">
        <v>36</v>
      </c>
      <c r="S132" s="169" t="s">
        <v>29</v>
      </c>
      <c r="T132" s="158" t="s">
        <v>1915</v>
      </c>
      <c r="U132" s="164" t="s">
        <v>31</v>
      </c>
      <c r="V132" s="164" t="s">
        <v>4894</v>
      </c>
      <c r="W132" s="1" t="s">
        <v>4752</v>
      </c>
    </row>
    <row r="133" customFormat="false" ht="12.8" hidden="false" customHeight="false" outlineLevel="0" collapsed="false">
      <c r="B133" s="1" t="n">
        <v>14399</v>
      </c>
      <c r="C133" s="155" t="n">
        <v>43384</v>
      </c>
      <c r="D133" s="171" t="s">
        <v>22</v>
      </c>
      <c r="E133" s="5" t="s">
        <v>75</v>
      </c>
      <c r="F133" s="157" t="s">
        <v>1209</v>
      </c>
      <c r="G133" s="5" t="n">
        <v>103</v>
      </c>
      <c r="H133" s="165" t="n">
        <v>55</v>
      </c>
      <c r="I133" s="165" t="n">
        <v>1</v>
      </c>
      <c r="J133" s="158" t="n">
        <v>63.62</v>
      </c>
      <c r="K133" s="159" t="n">
        <v>540428</v>
      </c>
      <c r="L133" s="166" t="n">
        <f aca="false">K133/J133</f>
        <v>8494.62433197108</v>
      </c>
      <c r="M133" s="248"/>
      <c r="N133" s="163"/>
      <c r="O133" s="163" t="n">
        <f aca="false">K133+N133</f>
        <v>540428</v>
      </c>
      <c r="P133" s="163" t="n">
        <f aca="false">O133/J133</f>
        <v>8494.62433197108</v>
      </c>
      <c r="Q133" s="8" t="s">
        <v>5070</v>
      </c>
      <c r="R133" s="2" t="n">
        <v>3</v>
      </c>
      <c r="S133" s="169" t="s">
        <v>29</v>
      </c>
      <c r="T133" s="158" t="s">
        <v>1915</v>
      </c>
      <c r="U133" s="164" t="s">
        <v>31</v>
      </c>
      <c r="V133" s="164" t="s">
        <v>4894</v>
      </c>
      <c r="W133" s="1" t="s">
        <v>4956</v>
      </c>
    </row>
    <row r="134" customFormat="false" ht="12.8" hidden="false" customHeight="false" outlineLevel="0" collapsed="false">
      <c r="B134" s="1" t="n">
        <v>14392</v>
      </c>
      <c r="C134" s="155" t="n">
        <v>43384</v>
      </c>
      <c r="D134" s="171" t="s">
        <v>22</v>
      </c>
      <c r="E134" s="5" t="s">
        <v>75</v>
      </c>
      <c r="F134" s="157" t="s">
        <v>1209</v>
      </c>
      <c r="G134" s="5" t="s">
        <v>821</v>
      </c>
      <c r="H134" s="165" t="s">
        <v>126</v>
      </c>
      <c r="I134" s="165" t="s">
        <v>49</v>
      </c>
      <c r="J134" s="158" t="n">
        <v>76.81</v>
      </c>
      <c r="K134" s="159" t="n">
        <v>572791.35</v>
      </c>
      <c r="L134" s="166" t="n">
        <f aca="false">K134/J134</f>
        <v>7457.24970706939</v>
      </c>
      <c r="M134" s="248"/>
      <c r="N134" s="163"/>
      <c r="O134" s="163" t="n">
        <f aca="false">K134+N134</f>
        <v>572791.35</v>
      </c>
      <c r="P134" s="163" t="n">
        <f aca="false">O134/J134</f>
        <v>7457.24970706939</v>
      </c>
      <c r="Q134" s="239" t="s">
        <v>1932</v>
      </c>
      <c r="R134" s="5" t="s">
        <v>26</v>
      </c>
      <c r="S134" s="169" t="s">
        <v>29</v>
      </c>
      <c r="T134" s="158" t="s">
        <v>1915</v>
      </c>
      <c r="U134" s="164" t="s">
        <v>31</v>
      </c>
      <c r="V134" s="164" t="s">
        <v>4894</v>
      </c>
      <c r="W134" s="1" t="s">
        <v>4956</v>
      </c>
    </row>
    <row r="135" customFormat="false" ht="12.8" hidden="false" customHeight="false" outlineLevel="0" collapsed="false">
      <c r="B135" s="1" t="n">
        <v>50646</v>
      </c>
      <c r="C135" s="155" t="n">
        <v>43388</v>
      </c>
      <c r="D135" s="171" t="s">
        <v>22</v>
      </c>
      <c r="E135" s="5" t="s">
        <v>433</v>
      </c>
      <c r="F135" s="157" t="s">
        <v>434</v>
      </c>
      <c r="G135" s="5" t="s">
        <v>101</v>
      </c>
      <c r="H135" s="165" t="s">
        <v>143</v>
      </c>
      <c r="I135" s="165" t="s">
        <v>49</v>
      </c>
      <c r="J135" s="158" t="n">
        <v>59.1</v>
      </c>
      <c r="K135" s="199" t="n">
        <v>511200</v>
      </c>
      <c r="L135" s="200" t="n">
        <f aca="false">K135/J135</f>
        <v>8649.7461928934</v>
      </c>
      <c r="M135" s="248" t="s">
        <v>5071</v>
      </c>
      <c r="N135" s="168"/>
      <c r="O135" s="168" t="n">
        <v>511200</v>
      </c>
      <c r="P135" s="168" t="n">
        <f aca="false">O135/J135</f>
        <v>8649.7461928934</v>
      </c>
      <c r="Q135" s="239" t="s">
        <v>5072</v>
      </c>
      <c r="R135" s="5" t="s">
        <v>26</v>
      </c>
      <c r="S135" s="169" t="s">
        <v>29</v>
      </c>
      <c r="T135" s="158" t="s">
        <v>1915</v>
      </c>
      <c r="U135" s="35" t="s">
        <v>31</v>
      </c>
      <c r="V135" s="164" t="s">
        <v>4894</v>
      </c>
      <c r="W135" s="1" t="s">
        <v>4927</v>
      </c>
    </row>
    <row r="136" customFormat="false" ht="12.8" hidden="false" customHeight="false" outlineLevel="0" collapsed="false">
      <c r="B136" s="1" t="n">
        <v>4977</v>
      </c>
      <c r="C136" s="155" t="n">
        <v>43389</v>
      </c>
      <c r="D136" s="171" t="s">
        <v>22</v>
      </c>
      <c r="E136" s="5" t="s">
        <v>203</v>
      </c>
      <c r="F136" s="157" t="s">
        <v>5073</v>
      </c>
      <c r="G136" s="5" t="s">
        <v>25</v>
      </c>
      <c r="H136" s="165" t="s">
        <v>413</v>
      </c>
      <c r="I136" s="165" t="s">
        <v>25</v>
      </c>
      <c r="J136" s="158" t="n">
        <v>108.61</v>
      </c>
      <c r="K136" s="199" t="n">
        <v>955564.59</v>
      </c>
      <c r="L136" s="200" t="n">
        <f aca="false">K136/J136</f>
        <v>8798.12715219593</v>
      </c>
      <c r="M136" s="248" t="s">
        <v>5074</v>
      </c>
      <c r="N136" s="168" t="n">
        <v>78000</v>
      </c>
      <c r="O136" s="168" t="n">
        <f aca="false">N136+K136</f>
        <v>1033564.59</v>
      </c>
      <c r="P136" s="168" t="n">
        <f aca="false">O136/J136</f>
        <v>9516.29306693675</v>
      </c>
      <c r="Q136" s="239" t="s">
        <v>5075</v>
      </c>
      <c r="R136" s="5" t="s">
        <v>49</v>
      </c>
      <c r="S136" s="169" t="s">
        <v>29</v>
      </c>
      <c r="T136" s="158" t="s">
        <v>1915</v>
      </c>
      <c r="U136" s="35" t="s">
        <v>31</v>
      </c>
      <c r="V136" s="164" t="s">
        <v>4894</v>
      </c>
      <c r="W136" s="1" t="s">
        <v>4973</v>
      </c>
    </row>
    <row r="137" customFormat="false" ht="12.8" hidden="false" customHeight="false" outlineLevel="0" collapsed="false">
      <c r="B137" s="1" t="n">
        <v>3643</v>
      </c>
      <c r="C137" s="155" t="n">
        <v>43390</v>
      </c>
      <c r="D137" s="171" t="s">
        <v>22</v>
      </c>
      <c r="E137" s="5" t="s">
        <v>156</v>
      </c>
      <c r="F137" s="157" t="s">
        <v>5076</v>
      </c>
      <c r="G137" s="5" t="s">
        <v>128</v>
      </c>
      <c r="H137" s="165" t="s">
        <v>336</v>
      </c>
      <c r="I137" s="165" t="s">
        <v>26</v>
      </c>
      <c r="J137" s="158" t="n">
        <v>37.79</v>
      </c>
      <c r="K137" s="199" t="n">
        <v>326985.1</v>
      </c>
      <c r="L137" s="200" t="n">
        <f aca="false">K137/J137</f>
        <v>8652.68854194231</v>
      </c>
      <c r="M137" s="248" t="s">
        <v>987</v>
      </c>
      <c r="N137" s="168"/>
      <c r="O137" s="168" t="n">
        <v>326985.1</v>
      </c>
      <c r="P137" s="168" t="n">
        <f aca="false">O137/J137</f>
        <v>8652.68854194231</v>
      </c>
      <c r="Q137" s="239" t="s">
        <v>5077</v>
      </c>
      <c r="R137" s="5" t="s">
        <v>36</v>
      </c>
      <c r="S137" s="169" t="s">
        <v>29</v>
      </c>
      <c r="T137" s="158" t="s">
        <v>1915</v>
      </c>
      <c r="U137" s="35" t="s">
        <v>31</v>
      </c>
      <c r="V137" s="164" t="s">
        <v>4894</v>
      </c>
      <c r="W137" s="1" t="s">
        <v>4752</v>
      </c>
    </row>
    <row r="138" customFormat="false" ht="12.8" hidden="false" customHeight="false" outlineLevel="0" collapsed="false">
      <c r="B138" s="1" t="n">
        <v>10244</v>
      </c>
      <c r="C138" s="155" t="n">
        <v>43390</v>
      </c>
      <c r="D138" s="171" t="s">
        <v>22</v>
      </c>
      <c r="E138" s="5" t="s">
        <v>23</v>
      </c>
      <c r="F138" s="157" t="s">
        <v>5078</v>
      </c>
      <c r="G138" s="5" t="s">
        <v>48</v>
      </c>
      <c r="H138" s="165" t="s">
        <v>48</v>
      </c>
      <c r="I138" s="165" t="s">
        <v>49</v>
      </c>
      <c r="J138" s="158" t="n">
        <v>73.23</v>
      </c>
      <c r="K138" s="199" t="n">
        <v>1098450</v>
      </c>
      <c r="L138" s="200" t="n">
        <f aca="false">K138/J138</f>
        <v>15000</v>
      </c>
      <c r="M138" s="248" t="s">
        <v>987</v>
      </c>
      <c r="N138" s="168"/>
      <c r="O138" s="168" t="n">
        <v>1098450</v>
      </c>
      <c r="P138" s="168" t="n">
        <f aca="false">O138/J138</f>
        <v>15000</v>
      </c>
      <c r="Q138" s="239" t="s">
        <v>5079</v>
      </c>
      <c r="R138" s="5" t="s">
        <v>26</v>
      </c>
      <c r="S138" s="169" t="s">
        <v>29</v>
      </c>
      <c r="T138" s="158" t="s">
        <v>1915</v>
      </c>
      <c r="U138" s="35" t="s">
        <v>31</v>
      </c>
      <c r="V138" s="164" t="s">
        <v>4894</v>
      </c>
      <c r="W138" s="1" t="s">
        <v>5023</v>
      </c>
    </row>
    <row r="139" customFormat="false" ht="12.8" hidden="false" customHeight="false" outlineLevel="0" collapsed="false">
      <c r="B139" s="1" t="n">
        <v>33602</v>
      </c>
      <c r="C139" s="155" t="n">
        <v>43391</v>
      </c>
      <c r="D139" s="171" t="s">
        <v>22</v>
      </c>
      <c r="E139" s="5" t="s">
        <v>118</v>
      </c>
      <c r="F139" s="157" t="s">
        <v>1076</v>
      </c>
      <c r="G139" s="5" t="s">
        <v>95</v>
      </c>
      <c r="H139" s="165" t="s">
        <v>111</v>
      </c>
      <c r="I139" s="165" t="s">
        <v>36</v>
      </c>
      <c r="J139" s="158" t="n">
        <v>27.63</v>
      </c>
      <c r="K139" s="199" t="n">
        <v>212500</v>
      </c>
      <c r="L139" s="200" t="n">
        <f aca="false">K139/J139</f>
        <v>7690.9156713717</v>
      </c>
      <c r="M139" s="248" t="s">
        <v>2110</v>
      </c>
      <c r="N139" s="168"/>
      <c r="O139" s="168" t="n">
        <v>212500</v>
      </c>
      <c r="P139" s="168" t="n">
        <f aca="false">O139/J139</f>
        <v>7690.9156713717</v>
      </c>
      <c r="Q139" s="239" t="s">
        <v>5080</v>
      </c>
      <c r="R139" s="5" t="s">
        <v>36</v>
      </c>
      <c r="S139" s="169" t="s">
        <v>29</v>
      </c>
      <c r="T139" s="158" t="s">
        <v>1915</v>
      </c>
      <c r="U139" s="35" t="s">
        <v>31</v>
      </c>
      <c r="V139" s="164" t="s">
        <v>4894</v>
      </c>
      <c r="W139" s="1" t="s">
        <v>5081</v>
      </c>
    </row>
    <row r="140" customFormat="false" ht="12.8" hidden="false" customHeight="false" outlineLevel="0" collapsed="false">
      <c r="B140" s="1" t="n">
        <v>9488</v>
      </c>
      <c r="C140" s="155" t="n">
        <v>43392</v>
      </c>
      <c r="D140" s="171" t="s">
        <v>22</v>
      </c>
      <c r="E140" s="5" t="s">
        <v>319</v>
      </c>
      <c r="F140" s="157" t="s">
        <v>5082</v>
      </c>
      <c r="G140" s="5" t="s">
        <v>111</v>
      </c>
      <c r="H140" s="165" t="s">
        <v>294</v>
      </c>
      <c r="I140" s="165" t="s">
        <v>49</v>
      </c>
      <c r="J140" s="158" t="n">
        <v>43.15</v>
      </c>
      <c r="K140" s="199" t="n">
        <v>427155.19</v>
      </c>
      <c r="L140" s="200" t="n">
        <f aca="false">K140/J140</f>
        <v>9899.30915411356</v>
      </c>
      <c r="M140" s="248" t="s">
        <v>987</v>
      </c>
      <c r="N140" s="168"/>
      <c r="O140" s="168" t="n">
        <v>427155.19</v>
      </c>
      <c r="P140" s="168" t="n">
        <f aca="false">O140/J140</f>
        <v>9899.30915411356</v>
      </c>
      <c r="Q140" s="239" t="s">
        <v>5083</v>
      </c>
      <c r="R140" s="5" t="s">
        <v>26</v>
      </c>
      <c r="S140" s="169" t="s">
        <v>29</v>
      </c>
      <c r="T140" s="158" t="s">
        <v>1915</v>
      </c>
      <c r="U140" s="35" t="s">
        <v>31</v>
      </c>
      <c r="V140" s="164" t="s">
        <v>4894</v>
      </c>
      <c r="W140" s="1" t="s">
        <v>4968</v>
      </c>
    </row>
    <row r="141" customFormat="false" ht="12.8" hidden="false" customHeight="false" outlineLevel="0" collapsed="false">
      <c r="B141" s="1" t="n">
        <v>52220</v>
      </c>
      <c r="C141" s="155" t="n">
        <v>43395</v>
      </c>
      <c r="D141" s="171" t="s">
        <v>22</v>
      </c>
      <c r="E141" s="5" t="s">
        <v>322</v>
      </c>
      <c r="F141" s="157" t="s">
        <v>323</v>
      </c>
      <c r="G141" s="5" t="s">
        <v>5084</v>
      </c>
      <c r="H141" s="165" t="s">
        <v>474</v>
      </c>
      <c r="I141" s="165" t="s">
        <v>25</v>
      </c>
      <c r="J141" s="158" t="n">
        <v>61.53</v>
      </c>
      <c r="K141" s="199" t="n">
        <v>507629.88</v>
      </c>
      <c r="L141" s="200" t="n">
        <f aca="false">K141/J141</f>
        <v>8250.11994149196</v>
      </c>
      <c r="M141" s="248" t="s">
        <v>1021</v>
      </c>
      <c r="N141" s="168" t="n">
        <v>39999.6</v>
      </c>
      <c r="O141" s="168" t="n">
        <f aca="false">N141+K141</f>
        <v>547629.48</v>
      </c>
      <c r="P141" s="168" t="n">
        <f aca="false">O141/J141</f>
        <v>8900.20282788883</v>
      </c>
      <c r="Q141" s="239" t="s">
        <v>5085</v>
      </c>
      <c r="R141" s="5" t="s">
        <v>26</v>
      </c>
      <c r="S141" s="169" t="s">
        <v>29</v>
      </c>
      <c r="T141" s="158" t="s">
        <v>1915</v>
      </c>
      <c r="U141" s="35" t="s">
        <v>31</v>
      </c>
      <c r="V141" s="164" t="s">
        <v>4894</v>
      </c>
      <c r="W141" s="1" t="s">
        <v>4924</v>
      </c>
    </row>
    <row r="142" customFormat="false" ht="12.8" hidden="false" customHeight="false" outlineLevel="0" collapsed="false">
      <c r="B142" s="1" t="n">
        <v>33246</v>
      </c>
      <c r="C142" s="155" t="n">
        <v>43395</v>
      </c>
      <c r="D142" s="171" t="s">
        <v>22</v>
      </c>
      <c r="E142" s="5" t="s">
        <v>203</v>
      </c>
      <c r="F142" s="157" t="s">
        <v>5073</v>
      </c>
      <c r="G142" s="5" t="s">
        <v>36</v>
      </c>
      <c r="H142" s="165" t="s">
        <v>250</v>
      </c>
      <c r="I142" s="165" t="s">
        <v>101</v>
      </c>
      <c r="J142" s="158" t="n">
        <v>126.82</v>
      </c>
      <c r="K142" s="199" t="n">
        <v>1106621.93</v>
      </c>
      <c r="L142" s="200" t="n">
        <f aca="false">K142/J142</f>
        <v>8725.92595805078</v>
      </c>
      <c r="M142" s="248" t="s">
        <v>5086</v>
      </c>
      <c r="N142" s="168" t="n">
        <v>47280</v>
      </c>
      <c r="O142" s="168" t="n">
        <f aca="false">N142+K142</f>
        <v>1153901.93</v>
      </c>
      <c r="P142" s="168" t="n">
        <f aca="false">O142/J142</f>
        <v>9098.73781737896</v>
      </c>
      <c r="Q142" s="239" t="s">
        <v>5087</v>
      </c>
      <c r="R142" s="5" t="s">
        <v>57</v>
      </c>
      <c r="S142" s="169" t="s">
        <v>29</v>
      </c>
      <c r="T142" s="158" t="s">
        <v>1915</v>
      </c>
      <c r="U142" s="35" t="s">
        <v>31</v>
      </c>
      <c r="V142" s="164" t="s">
        <v>4894</v>
      </c>
      <c r="W142" s="1" t="s">
        <v>4973</v>
      </c>
    </row>
    <row r="143" customFormat="false" ht="12.8" hidden="false" customHeight="false" outlineLevel="0" collapsed="false">
      <c r="B143" s="1" t="n">
        <v>52175</v>
      </c>
      <c r="C143" s="155" t="n">
        <v>43395</v>
      </c>
      <c r="D143" s="171" t="s">
        <v>22</v>
      </c>
      <c r="E143" s="5" t="s">
        <v>433</v>
      </c>
      <c r="F143" s="157" t="s">
        <v>323</v>
      </c>
      <c r="G143" s="5" t="s">
        <v>570</v>
      </c>
      <c r="H143" s="165" t="s">
        <v>67</v>
      </c>
      <c r="I143" s="165" t="s">
        <v>112</v>
      </c>
      <c r="J143" s="158" t="n">
        <v>30.58</v>
      </c>
      <c r="K143" s="199" t="n">
        <v>262956.2</v>
      </c>
      <c r="L143" s="200" t="n">
        <f aca="false">K143/J143</f>
        <v>8598.96010464356</v>
      </c>
      <c r="M143" s="248"/>
      <c r="N143" s="168"/>
      <c r="O143" s="168" t="n">
        <v>262956</v>
      </c>
      <c r="P143" s="168" t="n">
        <f aca="false">K143/J143</f>
        <v>8598.96010464356</v>
      </c>
      <c r="Q143" s="239" t="s">
        <v>3005</v>
      </c>
      <c r="R143" s="5" t="s">
        <v>36</v>
      </c>
      <c r="S143" s="169" t="s">
        <v>29</v>
      </c>
      <c r="T143" s="158" t="s">
        <v>1915</v>
      </c>
      <c r="U143" s="35" t="s">
        <v>31</v>
      </c>
      <c r="V143" s="164" t="s">
        <v>4894</v>
      </c>
      <c r="W143" s="1" t="s">
        <v>4924</v>
      </c>
    </row>
    <row r="144" customFormat="false" ht="12.8" hidden="false" customHeight="false" outlineLevel="0" collapsed="false">
      <c r="B144" s="1" t="n">
        <v>9818</v>
      </c>
      <c r="C144" s="155" t="n">
        <v>43396</v>
      </c>
      <c r="D144" s="171" t="s">
        <v>22</v>
      </c>
      <c r="E144" s="5" t="s">
        <v>623</v>
      </c>
      <c r="F144" s="157" t="s">
        <v>272</v>
      </c>
      <c r="G144" s="5" t="s">
        <v>3113</v>
      </c>
      <c r="H144" s="165" t="s">
        <v>2931</v>
      </c>
      <c r="I144" s="165" t="s">
        <v>36</v>
      </c>
      <c r="J144" s="158" t="n">
        <v>50.83</v>
      </c>
      <c r="K144" s="199" t="n">
        <v>436562</v>
      </c>
      <c r="L144" s="200" t="n">
        <f aca="false">K144/J144</f>
        <v>8588.66810938422</v>
      </c>
      <c r="M144" s="248" t="s">
        <v>5088</v>
      </c>
      <c r="N144" s="168" t="n">
        <v>21000</v>
      </c>
      <c r="O144" s="168" t="n">
        <f aca="false">N144+K144</f>
        <v>457562</v>
      </c>
      <c r="P144" s="168" t="n">
        <f aca="false">O144/J144</f>
        <v>9001.80995475113</v>
      </c>
      <c r="Q144" s="239" t="s">
        <v>5089</v>
      </c>
      <c r="R144" s="5" t="s">
        <v>36</v>
      </c>
      <c r="S144" s="169" t="s">
        <v>29</v>
      </c>
      <c r="T144" s="158" t="s">
        <v>1915</v>
      </c>
      <c r="U144" s="35" t="s">
        <v>31</v>
      </c>
      <c r="V144" s="164" t="s">
        <v>4894</v>
      </c>
      <c r="W144" s="1" t="s">
        <v>4944</v>
      </c>
    </row>
    <row r="145" customFormat="false" ht="12.8" hidden="false" customHeight="false" outlineLevel="0" collapsed="false">
      <c r="B145" s="1" t="n">
        <v>52322</v>
      </c>
      <c r="C145" s="155" t="n">
        <v>43396</v>
      </c>
      <c r="D145" s="171" t="s">
        <v>22</v>
      </c>
      <c r="E145" s="5" t="s">
        <v>433</v>
      </c>
      <c r="F145" s="157" t="s">
        <v>434</v>
      </c>
      <c r="G145" s="5" t="s">
        <v>101</v>
      </c>
      <c r="H145" s="165" t="s">
        <v>658</v>
      </c>
      <c r="I145" s="165" t="s">
        <v>49</v>
      </c>
      <c r="J145" s="158" t="n">
        <v>47.35</v>
      </c>
      <c r="K145" s="199" t="n">
        <v>422000</v>
      </c>
      <c r="L145" s="200" t="n">
        <f aca="false">K145/J145</f>
        <v>8912.35480464625</v>
      </c>
      <c r="M145" s="248" t="s">
        <v>1461</v>
      </c>
      <c r="N145" s="168"/>
      <c r="O145" s="168" t="n">
        <v>422000</v>
      </c>
      <c r="P145" s="168" t="n">
        <f aca="false">O145/J145</f>
        <v>8912.35480464625</v>
      </c>
      <c r="Q145" s="239" t="s">
        <v>5090</v>
      </c>
      <c r="R145" s="5" t="s">
        <v>26</v>
      </c>
      <c r="S145" s="169" t="s">
        <v>29</v>
      </c>
      <c r="T145" s="158" t="s">
        <v>1915</v>
      </c>
      <c r="U145" s="35" t="s">
        <v>31</v>
      </c>
      <c r="V145" s="164" t="s">
        <v>4894</v>
      </c>
      <c r="W145" s="1" t="s">
        <v>4927</v>
      </c>
    </row>
    <row r="146" customFormat="false" ht="12.8" hidden="false" customHeight="false" outlineLevel="0" collapsed="false">
      <c r="B146" s="1" t="n">
        <v>52370</v>
      </c>
      <c r="C146" s="155" t="n">
        <v>43396</v>
      </c>
      <c r="D146" s="171" t="s">
        <v>22</v>
      </c>
      <c r="E146" s="5" t="s">
        <v>433</v>
      </c>
      <c r="F146" s="157" t="s">
        <v>323</v>
      </c>
      <c r="G146" s="5" t="s">
        <v>545</v>
      </c>
      <c r="H146" s="165" t="s">
        <v>5091</v>
      </c>
      <c r="I146" s="165" t="s">
        <v>26</v>
      </c>
      <c r="J146" s="158" t="n">
        <v>63.28</v>
      </c>
      <c r="K146" s="199" t="n">
        <v>509424.25</v>
      </c>
      <c r="L146" s="200" t="n">
        <f aca="false">K146/J146</f>
        <v>8050.32000632111</v>
      </c>
      <c r="M146" s="248" t="s">
        <v>1021</v>
      </c>
      <c r="N146" s="168" t="n">
        <v>44998.32</v>
      </c>
      <c r="O146" s="168" t="n">
        <f aca="false">N146+K146</f>
        <v>554422.57</v>
      </c>
      <c r="P146" s="168" t="n">
        <f aca="false">O146/J146</f>
        <v>8761.41861567636</v>
      </c>
      <c r="Q146" s="239" t="s">
        <v>5092</v>
      </c>
      <c r="R146" s="5" t="s">
        <v>26</v>
      </c>
      <c r="S146" s="169" t="s">
        <v>29</v>
      </c>
      <c r="T146" s="158" t="s">
        <v>1915</v>
      </c>
      <c r="U146" s="35" t="s">
        <v>31</v>
      </c>
      <c r="V146" s="164" t="s">
        <v>4894</v>
      </c>
      <c r="W146" s="1" t="s">
        <v>4924</v>
      </c>
    </row>
    <row r="147" customFormat="false" ht="12.8" hidden="false" customHeight="false" outlineLevel="0" collapsed="false">
      <c r="B147" s="1" t="n">
        <v>6866</v>
      </c>
      <c r="C147" s="155" t="n">
        <v>43396</v>
      </c>
      <c r="D147" s="171" t="s">
        <v>22</v>
      </c>
      <c r="E147" s="5" t="s">
        <v>623</v>
      </c>
      <c r="F147" s="157" t="s">
        <v>272</v>
      </c>
      <c r="G147" s="5" t="s">
        <v>3113</v>
      </c>
      <c r="H147" s="165" t="s">
        <v>231</v>
      </c>
      <c r="I147" s="165" t="s">
        <v>143</v>
      </c>
      <c r="J147" s="158" t="n">
        <v>115.86</v>
      </c>
      <c r="K147" s="199" t="n">
        <v>996998</v>
      </c>
      <c r="L147" s="200" t="n">
        <f aca="false">K147/J147</f>
        <v>8605.19592611773</v>
      </c>
      <c r="M147" s="248" t="s">
        <v>987</v>
      </c>
      <c r="N147" s="168" t="n">
        <v>21000</v>
      </c>
      <c r="O147" s="168" t="n">
        <f aca="false">N147+K147</f>
        <v>1017998</v>
      </c>
      <c r="P147" s="168" t="n">
        <f aca="false">O147/J147</f>
        <v>8786.44916278267</v>
      </c>
      <c r="Q147" s="239" t="s">
        <v>5093</v>
      </c>
      <c r="R147" s="5" t="s">
        <v>57</v>
      </c>
      <c r="S147" s="169" t="s">
        <v>29</v>
      </c>
      <c r="T147" s="158" t="s">
        <v>1915</v>
      </c>
      <c r="U147" s="35" t="s">
        <v>31</v>
      </c>
      <c r="V147" s="164" t="s">
        <v>4894</v>
      </c>
      <c r="W147" s="1" t="s">
        <v>4944</v>
      </c>
    </row>
    <row r="148" customFormat="false" ht="12.8" hidden="false" customHeight="false" outlineLevel="0" collapsed="false">
      <c r="B148" s="1" t="n">
        <v>52273</v>
      </c>
      <c r="C148" s="155" t="n">
        <v>43396</v>
      </c>
      <c r="D148" s="171" t="s">
        <v>22</v>
      </c>
      <c r="E148" s="5" t="s">
        <v>433</v>
      </c>
      <c r="F148" s="157" t="s">
        <v>434</v>
      </c>
      <c r="G148" s="5" t="s">
        <v>101</v>
      </c>
      <c r="H148" s="165" t="s">
        <v>820</v>
      </c>
      <c r="I148" s="165" t="s">
        <v>49</v>
      </c>
      <c r="J148" s="158" t="n">
        <v>31.08</v>
      </c>
      <c r="K148" s="199" t="n">
        <v>282883.82</v>
      </c>
      <c r="L148" s="200" t="n">
        <f aca="false">K148/J148</f>
        <v>9101.79601029601</v>
      </c>
      <c r="M148" s="248" t="s">
        <v>987</v>
      </c>
      <c r="N148" s="168"/>
      <c r="O148" s="168" t="n">
        <v>282833.82</v>
      </c>
      <c r="P148" s="168" t="n">
        <f aca="false">O148/J148</f>
        <v>9100.18725868726</v>
      </c>
      <c r="Q148" s="239" t="s">
        <v>5094</v>
      </c>
      <c r="R148" s="5" t="s">
        <v>36</v>
      </c>
      <c r="S148" s="169" t="s">
        <v>29</v>
      </c>
      <c r="T148" s="158" t="s">
        <v>1915</v>
      </c>
      <c r="U148" s="35" t="s">
        <v>31</v>
      </c>
      <c r="V148" s="164" t="s">
        <v>4894</v>
      </c>
      <c r="W148" s="1" t="s">
        <v>4927</v>
      </c>
    </row>
    <row r="149" customFormat="false" ht="14.25" hidden="false" customHeight="true" outlineLevel="0" collapsed="false">
      <c r="B149" s="1" t="n">
        <v>6040</v>
      </c>
      <c r="C149" s="3" t="n">
        <v>43397</v>
      </c>
      <c r="D149" s="171" t="s">
        <v>22</v>
      </c>
      <c r="E149" s="5" t="s">
        <v>156</v>
      </c>
      <c r="F149" s="1" t="s">
        <v>2225</v>
      </c>
      <c r="G149" s="2" t="n">
        <v>33</v>
      </c>
      <c r="H149" s="2" t="n">
        <v>17</v>
      </c>
      <c r="I149" s="2" t="n">
        <v>3</v>
      </c>
      <c r="J149" s="276" t="n">
        <v>44.34</v>
      </c>
      <c r="K149" s="7" t="n">
        <v>357882.29</v>
      </c>
      <c r="L149" s="7" t="n">
        <f aca="false">K149/J149</f>
        <v>8071.31912494362</v>
      </c>
      <c r="M149" s="1" t="s">
        <v>987</v>
      </c>
      <c r="O149" s="7" t="n">
        <f aca="false">K149</f>
        <v>357882.29</v>
      </c>
      <c r="P149" s="7" t="n">
        <f aca="false">L149</f>
        <v>8071.31912494362</v>
      </c>
      <c r="Q149" s="1" t="s">
        <v>5095</v>
      </c>
      <c r="R149" s="2" t="n">
        <v>3</v>
      </c>
      <c r="S149" s="169" t="s">
        <v>29</v>
      </c>
      <c r="T149" s="158" t="s">
        <v>1915</v>
      </c>
      <c r="U149" s="164" t="s">
        <v>31</v>
      </c>
      <c r="W149" s="1" t="s">
        <v>5096</v>
      </c>
    </row>
    <row r="150" customFormat="false" ht="12.8" hidden="false" customHeight="false" outlineLevel="0" collapsed="false">
      <c r="B150" s="1" t="n">
        <v>6945</v>
      </c>
      <c r="C150" s="155" t="n">
        <v>43398</v>
      </c>
      <c r="D150" s="171" t="s">
        <v>22</v>
      </c>
      <c r="E150" s="5" t="s">
        <v>623</v>
      </c>
      <c r="F150" s="157" t="s">
        <v>272</v>
      </c>
      <c r="G150" s="5" t="s">
        <v>3113</v>
      </c>
      <c r="H150" s="165" t="s">
        <v>5097</v>
      </c>
      <c r="I150" s="165" t="s">
        <v>57</v>
      </c>
      <c r="J150" s="158" t="n">
        <v>74.19</v>
      </c>
      <c r="K150" s="199" t="n">
        <v>563495</v>
      </c>
      <c r="L150" s="200" t="n">
        <f aca="false">K150/J150</f>
        <v>7595.29586197601</v>
      </c>
      <c r="M150" s="248" t="s">
        <v>5098</v>
      </c>
      <c r="N150" s="168"/>
      <c r="O150" s="168" t="n">
        <v>563495</v>
      </c>
      <c r="P150" s="168" t="n">
        <f aca="false">O150/J150</f>
        <v>7595.29586197601</v>
      </c>
      <c r="Q150" s="239" t="s">
        <v>5099</v>
      </c>
      <c r="R150" s="5" t="s">
        <v>26</v>
      </c>
      <c r="S150" s="169" t="s">
        <v>29</v>
      </c>
      <c r="T150" s="158" t="s">
        <v>1915</v>
      </c>
      <c r="U150" s="35" t="s">
        <v>31</v>
      </c>
      <c r="V150" s="164" t="s">
        <v>4894</v>
      </c>
      <c r="W150" s="1" t="s">
        <v>4944</v>
      </c>
    </row>
    <row r="151" customFormat="false" ht="12.8" hidden="false" customHeight="false" outlineLevel="0" collapsed="false">
      <c r="B151" s="1" t="n">
        <v>15434</v>
      </c>
      <c r="C151" s="3" t="n">
        <v>43410</v>
      </c>
      <c r="D151" s="171" t="s">
        <v>22</v>
      </c>
      <c r="E151" s="203" t="s">
        <v>5100</v>
      </c>
      <c r="F151" s="1" t="s">
        <v>5101</v>
      </c>
      <c r="G151" s="2" t="n">
        <v>27</v>
      </c>
      <c r="H151" s="2" t="n">
        <v>32</v>
      </c>
      <c r="I151" s="2" t="n">
        <v>3</v>
      </c>
      <c r="J151" s="276" t="n">
        <v>48.12</v>
      </c>
      <c r="K151" s="7" t="n">
        <v>409019.99</v>
      </c>
      <c r="L151" s="200" t="n">
        <f aca="false">ROUND(K151/J151,2)</f>
        <v>8500</v>
      </c>
      <c r="O151" s="7" t="n">
        <f aca="false">K151+N151</f>
        <v>409019.99</v>
      </c>
      <c r="P151" s="168" t="n">
        <f aca="false">ROUND(O151/J151,2)</f>
        <v>8500</v>
      </c>
      <c r="Q151" s="289" t="s">
        <v>1351</v>
      </c>
      <c r="R151" s="2" t="n">
        <v>3</v>
      </c>
      <c r="S151" s="169" t="s">
        <v>29</v>
      </c>
      <c r="T151" s="158" t="s">
        <v>1915</v>
      </c>
      <c r="U151" s="164" t="s">
        <v>31</v>
      </c>
      <c r="V151" s="164" t="s">
        <v>4894</v>
      </c>
    </row>
    <row r="152" customFormat="false" ht="12.8" hidden="false" customHeight="false" outlineLevel="0" collapsed="false">
      <c r="B152" s="1" t="n">
        <v>15419</v>
      </c>
      <c r="C152" s="3" t="n">
        <v>43410</v>
      </c>
      <c r="D152" s="171" t="s">
        <v>22</v>
      </c>
      <c r="E152" s="203" t="s">
        <v>5100</v>
      </c>
      <c r="F152" s="1" t="s">
        <v>5101</v>
      </c>
      <c r="G152" s="2" t="n">
        <v>27</v>
      </c>
      <c r="H152" s="2" t="n">
        <v>7</v>
      </c>
      <c r="I152" s="2" t="n">
        <v>2</v>
      </c>
      <c r="J152" s="276" t="n">
        <v>48.04</v>
      </c>
      <c r="K152" s="7" t="n">
        <v>403537.19</v>
      </c>
      <c r="L152" s="200" t="n">
        <f aca="false">ROUND(K152/J152,2)</f>
        <v>8400.02</v>
      </c>
      <c r="O152" s="7" t="n">
        <f aca="false">K152+N152</f>
        <v>403537.19</v>
      </c>
      <c r="P152" s="7" t="n">
        <f aca="false">ROUND(O152/J152,2)</f>
        <v>8400.02</v>
      </c>
      <c r="Q152" s="289" t="s">
        <v>1704</v>
      </c>
      <c r="R152" s="2" t="n">
        <v>3</v>
      </c>
      <c r="S152" s="169" t="s">
        <v>29</v>
      </c>
      <c r="T152" s="158" t="s">
        <v>1915</v>
      </c>
      <c r="U152" s="164" t="s">
        <v>31</v>
      </c>
      <c r="V152" s="164" t="s">
        <v>4894</v>
      </c>
    </row>
    <row r="153" customFormat="false" ht="12.8" hidden="false" customHeight="false" outlineLevel="0" collapsed="false">
      <c r="B153" s="1" t="n">
        <v>15541</v>
      </c>
      <c r="C153" s="3" t="n">
        <v>43410</v>
      </c>
      <c r="D153" s="171" t="s">
        <v>22</v>
      </c>
      <c r="E153" s="203" t="s">
        <v>5100</v>
      </c>
      <c r="F153" s="1" t="s">
        <v>5102</v>
      </c>
      <c r="G153" s="2" t="n">
        <v>27</v>
      </c>
      <c r="H153" s="2" t="n">
        <v>56</v>
      </c>
      <c r="I153" s="2" t="n">
        <v>3</v>
      </c>
      <c r="J153" s="276" t="n">
        <v>46.35</v>
      </c>
      <c r="K153" s="7" t="n">
        <v>398609.85</v>
      </c>
      <c r="L153" s="200" t="n">
        <f aca="false">ROUND(K153/J153,2)</f>
        <v>8600</v>
      </c>
      <c r="M153" s="289" t="s">
        <v>940</v>
      </c>
      <c r="N153" s="7" t="n">
        <v>24702.15</v>
      </c>
      <c r="O153" s="168" t="n">
        <f aca="false">K153+N153</f>
        <v>423312</v>
      </c>
      <c r="P153" s="168" t="n">
        <f aca="false">ROUND(O153/J153,2)</f>
        <v>9132.94</v>
      </c>
      <c r="Q153" s="289" t="s">
        <v>1724</v>
      </c>
      <c r="R153" s="2" t="n">
        <v>2</v>
      </c>
      <c r="S153" s="169" t="s">
        <v>29</v>
      </c>
      <c r="T153" s="158" t="s">
        <v>1915</v>
      </c>
      <c r="U153" s="164" t="s">
        <v>31</v>
      </c>
      <c r="V153" s="164" t="s">
        <v>4894</v>
      </c>
    </row>
    <row r="154" customFormat="false" ht="12.8" hidden="false" customHeight="false" outlineLevel="0" collapsed="false">
      <c r="B154" s="32" t="n">
        <v>15426</v>
      </c>
      <c r="C154" s="290" t="n">
        <v>43410</v>
      </c>
      <c r="D154" s="43" t="s">
        <v>22</v>
      </c>
      <c r="E154" s="291" t="s">
        <v>717</v>
      </c>
      <c r="F154" s="32" t="s">
        <v>5102</v>
      </c>
      <c r="G154" s="80" t="n">
        <v>27</v>
      </c>
      <c r="H154" s="80" t="n">
        <v>52</v>
      </c>
      <c r="I154" s="80" t="n">
        <v>3</v>
      </c>
      <c r="J154" s="292" t="n">
        <v>46.04</v>
      </c>
      <c r="K154" s="293" t="n">
        <v>394399.98</v>
      </c>
      <c r="L154" s="293" t="n">
        <f aca="false">ROUND(K154/J154,2)</f>
        <v>8566.46</v>
      </c>
      <c r="M154" s="32"/>
      <c r="N154" s="293"/>
      <c r="O154" s="293" t="n">
        <f aca="false">K154+N154</f>
        <v>394399.98</v>
      </c>
      <c r="P154" s="293" t="n">
        <f aca="false">ROUND(O154/J154,2)</f>
        <v>8566.46</v>
      </c>
      <c r="Q154" s="32" t="s">
        <v>5103</v>
      </c>
      <c r="R154" s="80" t="n">
        <v>2</v>
      </c>
      <c r="S154" s="169" t="s">
        <v>29</v>
      </c>
      <c r="T154" s="158" t="s">
        <v>1915</v>
      </c>
      <c r="U154" s="164" t="s">
        <v>31</v>
      </c>
      <c r="V154" s="80" t="s">
        <v>5104</v>
      </c>
      <c r="W154" s="32" t="s">
        <v>5105</v>
      </c>
      <c r="X154" s="32"/>
    </row>
    <row r="155" customFormat="false" ht="12.8" hidden="false" customHeight="false" outlineLevel="0" collapsed="false">
      <c r="B155" s="1" t="n">
        <v>5278</v>
      </c>
      <c r="C155" s="3" t="n">
        <v>43411</v>
      </c>
      <c r="D155" s="171" t="s">
        <v>22</v>
      </c>
      <c r="E155" s="2" t="s">
        <v>229</v>
      </c>
      <c r="F155" s="1" t="s">
        <v>5046</v>
      </c>
      <c r="G155" s="2" t="s">
        <v>1069</v>
      </c>
      <c r="H155" s="2" t="n">
        <v>44</v>
      </c>
      <c r="I155" s="2" t="n">
        <v>7</v>
      </c>
      <c r="J155" s="276" t="n">
        <v>94.05</v>
      </c>
      <c r="K155" s="7" t="n">
        <v>711001</v>
      </c>
      <c r="L155" s="200" t="n">
        <f aca="false">ROUND(K155/J155,2)</f>
        <v>7559.82</v>
      </c>
      <c r="M155" s="1" t="s">
        <v>5106</v>
      </c>
      <c r="O155" s="168" t="n">
        <f aca="false">K155+N155</f>
        <v>711001</v>
      </c>
      <c r="P155" s="168" t="n">
        <f aca="false">ROUND(O155/J155,2)</f>
        <v>7559.82</v>
      </c>
      <c r="Q155" s="289" t="s">
        <v>1724</v>
      </c>
      <c r="R155" s="2" t="n">
        <v>2</v>
      </c>
      <c r="S155" s="169" t="s">
        <v>29</v>
      </c>
      <c r="T155" s="158" t="s">
        <v>1915</v>
      </c>
      <c r="U155" s="164" t="s">
        <v>31</v>
      </c>
      <c r="V155" s="164" t="s">
        <v>4894</v>
      </c>
    </row>
    <row r="156" customFormat="false" ht="12.8" hidden="false" customHeight="false" outlineLevel="0" collapsed="false">
      <c r="B156" s="1" t="n">
        <v>15493</v>
      </c>
      <c r="C156" s="3" t="n">
        <v>43411</v>
      </c>
      <c r="D156" s="171" t="s">
        <v>22</v>
      </c>
      <c r="E156" s="203" t="s">
        <v>5100</v>
      </c>
      <c r="F156" s="1" t="s">
        <v>5101</v>
      </c>
      <c r="G156" s="2" t="n">
        <v>27</v>
      </c>
      <c r="H156" s="2" t="n">
        <v>1</v>
      </c>
      <c r="I156" s="2" t="n">
        <v>1</v>
      </c>
      <c r="J156" s="276" t="n">
        <v>65.07</v>
      </c>
      <c r="K156" s="7" t="n">
        <v>540081.33</v>
      </c>
      <c r="L156" s="200" t="n">
        <f aca="false">ROUND(K156/J156,2)</f>
        <v>8300.01</v>
      </c>
      <c r="M156" s="289" t="s">
        <v>940</v>
      </c>
      <c r="N156" s="7" t="n">
        <v>15768.66</v>
      </c>
      <c r="O156" s="168" t="n">
        <f aca="false">K156+N156</f>
        <v>555849.99</v>
      </c>
      <c r="P156" s="168" t="n">
        <f aca="false">ROUND(O156/J156,2)</f>
        <v>8542.34</v>
      </c>
      <c r="Q156" s="289" t="s">
        <v>1704</v>
      </c>
      <c r="R156" s="2" t="n">
        <v>3</v>
      </c>
      <c r="S156" s="169" t="s">
        <v>29</v>
      </c>
      <c r="T156" s="158" t="s">
        <v>1915</v>
      </c>
      <c r="U156" s="164" t="s">
        <v>31</v>
      </c>
      <c r="V156" s="164" t="s">
        <v>4894</v>
      </c>
    </row>
    <row r="157" customFormat="false" ht="12.8" hidden="false" customHeight="false" outlineLevel="0" collapsed="false">
      <c r="B157" s="1" t="n">
        <v>15500</v>
      </c>
      <c r="C157" s="3" t="n">
        <v>43411</v>
      </c>
      <c r="D157" s="171" t="s">
        <v>22</v>
      </c>
      <c r="E157" s="203" t="s">
        <v>5100</v>
      </c>
      <c r="F157" s="1" t="s">
        <v>5101</v>
      </c>
      <c r="G157" s="2" t="n">
        <v>27</v>
      </c>
      <c r="H157" s="2" t="n">
        <v>46</v>
      </c>
      <c r="I157" s="2" t="n">
        <v>2</v>
      </c>
      <c r="J157" s="276" t="n">
        <v>48.42</v>
      </c>
      <c r="K157" s="7" t="n">
        <v>390645.94</v>
      </c>
      <c r="L157" s="200" t="n">
        <f aca="false">ROUND(K157/J157,2)</f>
        <v>8067.86</v>
      </c>
      <c r="O157" s="7" t="n">
        <f aca="false">K157+N157</f>
        <v>390645.94</v>
      </c>
      <c r="P157" s="7" t="n">
        <f aca="false">ROUND(O157/J157,2)</f>
        <v>8067.86</v>
      </c>
      <c r="Q157" s="289" t="s">
        <v>1351</v>
      </c>
      <c r="R157" s="2" t="n">
        <v>3</v>
      </c>
      <c r="S157" s="169" t="s">
        <v>29</v>
      </c>
      <c r="T157" s="158" t="s">
        <v>1915</v>
      </c>
      <c r="U157" s="164" t="s">
        <v>31</v>
      </c>
      <c r="V157" s="164" t="s">
        <v>4894</v>
      </c>
    </row>
    <row r="158" customFormat="false" ht="12.8" hidden="false" customHeight="false" outlineLevel="0" collapsed="false">
      <c r="B158" s="1" t="n">
        <v>15457</v>
      </c>
      <c r="C158" s="3" t="n">
        <v>43411</v>
      </c>
      <c r="D158" s="171" t="s">
        <v>22</v>
      </c>
      <c r="E158" s="203" t="s">
        <v>5100</v>
      </c>
      <c r="F158" s="1" t="s">
        <v>5101</v>
      </c>
      <c r="G158" s="2" t="n">
        <v>27</v>
      </c>
      <c r="H158" s="2" t="n">
        <v>51</v>
      </c>
      <c r="I158" s="2" t="n">
        <v>3</v>
      </c>
      <c r="J158" s="276" t="n">
        <v>50.99</v>
      </c>
      <c r="K158" s="7" t="n">
        <v>428316.13</v>
      </c>
      <c r="L158" s="200" t="n">
        <f aca="false">ROUND(K158/J158,2)</f>
        <v>8400</v>
      </c>
      <c r="O158" s="7" t="n">
        <f aca="false">K158+N158</f>
        <v>428316.13</v>
      </c>
      <c r="P158" s="7" t="n">
        <f aca="false">ROUND(O158/J158,2)</f>
        <v>8400</v>
      </c>
      <c r="Q158" s="289" t="s">
        <v>1704</v>
      </c>
      <c r="R158" s="2" t="n">
        <v>3</v>
      </c>
      <c r="S158" s="169" t="s">
        <v>29</v>
      </c>
      <c r="T158" s="158" t="s">
        <v>1915</v>
      </c>
      <c r="U158" s="164" t="s">
        <v>31</v>
      </c>
      <c r="V158" s="164" t="s">
        <v>4894</v>
      </c>
    </row>
    <row r="159" customFormat="false" ht="12.8" hidden="false" customHeight="false" outlineLevel="0" collapsed="false">
      <c r="B159" s="1" t="n">
        <v>54806</v>
      </c>
      <c r="C159" s="3" t="n">
        <v>43411</v>
      </c>
      <c r="D159" s="171" t="s">
        <v>22</v>
      </c>
      <c r="E159" s="8" t="s">
        <v>350</v>
      </c>
      <c r="F159" s="1" t="s">
        <v>323</v>
      </c>
      <c r="G159" s="2" t="s">
        <v>1328</v>
      </c>
      <c r="H159" s="2" t="n">
        <v>191</v>
      </c>
      <c r="I159" s="2" t="n">
        <v>4</v>
      </c>
      <c r="J159" s="276" t="n">
        <v>67.97</v>
      </c>
      <c r="K159" s="7" t="n">
        <v>458392.5</v>
      </c>
      <c r="L159" s="7" t="n">
        <f aca="false">K159/J159</f>
        <v>6744.04148889216</v>
      </c>
      <c r="M159" s="1" t="s">
        <v>1021</v>
      </c>
      <c r="N159" s="7" t="n">
        <f aca="false">37999.62+25000</f>
        <v>62999.62</v>
      </c>
      <c r="O159" s="7" t="n">
        <f aca="false">N159+K159</f>
        <v>521392.12</v>
      </c>
      <c r="P159" s="7" t="n">
        <f aca="false">O159/J159</f>
        <v>7670.91540385464</v>
      </c>
      <c r="Q159" s="1" t="s">
        <v>5107</v>
      </c>
      <c r="R159" s="2" t="n">
        <v>3</v>
      </c>
      <c r="S159" s="169" t="s">
        <v>29</v>
      </c>
      <c r="T159" s="158" t="s">
        <v>1915</v>
      </c>
      <c r="U159" s="164" t="s">
        <v>31</v>
      </c>
      <c r="W159" s="1" t="s">
        <v>4924</v>
      </c>
    </row>
    <row r="160" customFormat="false" ht="12.8" hidden="false" customHeight="false" outlineLevel="0" collapsed="false">
      <c r="B160" s="1" t="n">
        <v>15467</v>
      </c>
      <c r="C160" s="3" t="n">
        <v>43411</v>
      </c>
      <c r="D160" s="171" t="s">
        <v>22</v>
      </c>
      <c r="E160" s="8" t="s">
        <v>717</v>
      </c>
      <c r="F160" s="1" t="s">
        <v>5102</v>
      </c>
      <c r="G160" s="2" t="n">
        <v>27</v>
      </c>
      <c r="H160" s="2" t="n">
        <v>5</v>
      </c>
      <c r="I160" s="2" t="n">
        <v>1</v>
      </c>
      <c r="J160" s="276" t="n">
        <v>45.17</v>
      </c>
      <c r="K160" s="7" t="n">
        <v>360264.45</v>
      </c>
      <c r="L160" s="7" t="n">
        <f aca="false">K160/J160</f>
        <v>7975.74607040071</v>
      </c>
      <c r="O160" s="7" t="n">
        <f aca="false">K160</f>
        <v>360264.45</v>
      </c>
      <c r="P160" s="7" t="n">
        <f aca="false">O160/J160</f>
        <v>7975.74607040071</v>
      </c>
      <c r="Q160" s="1" t="s">
        <v>5108</v>
      </c>
      <c r="R160" s="2" t="n">
        <v>2</v>
      </c>
      <c r="S160" s="169" t="s">
        <v>29</v>
      </c>
      <c r="T160" s="158" t="s">
        <v>1915</v>
      </c>
      <c r="U160" s="164" t="s">
        <v>31</v>
      </c>
      <c r="W160" s="1" t="s">
        <v>5105</v>
      </c>
    </row>
    <row r="161" customFormat="false" ht="12.8" hidden="false" customHeight="false" outlineLevel="0" collapsed="false">
      <c r="B161" s="1" t="n">
        <v>4399</v>
      </c>
      <c r="C161" s="3" t="n">
        <v>43411</v>
      </c>
      <c r="D161" s="171" t="s">
        <v>22</v>
      </c>
      <c r="E161" s="8" t="s">
        <v>75</v>
      </c>
      <c r="F161" s="1" t="s">
        <v>1209</v>
      </c>
      <c r="G161" s="2" t="n">
        <v>31</v>
      </c>
      <c r="H161" s="2" t="n">
        <v>18</v>
      </c>
      <c r="I161" s="2" t="n">
        <v>4</v>
      </c>
      <c r="J161" s="276" t="n">
        <v>63.07</v>
      </c>
      <c r="K161" s="7" t="n">
        <v>637655.88</v>
      </c>
      <c r="L161" s="7" t="n">
        <f aca="false">K161/J161</f>
        <v>10110.2882511495</v>
      </c>
      <c r="M161" s="1" t="s">
        <v>5109</v>
      </c>
      <c r="O161" s="7" t="n">
        <v>637655.88</v>
      </c>
      <c r="P161" s="7" t="n">
        <f aca="false">L161</f>
        <v>10110.2882511495</v>
      </c>
      <c r="Q161" s="1" t="s">
        <v>5110</v>
      </c>
      <c r="R161" s="2" t="n">
        <v>3</v>
      </c>
      <c r="S161" s="169" t="s">
        <v>29</v>
      </c>
      <c r="T161" s="158" t="s">
        <v>1915</v>
      </c>
      <c r="U161" s="164" t="s">
        <v>31</v>
      </c>
      <c r="W161" s="1" t="s">
        <v>5111</v>
      </c>
    </row>
    <row r="162" customFormat="false" ht="12.8" hidden="false" customHeight="false" outlineLevel="0" collapsed="false">
      <c r="B162" s="1" t="n">
        <v>15441</v>
      </c>
      <c r="C162" s="3" t="n">
        <v>43412</v>
      </c>
      <c r="D162" s="171" t="s">
        <v>22</v>
      </c>
      <c r="E162" s="203" t="s">
        <v>5100</v>
      </c>
      <c r="F162" s="1" t="s">
        <v>5101</v>
      </c>
      <c r="G162" s="2" t="n">
        <v>27</v>
      </c>
      <c r="H162" s="2" t="n">
        <v>45</v>
      </c>
      <c r="I162" s="2" t="n">
        <v>2</v>
      </c>
      <c r="J162" s="276" t="n">
        <v>46.63</v>
      </c>
      <c r="K162" s="7" t="n">
        <v>379918.85</v>
      </c>
      <c r="L162" s="200" t="n">
        <f aca="false">ROUND(K162/J162,2)</f>
        <v>8147.52</v>
      </c>
      <c r="O162" s="7" t="n">
        <f aca="false">K162+N162</f>
        <v>379918.85</v>
      </c>
      <c r="P162" s="7" t="n">
        <f aca="false">ROUND(O162/J162,2)</f>
        <v>8147.52</v>
      </c>
      <c r="Q162" s="289" t="s">
        <v>5112</v>
      </c>
      <c r="R162" s="2" t="n">
        <v>2</v>
      </c>
      <c r="S162" s="169" t="s">
        <v>29</v>
      </c>
      <c r="T162" s="158" t="s">
        <v>1915</v>
      </c>
      <c r="U162" s="164" t="s">
        <v>31</v>
      </c>
      <c r="V162" s="164" t="s">
        <v>4894</v>
      </c>
    </row>
    <row r="163" customFormat="false" ht="12.8" hidden="false" customHeight="false" outlineLevel="0" collapsed="false">
      <c r="B163" s="1" t="n">
        <v>15568</v>
      </c>
      <c r="C163" s="3" t="n">
        <v>43412</v>
      </c>
      <c r="D163" s="171" t="s">
        <v>22</v>
      </c>
      <c r="E163" s="203" t="s">
        <v>5100</v>
      </c>
      <c r="F163" s="1" t="s">
        <v>5101</v>
      </c>
      <c r="G163" s="2" t="n">
        <v>27</v>
      </c>
      <c r="H163" s="2" t="n">
        <v>24</v>
      </c>
      <c r="I163" s="2" t="n">
        <v>2</v>
      </c>
      <c r="J163" s="276" t="n">
        <v>45.1</v>
      </c>
      <c r="K163" s="7" t="n">
        <v>374330.23</v>
      </c>
      <c r="L163" s="200" t="n">
        <f aca="false">ROUND(K163/J163,2)</f>
        <v>8300.01</v>
      </c>
      <c r="M163" s="289" t="s">
        <v>940</v>
      </c>
      <c r="N163" s="7" t="n">
        <v>28673.77</v>
      </c>
      <c r="O163" s="7" t="n">
        <f aca="false">K163+N163</f>
        <v>403004</v>
      </c>
      <c r="P163" s="7" t="n">
        <f aca="false">ROUND(O163/J163,2)</f>
        <v>8935.79</v>
      </c>
      <c r="Q163" s="289" t="s">
        <v>1724</v>
      </c>
      <c r="R163" s="2" t="n">
        <v>2</v>
      </c>
      <c r="S163" s="169" t="s">
        <v>29</v>
      </c>
      <c r="T163" s="158" t="s">
        <v>1915</v>
      </c>
      <c r="U163" s="164" t="s">
        <v>31</v>
      </c>
      <c r="V163" s="164" t="s">
        <v>4894</v>
      </c>
    </row>
    <row r="164" customFormat="false" ht="12.8" hidden="false" customHeight="false" outlineLevel="0" collapsed="false">
      <c r="B164" s="1" t="n">
        <v>4421</v>
      </c>
      <c r="C164" s="3" t="n">
        <v>43412</v>
      </c>
      <c r="D164" s="171" t="s">
        <v>22</v>
      </c>
      <c r="E164" s="8" t="s">
        <v>75</v>
      </c>
      <c r="F164" s="1" t="s">
        <v>1209</v>
      </c>
      <c r="G164" s="2" t="n">
        <v>31</v>
      </c>
      <c r="H164" s="2" t="n">
        <v>7</v>
      </c>
      <c r="I164" s="2" t="n">
        <v>2</v>
      </c>
      <c r="J164" s="276" t="n">
        <v>66.6</v>
      </c>
      <c r="K164" s="7" t="n">
        <v>509392</v>
      </c>
      <c r="L164" s="7" t="n">
        <f aca="false">K164/J164</f>
        <v>7648.52852852853</v>
      </c>
      <c r="M164" s="1" t="s">
        <v>5113</v>
      </c>
      <c r="O164" s="7" t="n">
        <v>509392</v>
      </c>
      <c r="P164" s="7" t="n">
        <f aca="false">O164/J164</f>
        <v>7648.52852852853</v>
      </c>
      <c r="Q164" s="1" t="s">
        <v>5114</v>
      </c>
      <c r="R164" s="2" t="n">
        <v>3</v>
      </c>
      <c r="S164" s="169" t="s">
        <v>29</v>
      </c>
      <c r="T164" s="158" t="s">
        <v>1915</v>
      </c>
      <c r="U164" s="164" t="s">
        <v>31</v>
      </c>
      <c r="W164" s="1" t="s">
        <v>5111</v>
      </c>
    </row>
    <row r="165" customFormat="false" ht="12.8" hidden="false" customHeight="false" outlineLevel="0" collapsed="false">
      <c r="B165" s="1" t="n">
        <v>15596</v>
      </c>
      <c r="C165" s="3" t="n">
        <v>43412</v>
      </c>
      <c r="D165" s="171" t="s">
        <v>22</v>
      </c>
      <c r="E165" s="8" t="s">
        <v>75</v>
      </c>
      <c r="F165" s="1" t="s">
        <v>1209</v>
      </c>
      <c r="G165" s="2" t="n">
        <v>103</v>
      </c>
      <c r="H165" s="2" t="n">
        <v>19</v>
      </c>
      <c r="I165" s="2" t="n">
        <v>5</v>
      </c>
      <c r="J165" s="276" t="n">
        <v>76.81</v>
      </c>
      <c r="K165" s="7" t="n">
        <v>636907.84</v>
      </c>
      <c r="L165" s="7" t="n">
        <f aca="false">K165/J165</f>
        <v>8291.99114698607</v>
      </c>
      <c r="M165" s="1" t="s">
        <v>987</v>
      </c>
      <c r="O165" s="7" t="n">
        <f aca="false">K165</f>
        <v>636907.84</v>
      </c>
      <c r="P165" s="7" t="n">
        <f aca="false">O165/J165</f>
        <v>8291.99114698607</v>
      </c>
      <c r="Q165" s="1" t="s">
        <v>5115</v>
      </c>
      <c r="R165" s="2" t="n">
        <v>3</v>
      </c>
      <c r="S165" s="169" t="s">
        <v>29</v>
      </c>
      <c r="T165" s="158" t="s">
        <v>1915</v>
      </c>
      <c r="U165" s="164" t="s">
        <v>31</v>
      </c>
      <c r="W165" s="1" t="s">
        <v>4956</v>
      </c>
    </row>
    <row r="166" customFormat="false" ht="12.8" hidden="false" customHeight="false" outlineLevel="0" collapsed="false">
      <c r="B166" s="1" t="n">
        <v>15548</v>
      </c>
      <c r="C166" s="3" t="n">
        <v>43412</v>
      </c>
      <c r="D166" s="171" t="s">
        <v>22</v>
      </c>
      <c r="E166" s="8" t="s">
        <v>717</v>
      </c>
      <c r="F166" s="1" t="s">
        <v>5102</v>
      </c>
      <c r="G166" s="2" t="n">
        <v>27</v>
      </c>
      <c r="H166" s="2" t="n">
        <v>41</v>
      </c>
      <c r="I166" s="2" t="n">
        <v>1</v>
      </c>
      <c r="J166" s="276" t="n">
        <v>45.62</v>
      </c>
      <c r="K166" s="7" t="n">
        <v>370781.33</v>
      </c>
      <c r="L166" s="7" t="n">
        <f aca="false">K166/J166</f>
        <v>8127.60477860588</v>
      </c>
      <c r="O166" s="7" t="n">
        <f aca="false">K166</f>
        <v>370781.33</v>
      </c>
      <c r="P166" s="7" t="n">
        <f aca="false">L166</f>
        <v>8127.60477860588</v>
      </c>
      <c r="Q166" s="1" t="s">
        <v>5116</v>
      </c>
      <c r="R166" s="2" t="n">
        <v>2</v>
      </c>
      <c r="S166" s="169" t="s">
        <v>29</v>
      </c>
      <c r="T166" s="158" t="s">
        <v>1915</v>
      </c>
      <c r="U166" s="164" t="s">
        <v>31</v>
      </c>
      <c r="W166" s="1" t="s">
        <v>5105</v>
      </c>
    </row>
    <row r="167" customFormat="false" ht="12.8" hidden="false" customHeight="false" outlineLevel="0" collapsed="false">
      <c r="B167" s="1" t="n">
        <v>7151</v>
      </c>
      <c r="C167" s="3" t="n">
        <v>43412</v>
      </c>
      <c r="D167" s="171" t="s">
        <v>22</v>
      </c>
      <c r="E167" s="203" t="s">
        <v>623</v>
      </c>
      <c r="F167" s="1" t="s">
        <v>272</v>
      </c>
      <c r="G167" s="2" t="s">
        <v>3113</v>
      </c>
      <c r="H167" s="2" t="n">
        <v>48</v>
      </c>
      <c r="I167" s="2" t="n">
        <v>3</v>
      </c>
      <c r="J167" s="276" t="n">
        <v>27.95</v>
      </c>
      <c r="K167" s="7" t="n">
        <v>246854.4</v>
      </c>
      <c r="L167" s="7" t="n">
        <f aca="false">K167/J167</f>
        <v>8832</v>
      </c>
      <c r="O167" s="7" t="n">
        <v>246854.4</v>
      </c>
      <c r="P167" s="7" t="n">
        <f aca="false">O167/J167</f>
        <v>8832</v>
      </c>
      <c r="Q167" s="1" t="s">
        <v>5117</v>
      </c>
      <c r="R167" s="2" t="n">
        <v>2</v>
      </c>
      <c r="S167" s="169" t="s">
        <v>29</v>
      </c>
      <c r="T167" s="158" t="s">
        <v>1915</v>
      </c>
      <c r="U167" s="164" t="s">
        <v>31</v>
      </c>
      <c r="W167" s="1" t="s">
        <v>4944</v>
      </c>
    </row>
    <row r="168" customFormat="false" ht="12.8" hidden="false" customHeight="false" outlineLevel="0" collapsed="false">
      <c r="B168" s="1" t="n">
        <v>4428</v>
      </c>
      <c r="C168" s="3" t="n">
        <v>43412</v>
      </c>
      <c r="D168" s="171" t="s">
        <v>22</v>
      </c>
      <c r="E168" s="8" t="s">
        <v>75</v>
      </c>
      <c r="F168" s="1" t="s">
        <v>1209</v>
      </c>
      <c r="G168" s="2" t="n">
        <v>33</v>
      </c>
      <c r="H168" s="2" t="n">
        <v>15</v>
      </c>
      <c r="I168" s="2" t="n">
        <v>3</v>
      </c>
      <c r="J168" s="276" t="n">
        <v>49.07</v>
      </c>
      <c r="K168" s="7" t="n">
        <v>361663</v>
      </c>
      <c r="L168" s="7" t="n">
        <f aca="false">K168/J168</f>
        <v>7370.34848176075</v>
      </c>
      <c r="M168" s="1" t="s">
        <v>5118</v>
      </c>
      <c r="O168" s="7" t="n">
        <v>361663</v>
      </c>
      <c r="P168" s="7" t="n">
        <f aca="false">O168/J168</f>
        <v>7370.34848176075</v>
      </c>
      <c r="Q168" s="1" t="s">
        <v>5119</v>
      </c>
      <c r="R168" s="2" t="n">
        <v>2</v>
      </c>
      <c r="S168" s="169" t="s">
        <v>29</v>
      </c>
      <c r="T168" s="158" t="s">
        <v>1915</v>
      </c>
      <c r="U168" s="164" t="s">
        <v>31</v>
      </c>
      <c r="W168" s="1" t="s">
        <v>5120</v>
      </c>
    </row>
    <row r="169" customFormat="false" ht="12.8" hidden="false" customHeight="false" outlineLevel="0" collapsed="false">
      <c r="B169" s="1" t="n">
        <v>11024</v>
      </c>
      <c r="C169" s="3" t="n">
        <v>43413</v>
      </c>
      <c r="D169" s="171" t="s">
        <v>22</v>
      </c>
      <c r="E169" s="5" t="s">
        <v>156</v>
      </c>
      <c r="F169" s="1" t="s">
        <v>2225</v>
      </c>
      <c r="G169" s="2" t="n">
        <v>29</v>
      </c>
      <c r="H169" s="2" t="n">
        <v>33</v>
      </c>
      <c r="I169" s="2" t="n">
        <v>4</v>
      </c>
      <c r="J169" s="276" t="n">
        <v>43.82</v>
      </c>
      <c r="K169" s="7" t="n">
        <v>375407.93</v>
      </c>
      <c r="L169" s="200" t="n">
        <f aca="false">ROUND(K169/J169,2)</f>
        <v>8567.05</v>
      </c>
      <c r="O169" s="7" t="n">
        <f aca="false">K169+N169</f>
        <v>375407.93</v>
      </c>
      <c r="P169" s="7" t="n">
        <f aca="false">ROUND(O169/J169,2)</f>
        <v>8567.05</v>
      </c>
      <c r="Q169" s="289" t="s">
        <v>1351</v>
      </c>
      <c r="R169" s="2" t="n">
        <v>3</v>
      </c>
      <c r="S169" s="169" t="s">
        <v>29</v>
      </c>
      <c r="T169" s="158" t="s">
        <v>1915</v>
      </c>
      <c r="U169" s="164" t="s">
        <v>31</v>
      </c>
      <c r="V169" s="164" t="s">
        <v>4894</v>
      </c>
    </row>
    <row r="170" customFormat="false" ht="12.8" hidden="false" customHeight="false" outlineLevel="0" collapsed="false">
      <c r="B170" s="1" t="n">
        <v>15623</v>
      </c>
      <c r="C170" s="3" t="n">
        <v>43413</v>
      </c>
      <c r="D170" s="171" t="s">
        <v>22</v>
      </c>
      <c r="E170" s="203" t="s">
        <v>5100</v>
      </c>
      <c r="F170" s="1" t="s">
        <v>5101</v>
      </c>
      <c r="G170" s="2" t="n">
        <v>27</v>
      </c>
      <c r="H170" s="2" t="n">
        <v>25</v>
      </c>
      <c r="I170" s="2" t="n">
        <v>2</v>
      </c>
      <c r="J170" s="276" t="n">
        <v>48.19</v>
      </c>
      <c r="K170" s="7" t="n">
        <v>399977.25</v>
      </c>
      <c r="L170" s="200" t="n">
        <f aca="false">ROUND(K170/J170,2)</f>
        <v>8300.01</v>
      </c>
      <c r="O170" s="7" t="n">
        <f aca="false">K170+N170</f>
        <v>399977.25</v>
      </c>
      <c r="P170" s="7" t="n">
        <f aca="false">ROUND(O170/J170,2)</f>
        <v>8300.01</v>
      </c>
      <c r="Q170" s="289" t="s">
        <v>1351</v>
      </c>
      <c r="R170" s="2" t="n">
        <v>3</v>
      </c>
      <c r="S170" s="169" t="s">
        <v>29</v>
      </c>
      <c r="T170" s="158" t="s">
        <v>1915</v>
      </c>
      <c r="U170" s="164" t="s">
        <v>31</v>
      </c>
      <c r="V170" s="164" t="s">
        <v>4894</v>
      </c>
    </row>
    <row r="171" customFormat="false" ht="12.8" hidden="false" customHeight="false" outlineLevel="0" collapsed="false">
      <c r="B171" s="1" t="n">
        <v>15669</v>
      </c>
      <c r="C171" s="3" t="n">
        <v>43413</v>
      </c>
      <c r="D171" s="171" t="s">
        <v>22</v>
      </c>
      <c r="E171" s="203" t="s">
        <v>5100</v>
      </c>
      <c r="F171" s="1" t="s">
        <v>5102</v>
      </c>
      <c r="G171" s="2" t="n">
        <v>27</v>
      </c>
      <c r="H171" s="2" t="n">
        <v>28</v>
      </c>
      <c r="I171" s="2" t="n">
        <v>2</v>
      </c>
      <c r="J171" s="276" t="n">
        <v>49.85</v>
      </c>
      <c r="K171" s="7" t="n">
        <v>418740.12</v>
      </c>
      <c r="L171" s="200" t="n">
        <f aca="false">ROUND(K171/J171,2)</f>
        <v>8400</v>
      </c>
      <c r="O171" s="7" t="n">
        <f aca="false">K171+N171</f>
        <v>418740.12</v>
      </c>
      <c r="P171" s="7" t="n">
        <f aca="false">ROUND(O171/J171,2)</f>
        <v>8400</v>
      </c>
      <c r="Q171" s="289" t="s">
        <v>1724</v>
      </c>
      <c r="R171" s="2" t="n">
        <v>2</v>
      </c>
      <c r="S171" s="169" t="s">
        <v>29</v>
      </c>
      <c r="T171" s="158" t="s">
        <v>1915</v>
      </c>
      <c r="U171" s="164" t="s">
        <v>31</v>
      </c>
      <c r="V171" s="164" t="s">
        <v>4894</v>
      </c>
    </row>
    <row r="172" customFormat="false" ht="12.8" hidden="false" customHeight="false" outlineLevel="0" collapsed="false">
      <c r="B172" s="1" t="n">
        <v>444</v>
      </c>
      <c r="C172" s="3" t="n">
        <v>43413</v>
      </c>
      <c r="D172" s="171" t="s">
        <v>22</v>
      </c>
      <c r="E172" s="8" t="s">
        <v>75</v>
      </c>
      <c r="F172" s="1" t="s">
        <v>528</v>
      </c>
      <c r="G172" s="2" t="n">
        <v>33</v>
      </c>
      <c r="H172" s="2" t="n">
        <v>54</v>
      </c>
      <c r="I172" s="2" t="n">
        <v>2</v>
      </c>
      <c r="J172" s="276" t="n">
        <v>84.5</v>
      </c>
      <c r="K172" s="7" t="n">
        <v>567173.57</v>
      </c>
      <c r="L172" s="7" t="n">
        <f aca="false">K172/J172</f>
        <v>6712.11325443787</v>
      </c>
      <c r="M172" s="1" t="s">
        <v>5121</v>
      </c>
      <c r="O172" s="7" t="n">
        <f aca="false">K172</f>
        <v>567173.57</v>
      </c>
      <c r="P172" s="7" t="n">
        <f aca="false">K172/J172</f>
        <v>6712.11325443787</v>
      </c>
      <c r="Q172" s="1" t="s">
        <v>5122</v>
      </c>
      <c r="R172" s="2" t="n">
        <v>3</v>
      </c>
      <c r="S172" s="169" t="s">
        <v>29</v>
      </c>
      <c r="T172" s="158" t="s">
        <v>1915</v>
      </c>
      <c r="U172" s="164" t="s">
        <v>31</v>
      </c>
      <c r="W172" s="1" t="s">
        <v>4956</v>
      </c>
    </row>
    <row r="173" customFormat="false" ht="12.8" hidden="false" customHeight="false" outlineLevel="0" collapsed="false">
      <c r="B173" s="1" t="n">
        <v>13629</v>
      </c>
      <c r="C173" s="3" t="n">
        <v>43413</v>
      </c>
      <c r="D173" s="171" t="s">
        <v>22</v>
      </c>
      <c r="F173" s="1" t="s">
        <v>5123</v>
      </c>
      <c r="G173" s="2" t="n">
        <v>15</v>
      </c>
      <c r="H173" s="2" t="n">
        <v>5</v>
      </c>
      <c r="I173" s="2" t="n">
        <v>2</v>
      </c>
      <c r="J173" s="276" t="n">
        <v>99.98</v>
      </c>
      <c r="K173" s="7" t="n">
        <v>1195000</v>
      </c>
      <c r="L173" s="7" t="n">
        <f aca="false">K173/J173</f>
        <v>11952.3904780956</v>
      </c>
      <c r="O173" s="7" t="n">
        <v>1195000</v>
      </c>
      <c r="P173" s="7" t="n">
        <f aca="false">O173/J173</f>
        <v>11952.3904780956</v>
      </c>
      <c r="Q173" s="1" t="s">
        <v>5124</v>
      </c>
      <c r="R173" s="2" t="n">
        <v>5</v>
      </c>
      <c r="S173" s="169" t="s">
        <v>29</v>
      </c>
      <c r="T173" s="158" t="s">
        <v>1915</v>
      </c>
      <c r="U173" s="164" t="s">
        <v>31</v>
      </c>
      <c r="W173" s="1" t="s">
        <v>5125</v>
      </c>
    </row>
    <row r="174" customFormat="false" ht="12.8" hidden="false" customHeight="false" outlineLevel="0" collapsed="false">
      <c r="B174" s="1" t="n">
        <v>20399</v>
      </c>
      <c r="C174" s="3" t="n">
        <v>43417</v>
      </c>
      <c r="D174" s="171" t="s">
        <v>22</v>
      </c>
      <c r="F174" s="1" t="s">
        <v>5126</v>
      </c>
      <c r="G174" s="2" t="n">
        <v>8</v>
      </c>
      <c r="H174" s="2" t="n">
        <v>155</v>
      </c>
      <c r="I174" s="2" t="n">
        <v>4</v>
      </c>
      <c r="J174" s="276" t="n">
        <v>64.63</v>
      </c>
      <c r="K174" s="7" t="n">
        <v>620448</v>
      </c>
      <c r="L174" s="200" t="n">
        <f aca="false">ROUND(K174/J174,2)</f>
        <v>9600</v>
      </c>
      <c r="M174" s="289" t="s">
        <v>940</v>
      </c>
      <c r="N174" s="7" t="n">
        <v>24552</v>
      </c>
      <c r="O174" s="7" t="n">
        <f aca="false">K174+N174</f>
        <v>645000</v>
      </c>
      <c r="P174" s="7" t="n">
        <f aca="false">ROUND(O174/J174,2)</f>
        <v>9979.89</v>
      </c>
      <c r="Q174" s="289" t="s">
        <v>1704</v>
      </c>
      <c r="R174" s="2" t="n">
        <v>3</v>
      </c>
      <c r="S174" s="169" t="s">
        <v>29</v>
      </c>
      <c r="T174" s="158" t="s">
        <v>1915</v>
      </c>
      <c r="U174" s="164" t="s">
        <v>31</v>
      </c>
      <c r="V174" s="164" t="s">
        <v>4894</v>
      </c>
    </row>
    <row r="175" customFormat="false" ht="12.8" hidden="false" customHeight="false" outlineLevel="0" collapsed="false">
      <c r="B175" s="1" t="n">
        <v>8258</v>
      </c>
      <c r="C175" s="3" t="n">
        <v>43417</v>
      </c>
      <c r="D175" s="171" t="s">
        <v>22</v>
      </c>
      <c r="E175" s="5" t="s">
        <v>433</v>
      </c>
      <c r="F175" s="1" t="s">
        <v>434</v>
      </c>
      <c r="G175" s="2" t="s">
        <v>1567</v>
      </c>
      <c r="H175" s="2" t="n">
        <v>270</v>
      </c>
      <c r="I175" s="2" t="n">
        <v>5</v>
      </c>
      <c r="J175" s="276" t="n">
        <v>29.18</v>
      </c>
      <c r="K175" s="7" t="n">
        <v>275727.75</v>
      </c>
      <c r="L175" s="200" t="n">
        <f aca="false">ROUND(K175/J175,2)</f>
        <v>9449.2</v>
      </c>
      <c r="O175" s="7" t="n">
        <f aca="false">K175+N175</f>
        <v>275727.75</v>
      </c>
      <c r="P175" s="7" t="n">
        <f aca="false">ROUND(O175/J175,2)</f>
        <v>9449.2</v>
      </c>
      <c r="Q175" s="289" t="s">
        <v>1695</v>
      </c>
      <c r="R175" s="2" t="n">
        <v>2</v>
      </c>
      <c r="S175" s="169" t="s">
        <v>29</v>
      </c>
      <c r="T175" s="158" t="s">
        <v>1915</v>
      </c>
      <c r="U175" s="164" t="s">
        <v>31</v>
      </c>
      <c r="V175" s="164" t="s">
        <v>4894</v>
      </c>
    </row>
    <row r="176" customFormat="false" ht="12.8" hidden="false" customHeight="false" outlineLevel="0" collapsed="false">
      <c r="B176" s="1" t="n">
        <v>10770</v>
      </c>
      <c r="C176" s="3" t="n">
        <v>43417</v>
      </c>
      <c r="D176" s="171" t="s">
        <v>22</v>
      </c>
      <c r="E176" s="5" t="s">
        <v>308</v>
      </c>
      <c r="F176" s="1" t="s">
        <v>446</v>
      </c>
      <c r="G176" s="2" t="n">
        <v>3</v>
      </c>
      <c r="H176" s="2" t="s">
        <v>5127</v>
      </c>
      <c r="I176" s="2" t="n">
        <v>3</v>
      </c>
      <c r="J176" s="276" t="n">
        <v>31.5</v>
      </c>
      <c r="K176" s="7" t="n">
        <v>439000</v>
      </c>
      <c r="L176" s="200" t="n">
        <f aca="false">ROUND(K176/J176,2)</f>
        <v>13936.51</v>
      </c>
      <c r="O176" s="7" t="n">
        <f aca="false">K176+N176</f>
        <v>439000</v>
      </c>
      <c r="P176" s="7" t="n">
        <f aca="false">ROUND(O176/J176,2)</f>
        <v>13936.51</v>
      </c>
      <c r="Q176" s="289" t="s">
        <v>1695</v>
      </c>
      <c r="R176" s="2" t="n">
        <v>2</v>
      </c>
      <c r="S176" s="169" t="s">
        <v>29</v>
      </c>
      <c r="T176" s="158" t="s">
        <v>1915</v>
      </c>
      <c r="U176" s="164" t="s">
        <v>31</v>
      </c>
      <c r="V176" s="164" t="s">
        <v>4894</v>
      </c>
    </row>
    <row r="177" customFormat="false" ht="12.8" hidden="false" customHeight="false" outlineLevel="0" collapsed="false">
      <c r="B177" s="1" t="n">
        <v>15697</v>
      </c>
      <c r="C177" s="3" t="n">
        <v>43417</v>
      </c>
      <c r="D177" s="171" t="s">
        <v>22</v>
      </c>
      <c r="E177" s="203" t="s">
        <v>5100</v>
      </c>
      <c r="F177" s="1" t="s">
        <v>5101</v>
      </c>
      <c r="G177" s="2" t="n">
        <v>27</v>
      </c>
      <c r="H177" s="2" t="n">
        <v>22</v>
      </c>
      <c r="I177" s="2" t="n">
        <v>1</v>
      </c>
      <c r="J177" s="276" t="n">
        <v>46.27</v>
      </c>
      <c r="K177" s="7" t="n">
        <v>384041.25</v>
      </c>
      <c r="L177" s="200" t="n">
        <f aca="false">ROUND(K177/J177,2)</f>
        <v>8300.01</v>
      </c>
      <c r="O177" s="7" t="n">
        <f aca="false">K177+N177</f>
        <v>384041.25</v>
      </c>
      <c r="P177" s="7" t="n">
        <f aca="false">ROUND(O177/J177,2)</f>
        <v>8300.01</v>
      </c>
      <c r="Q177" s="289" t="s">
        <v>1724</v>
      </c>
      <c r="R177" s="2" t="n">
        <v>2</v>
      </c>
      <c r="S177" s="169" t="s">
        <v>29</v>
      </c>
      <c r="T177" s="158" t="s">
        <v>1915</v>
      </c>
      <c r="U177" s="164" t="s">
        <v>31</v>
      </c>
      <c r="V177" s="164" t="s">
        <v>4894</v>
      </c>
    </row>
    <row r="178" customFormat="false" ht="12.8" hidden="false" customHeight="false" outlineLevel="0" collapsed="false">
      <c r="B178" s="1" t="n">
        <v>15749</v>
      </c>
      <c r="C178" s="3" t="n">
        <v>43417</v>
      </c>
      <c r="D178" s="171" t="s">
        <v>22</v>
      </c>
      <c r="E178" s="203" t="s">
        <v>5100</v>
      </c>
      <c r="F178" s="1" t="s">
        <v>5102</v>
      </c>
      <c r="G178" s="2" t="n">
        <v>27</v>
      </c>
      <c r="H178" s="2" t="n">
        <v>43</v>
      </c>
      <c r="I178" s="2" t="n">
        <v>2</v>
      </c>
      <c r="J178" s="276" t="n">
        <v>73.79</v>
      </c>
      <c r="K178" s="7" t="n">
        <v>627214.97</v>
      </c>
      <c r="L178" s="200" t="n">
        <f aca="false">ROUND(K178/J178,2)</f>
        <v>8500</v>
      </c>
      <c r="M178" s="289" t="s">
        <v>1703</v>
      </c>
      <c r="N178" s="7" t="n">
        <v>52785.04</v>
      </c>
      <c r="O178" s="7" t="n">
        <f aca="false">K178+N178</f>
        <v>680000.01</v>
      </c>
      <c r="P178" s="7" t="n">
        <f aca="false">ROUND(O178/J178,2)</f>
        <v>9215.34</v>
      </c>
      <c r="Q178" s="289" t="s">
        <v>1667</v>
      </c>
      <c r="R178" s="2" t="n">
        <v>4</v>
      </c>
      <c r="S178" s="169" t="s">
        <v>29</v>
      </c>
      <c r="T178" s="158" t="s">
        <v>1915</v>
      </c>
      <c r="U178" s="164" t="s">
        <v>31</v>
      </c>
      <c r="V178" s="164" t="s">
        <v>4894</v>
      </c>
    </row>
    <row r="179" customFormat="false" ht="12.8" hidden="false" customHeight="false" outlineLevel="0" collapsed="false">
      <c r="B179" s="1" t="n">
        <v>7244</v>
      </c>
      <c r="C179" s="3" t="n">
        <v>43417</v>
      </c>
      <c r="D179" s="171" t="s">
        <v>22</v>
      </c>
      <c r="E179" s="203" t="s">
        <v>5128</v>
      </c>
      <c r="F179" s="1" t="s">
        <v>272</v>
      </c>
      <c r="G179" s="2" t="n">
        <v>33</v>
      </c>
      <c r="H179" s="2" t="n">
        <v>199</v>
      </c>
      <c r="I179" s="2" t="n">
        <v>8</v>
      </c>
      <c r="J179" s="276" t="n">
        <v>68.9</v>
      </c>
      <c r="K179" s="7" t="n">
        <v>647812</v>
      </c>
      <c r="L179" s="200" t="n">
        <f aca="false">ROUND(K179/J179,2)</f>
        <v>9402.21</v>
      </c>
      <c r="M179" s="289" t="s">
        <v>5129</v>
      </c>
      <c r="N179" s="7" t="n">
        <v>27400</v>
      </c>
      <c r="O179" s="7" t="n">
        <f aca="false">K179+N179</f>
        <v>675212</v>
      </c>
      <c r="P179" s="7" t="n">
        <f aca="false">ROUND(O179/J179,2)</f>
        <v>9799.88</v>
      </c>
      <c r="Q179" s="289" t="s">
        <v>1704</v>
      </c>
      <c r="R179" s="2" t="n">
        <v>3</v>
      </c>
      <c r="S179" s="169" t="s">
        <v>29</v>
      </c>
      <c r="T179" s="158" t="s">
        <v>1915</v>
      </c>
      <c r="U179" s="164" t="s">
        <v>31</v>
      </c>
      <c r="V179" s="164" t="s">
        <v>4894</v>
      </c>
    </row>
    <row r="180" customFormat="false" ht="12.8" hidden="false" customHeight="false" outlineLevel="0" collapsed="false">
      <c r="B180" s="1" t="n">
        <v>8296</v>
      </c>
      <c r="C180" s="3" t="n">
        <v>43417</v>
      </c>
      <c r="D180" s="171" t="s">
        <v>22</v>
      </c>
      <c r="E180" s="8" t="s">
        <v>433</v>
      </c>
      <c r="F180" s="1" t="s">
        <v>434</v>
      </c>
      <c r="G180" s="2" t="s">
        <v>1567</v>
      </c>
      <c r="H180" s="2" t="n">
        <v>306</v>
      </c>
      <c r="I180" s="2" t="n">
        <v>5</v>
      </c>
      <c r="J180" s="276" t="n">
        <v>49.39</v>
      </c>
      <c r="K180" s="7" t="n">
        <v>426001</v>
      </c>
      <c r="L180" s="7" t="n">
        <f aca="false">K180/J180</f>
        <v>8625.24802591618</v>
      </c>
      <c r="M180" s="1" t="s">
        <v>5130</v>
      </c>
      <c r="O180" s="7" t="n">
        <v>426001</v>
      </c>
      <c r="P180" s="7" t="n">
        <f aca="false">O180/J180</f>
        <v>8625.24802591618</v>
      </c>
      <c r="Q180" s="1" t="s">
        <v>5131</v>
      </c>
      <c r="R180" s="2" t="n">
        <v>2</v>
      </c>
      <c r="S180" s="169" t="s">
        <v>29</v>
      </c>
      <c r="T180" s="158" t="s">
        <v>1915</v>
      </c>
      <c r="U180" s="164" t="s">
        <v>31</v>
      </c>
      <c r="W180" s="1" t="s">
        <v>4927</v>
      </c>
    </row>
    <row r="181" customFormat="false" ht="12.8" hidden="false" customHeight="false" outlineLevel="0" collapsed="false">
      <c r="B181" s="1" t="n">
        <v>10363</v>
      </c>
      <c r="C181" s="3" t="n">
        <v>43417</v>
      </c>
      <c r="D181" s="171" t="s">
        <v>22</v>
      </c>
      <c r="E181" s="5" t="s">
        <v>319</v>
      </c>
      <c r="F181" s="1" t="s">
        <v>320</v>
      </c>
      <c r="G181" s="2" t="n">
        <v>10</v>
      </c>
      <c r="H181" s="2" t="s">
        <v>5132</v>
      </c>
      <c r="I181" s="2" t="n">
        <v>3</v>
      </c>
      <c r="J181" s="276" t="n">
        <v>59.07</v>
      </c>
      <c r="K181" s="7" t="n">
        <v>554896</v>
      </c>
      <c r="L181" s="7" t="n">
        <f aca="false">K181/J181</f>
        <v>9393.87167767056</v>
      </c>
      <c r="M181" s="1" t="s">
        <v>987</v>
      </c>
      <c r="O181" s="7" t="n">
        <v>554896</v>
      </c>
      <c r="P181" s="7" t="n">
        <f aca="false">K181/J181</f>
        <v>9393.87167767056</v>
      </c>
      <c r="Q181" s="1" t="s">
        <v>5133</v>
      </c>
      <c r="R181" s="2" t="n">
        <v>4</v>
      </c>
      <c r="S181" s="169" t="s">
        <v>29</v>
      </c>
      <c r="T181" s="158" t="s">
        <v>1915</v>
      </c>
      <c r="U181" s="164" t="s">
        <v>31</v>
      </c>
      <c r="W181" s="1" t="s">
        <v>4968</v>
      </c>
    </row>
    <row r="182" customFormat="false" ht="12.8" hidden="false" customHeight="false" outlineLevel="0" collapsed="false">
      <c r="B182" s="1" t="n">
        <v>15766</v>
      </c>
      <c r="C182" s="3" t="n">
        <v>43417</v>
      </c>
      <c r="D182" s="171" t="s">
        <v>22</v>
      </c>
      <c r="E182" s="203" t="s">
        <v>5100</v>
      </c>
      <c r="F182" s="1" t="s">
        <v>5101</v>
      </c>
      <c r="G182" s="2" t="n">
        <v>27</v>
      </c>
      <c r="H182" s="2" t="n">
        <v>39</v>
      </c>
      <c r="I182" s="2" t="n">
        <v>1</v>
      </c>
      <c r="J182" s="276" t="n">
        <v>48.49</v>
      </c>
      <c r="K182" s="7" t="n">
        <v>397617.87</v>
      </c>
      <c r="L182" s="7" t="n">
        <f aca="false">K182/J182</f>
        <v>8199.99731903485</v>
      </c>
      <c r="M182" s="1" t="s">
        <v>987</v>
      </c>
      <c r="N182" s="7" t="n">
        <v>28382.13</v>
      </c>
      <c r="O182" s="7" t="n">
        <f aca="false">N182+K182</f>
        <v>426000</v>
      </c>
      <c r="P182" s="7" t="n">
        <f aca="false">O182/J182</f>
        <v>8785.31656011549</v>
      </c>
      <c r="Q182" s="1" t="s">
        <v>5134</v>
      </c>
      <c r="R182" s="2" t="n">
        <v>2</v>
      </c>
      <c r="S182" s="169" t="s">
        <v>29</v>
      </c>
      <c r="T182" s="158" t="s">
        <v>1915</v>
      </c>
      <c r="U182" s="164" t="s">
        <v>31</v>
      </c>
      <c r="W182" s="1" t="s">
        <v>5105</v>
      </c>
    </row>
    <row r="183" customFormat="false" ht="12.8" hidden="false" customHeight="false" outlineLevel="0" collapsed="false">
      <c r="B183" s="1" t="n">
        <v>7213</v>
      </c>
      <c r="C183" s="3" t="n">
        <v>43417</v>
      </c>
      <c r="D183" s="171" t="s">
        <v>22</v>
      </c>
      <c r="E183" s="8" t="s">
        <v>623</v>
      </c>
      <c r="F183" s="1" t="s">
        <v>272</v>
      </c>
      <c r="G183" s="2" t="s">
        <v>3113</v>
      </c>
      <c r="H183" s="2" t="n">
        <v>249</v>
      </c>
      <c r="I183" s="2" t="n">
        <v>3</v>
      </c>
      <c r="J183" s="276" t="n">
        <v>88.65</v>
      </c>
      <c r="K183" s="7" t="n">
        <v>795208</v>
      </c>
      <c r="L183" s="7" t="n">
        <f aca="false">K183/J183</f>
        <v>8970.19740552735</v>
      </c>
      <c r="M183" s="1" t="s">
        <v>5135</v>
      </c>
      <c r="O183" s="7" t="n">
        <v>7952018</v>
      </c>
      <c r="P183" s="7" t="n">
        <f aca="false">L183</f>
        <v>8970.19740552735</v>
      </c>
      <c r="Q183" s="1" t="s">
        <v>5136</v>
      </c>
      <c r="R183" s="2" t="n">
        <v>4</v>
      </c>
      <c r="S183" s="169" t="s">
        <v>29</v>
      </c>
      <c r="T183" s="158" t="s">
        <v>1915</v>
      </c>
      <c r="U183" s="164" t="s">
        <v>31</v>
      </c>
      <c r="W183" s="1" t="s">
        <v>4944</v>
      </c>
    </row>
    <row r="184" customFormat="false" ht="12.8" hidden="false" customHeight="false" outlineLevel="0" collapsed="false">
      <c r="B184" s="1" t="n">
        <v>7234</v>
      </c>
      <c r="C184" s="3" t="n">
        <v>43417</v>
      </c>
      <c r="D184" s="171" t="s">
        <v>22</v>
      </c>
      <c r="E184" s="203" t="s">
        <v>623</v>
      </c>
      <c r="F184" s="1" t="s">
        <v>272</v>
      </c>
      <c r="G184" s="2" t="s">
        <v>3113</v>
      </c>
      <c r="H184" s="2" t="n">
        <v>231</v>
      </c>
      <c r="I184" s="2" t="n">
        <v>12</v>
      </c>
      <c r="J184" s="276" t="n">
        <v>70.8</v>
      </c>
      <c r="K184" s="7" t="n">
        <v>632187.79</v>
      </c>
      <c r="L184" s="7" t="n">
        <f aca="false">K184/J184</f>
        <v>8929.20607344633</v>
      </c>
      <c r="M184" s="1" t="s">
        <v>5137</v>
      </c>
      <c r="N184" s="7" t="n">
        <v>30000</v>
      </c>
      <c r="O184" s="7" t="n">
        <f aca="false">K184+N184</f>
        <v>662187.79</v>
      </c>
      <c r="P184" s="7" t="n">
        <f aca="false">O184/J184</f>
        <v>9352.93488700565</v>
      </c>
      <c r="Q184" s="1" t="s">
        <v>5138</v>
      </c>
      <c r="R184" s="2" t="n">
        <v>3</v>
      </c>
      <c r="S184" s="169" t="s">
        <v>29</v>
      </c>
      <c r="T184" s="158" t="s">
        <v>1915</v>
      </c>
      <c r="U184" s="164" t="s">
        <v>31</v>
      </c>
      <c r="W184" s="1" t="s">
        <v>4944</v>
      </c>
    </row>
    <row r="185" customFormat="false" ht="12.8" hidden="false" customHeight="false" outlineLevel="0" collapsed="false">
      <c r="B185" s="1" t="n">
        <v>35406</v>
      </c>
      <c r="C185" s="3" t="n">
        <v>43417</v>
      </c>
      <c r="D185" s="171" t="s">
        <v>22</v>
      </c>
      <c r="E185" s="203" t="s">
        <v>623</v>
      </c>
      <c r="F185" s="1" t="s">
        <v>434</v>
      </c>
      <c r="G185" s="2" t="s">
        <v>5139</v>
      </c>
      <c r="H185" s="2" t="n">
        <v>60</v>
      </c>
      <c r="I185" s="2" t="n">
        <v>6</v>
      </c>
      <c r="J185" s="276" t="n">
        <v>52.49</v>
      </c>
      <c r="K185" s="7" t="n">
        <v>483300</v>
      </c>
      <c r="L185" s="7" t="n">
        <f aca="false">K185/J185</f>
        <v>9207.46808915984</v>
      </c>
      <c r="M185" s="1" t="s">
        <v>5140</v>
      </c>
      <c r="O185" s="7" t="n">
        <v>483300</v>
      </c>
      <c r="P185" s="7" t="n">
        <f aca="false">O185/J185</f>
        <v>9207.46808915984</v>
      </c>
      <c r="Q185" s="1" t="s">
        <v>2870</v>
      </c>
      <c r="R185" s="2" t="n">
        <v>3</v>
      </c>
      <c r="S185" s="169" t="s">
        <v>29</v>
      </c>
      <c r="T185" s="158" t="s">
        <v>1915</v>
      </c>
      <c r="U185" s="164" t="s">
        <v>31</v>
      </c>
      <c r="W185" s="1" t="s">
        <v>5141</v>
      </c>
    </row>
    <row r="186" customFormat="false" ht="12.8" hidden="false" customHeight="false" outlineLevel="0" collapsed="false">
      <c r="B186" s="1" t="n">
        <v>20404</v>
      </c>
      <c r="C186" s="3" t="n">
        <v>43417</v>
      </c>
      <c r="D186" s="2" t="s">
        <v>22</v>
      </c>
      <c r="F186" s="1" t="s">
        <v>1423</v>
      </c>
      <c r="G186" s="2" t="n">
        <v>8</v>
      </c>
      <c r="H186" s="2" t="n">
        <v>155</v>
      </c>
      <c r="I186" s="2" t="n">
        <v>4</v>
      </c>
      <c r="J186" s="276" t="n">
        <v>64.63</v>
      </c>
      <c r="K186" s="7" t="n">
        <v>620448</v>
      </c>
      <c r="L186" s="7" t="n">
        <f aca="false">K186/J186</f>
        <v>9600</v>
      </c>
      <c r="M186" s="1" t="s">
        <v>987</v>
      </c>
      <c r="N186" s="7" t="n">
        <v>24552</v>
      </c>
      <c r="O186" s="7" t="n">
        <f aca="false">N186+K186</f>
        <v>645000</v>
      </c>
      <c r="P186" s="7" t="n">
        <f aca="false">O186/J186</f>
        <v>9979.88550208881</v>
      </c>
      <c r="Q186" s="1" t="s">
        <v>5142</v>
      </c>
      <c r="R186" s="2" t="n">
        <v>3</v>
      </c>
      <c r="S186" s="5" t="s">
        <v>29</v>
      </c>
      <c r="T186" s="5" t="s">
        <v>1915</v>
      </c>
      <c r="U186" s="294" t="s">
        <v>31</v>
      </c>
      <c r="V186" s="203" t="s">
        <v>1140</v>
      </c>
      <c r="W186" s="1" t="s">
        <v>5143</v>
      </c>
    </row>
    <row r="187" customFormat="false" ht="12.8" hidden="false" customHeight="false" outlineLevel="0" collapsed="false">
      <c r="B187" s="1" t="n">
        <v>14152</v>
      </c>
      <c r="C187" s="155" t="n">
        <v>43418</v>
      </c>
      <c r="D187" s="171" t="s">
        <v>22</v>
      </c>
      <c r="E187" s="5" t="s">
        <v>665</v>
      </c>
      <c r="F187" s="157" t="s">
        <v>666</v>
      </c>
      <c r="G187" s="5" t="s">
        <v>141</v>
      </c>
      <c r="H187" s="165" t="s">
        <v>495</v>
      </c>
      <c r="I187" s="165" t="s">
        <v>27</v>
      </c>
      <c r="J187" s="158" t="n">
        <v>18</v>
      </c>
      <c r="K187" s="199" t="n">
        <v>216500</v>
      </c>
      <c r="L187" s="200" t="n">
        <f aca="false">ROUND(K187/J187,2)</f>
        <v>12027.78</v>
      </c>
      <c r="M187" s="248"/>
      <c r="N187" s="168"/>
      <c r="O187" s="168" t="n">
        <f aca="false">K187+N187</f>
        <v>216500</v>
      </c>
      <c r="P187" s="168" t="n">
        <f aca="false">ROUND(O187/J187,2)</f>
        <v>12027.78</v>
      </c>
      <c r="Q187" s="239" t="s">
        <v>5144</v>
      </c>
      <c r="R187" s="5" t="s">
        <v>27</v>
      </c>
      <c r="S187" s="169" t="s">
        <v>29</v>
      </c>
      <c r="T187" s="158" t="s">
        <v>1915</v>
      </c>
      <c r="U187" s="164" t="s">
        <v>31</v>
      </c>
      <c r="V187" s="164" t="s">
        <v>4894</v>
      </c>
    </row>
    <row r="188" customFormat="false" ht="12.8" hidden="false" customHeight="false" outlineLevel="0" collapsed="false">
      <c r="B188" s="1" t="n">
        <v>14159</v>
      </c>
      <c r="C188" s="3" t="n">
        <v>43418</v>
      </c>
      <c r="D188" s="171" t="s">
        <v>22</v>
      </c>
      <c r="E188" s="5" t="s">
        <v>665</v>
      </c>
      <c r="F188" s="1" t="s">
        <v>666</v>
      </c>
      <c r="G188" s="2" t="n">
        <v>22</v>
      </c>
      <c r="H188" s="2" t="n">
        <v>64</v>
      </c>
      <c r="I188" s="2" t="n">
        <v>9</v>
      </c>
      <c r="J188" s="276" t="n">
        <v>18.4</v>
      </c>
      <c r="K188" s="7" t="n">
        <v>236500</v>
      </c>
      <c r="L188" s="200" t="n">
        <f aca="false">ROUND(K188/J188,2)</f>
        <v>12853.26</v>
      </c>
      <c r="O188" s="168" t="n">
        <f aca="false">K188+N188</f>
        <v>236500</v>
      </c>
      <c r="P188" s="168" t="n">
        <f aca="false">ROUND(O188/J188,2)</f>
        <v>12853.26</v>
      </c>
      <c r="Q188" s="289" t="s">
        <v>1695</v>
      </c>
      <c r="R188" s="2" t="n">
        <v>2</v>
      </c>
      <c r="S188" s="169" t="s">
        <v>29</v>
      </c>
      <c r="T188" s="158" t="s">
        <v>1915</v>
      </c>
      <c r="U188" s="164" t="s">
        <v>31</v>
      </c>
      <c r="V188" s="164" t="s">
        <v>4894</v>
      </c>
    </row>
    <row r="189" customFormat="false" ht="12.8" hidden="false" customHeight="false" outlineLevel="0" collapsed="false">
      <c r="B189" s="1" t="n">
        <v>8391</v>
      </c>
      <c r="C189" s="3" t="n">
        <v>43418</v>
      </c>
      <c r="D189" s="171" t="s">
        <v>22</v>
      </c>
      <c r="E189" s="5" t="s">
        <v>433</v>
      </c>
      <c r="F189" s="1" t="s">
        <v>434</v>
      </c>
      <c r="G189" s="2" t="s">
        <v>1567</v>
      </c>
      <c r="H189" s="2" t="n">
        <v>218</v>
      </c>
      <c r="I189" s="2" t="n">
        <v>5</v>
      </c>
      <c r="J189" s="276" t="n">
        <v>53.64</v>
      </c>
      <c r="K189" s="7" t="n">
        <v>470561.37</v>
      </c>
      <c r="L189" s="200" t="n">
        <f aca="false">ROUND(K189/J189,2)</f>
        <v>8772.58</v>
      </c>
      <c r="M189" s="289" t="s">
        <v>940</v>
      </c>
      <c r="O189" s="168" t="n">
        <f aca="false">K189+N189</f>
        <v>470561.37</v>
      </c>
      <c r="P189" s="168" t="n">
        <f aca="false">ROUND(O189/J189,2)</f>
        <v>8772.58</v>
      </c>
      <c r="Q189" s="289" t="s">
        <v>1704</v>
      </c>
      <c r="R189" s="2" t="n">
        <v>3</v>
      </c>
      <c r="S189" s="169" t="s">
        <v>29</v>
      </c>
      <c r="T189" s="158" t="s">
        <v>1915</v>
      </c>
      <c r="U189" s="164" t="s">
        <v>31</v>
      </c>
      <c r="V189" s="164" t="s">
        <v>4894</v>
      </c>
    </row>
    <row r="190" customFormat="false" ht="12.8" hidden="false" customHeight="false" outlineLevel="0" collapsed="false">
      <c r="B190" s="1" t="n">
        <v>8311</v>
      </c>
      <c r="C190" s="3" t="n">
        <v>43418</v>
      </c>
      <c r="D190" s="171" t="s">
        <v>22</v>
      </c>
      <c r="E190" s="5" t="s">
        <v>433</v>
      </c>
      <c r="F190" s="1" t="s">
        <v>434</v>
      </c>
      <c r="G190" s="2" t="s">
        <v>1567</v>
      </c>
      <c r="H190" s="2" t="n">
        <v>256</v>
      </c>
      <c r="I190" s="2" t="n">
        <v>2</v>
      </c>
      <c r="J190" s="276" t="n">
        <v>56.49</v>
      </c>
      <c r="K190" s="7" t="n">
        <v>446015.09</v>
      </c>
      <c r="L190" s="200" t="n">
        <f aca="false">ROUND(K190/J190,2)</f>
        <v>7895.47</v>
      </c>
      <c r="M190" s="289" t="s">
        <v>940</v>
      </c>
      <c r="O190" s="7" t="n">
        <f aca="false">K190+N190</f>
        <v>446015.09</v>
      </c>
      <c r="P190" s="7" t="n">
        <f aca="false">ROUND(O190/J190,2)</f>
        <v>7895.47</v>
      </c>
      <c r="Q190" s="289" t="s">
        <v>1704</v>
      </c>
      <c r="R190" s="2" t="n">
        <v>3</v>
      </c>
      <c r="S190" s="169" t="s">
        <v>29</v>
      </c>
      <c r="T190" s="158" t="s">
        <v>1915</v>
      </c>
      <c r="U190" s="164" t="s">
        <v>31</v>
      </c>
      <c r="V190" s="164" t="s">
        <v>4894</v>
      </c>
    </row>
    <row r="191" customFormat="false" ht="12.8" hidden="false" customHeight="false" outlineLevel="0" collapsed="false">
      <c r="B191" s="1" t="n">
        <v>15788</v>
      </c>
      <c r="C191" s="3" t="n">
        <v>43418</v>
      </c>
      <c r="D191" s="171" t="s">
        <v>22</v>
      </c>
      <c r="E191" s="203" t="s">
        <v>5100</v>
      </c>
      <c r="F191" s="1" t="s">
        <v>5101</v>
      </c>
      <c r="G191" s="2" t="n">
        <v>27</v>
      </c>
      <c r="H191" s="2" t="n">
        <v>16</v>
      </c>
      <c r="I191" s="2" t="n">
        <v>3</v>
      </c>
      <c r="J191" s="276" t="n">
        <v>80.02</v>
      </c>
      <c r="K191" s="7" t="n">
        <v>680169.97</v>
      </c>
      <c r="L191" s="200" t="n">
        <f aca="false">ROUND(K191/J191,2)</f>
        <v>8500</v>
      </c>
      <c r="O191" s="7" t="n">
        <f aca="false">K191+N191</f>
        <v>680169.97</v>
      </c>
      <c r="P191" s="168" t="n">
        <f aca="false">ROUND(O191/J191,2)</f>
        <v>8500</v>
      </c>
      <c r="Q191" s="289" t="s">
        <v>5145</v>
      </c>
      <c r="R191" s="2" t="n">
        <v>4</v>
      </c>
      <c r="S191" s="169" t="s">
        <v>29</v>
      </c>
      <c r="T191" s="158" t="s">
        <v>1915</v>
      </c>
      <c r="U191" s="164" t="s">
        <v>31</v>
      </c>
      <c r="V191" s="164" t="s">
        <v>4894</v>
      </c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customFormat="false" ht="12.8" hidden="false" customHeight="false" outlineLevel="0" collapsed="false">
      <c r="B192" s="1" t="n">
        <v>15808</v>
      </c>
      <c r="C192" s="3" t="n">
        <v>43418</v>
      </c>
      <c r="D192" s="171" t="s">
        <v>22</v>
      </c>
      <c r="E192" s="203" t="s">
        <v>5100</v>
      </c>
      <c r="F192" s="1" t="s">
        <v>5101</v>
      </c>
      <c r="G192" s="2" t="n">
        <v>27</v>
      </c>
      <c r="H192" s="2" t="n">
        <v>3</v>
      </c>
      <c r="I192" s="2" t="n">
        <v>1</v>
      </c>
      <c r="J192" s="276" t="n">
        <v>48.2</v>
      </c>
      <c r="K192" s="7" t="n">
        <v>395239.87</v>
      </c>
      <c r="L192" s="200" t="n">
        <f aca="false">ROUND(K192/J192,2)</f>
        <v>8200</v>
      </c>
      <c r="O192" s="7" t="n">
        <f aca="false">K192+N192</f>
        <v>395239.87</v>
      </c>
      <c r="P192" s="168" t="n">
        <f aca="false">ROUND(O192/J192,2)</f>
        <v>8200</v>
      </c>
      <c r="Q192" s="289" t="s">
        <v>5146</v>
      </c>
      <c r="R192" s="2" t="n">
        <v>3</v>
      </c>
      <c r="S192" s="169" t="s">
        <v>29</v>
      </c>
      <c r="T192" s="158" t="s">
        <v>1915</v>
      </c>
      <c r="U192" s="164" t="s">
        <v>31</v>
      </c>
      <c r="V192" s="164" t="s">
        <v>4894</v>
      </c>
    </row>
    <row r="193" s="151" customFormat="true" ht="12.8" hidden="false" customHeight="false" outlineLevel="0" collapsed="false">
      <c r="B193" s="1" t="n">
        <v>15829</v>
      </c>
      <c r="C193" s="3" t="n">
        <v>43418</v>
      </c>
      <c r="D193" s="171" t="s">
        <v>22</v>
      </c>
      <c r="E193" s="203" t="s">
        <v>5100</v>
      </c>
      <c r="F193" s="1" t="s">
        <v>5101</v>
      </c>
      <c r="G193" s="2" t="n">
        <v>27</v>
      </c>
      <c r="H193" s="2" t="n">
        <v>53</v>
      </c>
      <c r="I193" s="2" t="n">
        <v>3</v>
      </c>
      <c r="J193" s="276" t="n">
        <v>47.9</v>
      </c>
      <c r="K193" s="7" t="n">
        <v>407149.99</v>
      </c>
      <c r="L193" s="200" t="n">
        <f aca="false">ROUND(K193/J193,2)</f>
        <v>8500</v>
      </c>
      <c r="M193" s="1"/>
      <c r="N193" s="7"/>
      <c r="O193" s="7" t="n">
        <f aca="false">K193+N193</f>
        <v>407149.99</v>
      </c>
      <c r="P193" s="7" t="n">
        <f aca="false">ROUND(O193/J193,2)</f>
        <v>8500</v>
      </c>
      <c r="Q193" s="289" t="s">
        <v>1351</v>
      </c>
      <c r="R193" s="2" t="n">
        <v>3</v>
      </c>
      <c r="S193" s="169" t="s">
        <v>29</v>
      </c>
      <c r="T193" s="158" t="s">
        <v>1915</v>
      </c>
      <c r="U193" s="164" t="s">
        <v>31</v>
      </c>
      <c r="V193" s="164" t="s">
        <v>4894</v>
      </c>
      <c r="W193" s="1"/>
    </row>
    <row r="194" s="151" customFormat="true" ht="12.8" hidden="false" customHeight="false" outlineLevel="0" collapsed="false">
      <c r="B194" s="1" t="n">
        <v>8331</v>
      </c>
      <c r="C194" s="3" t="n">
        <v>43418</v>
      </c>
      <c r="D194" s="171" t="s">
        <v>22</v>
      </c>
      <c r="E194" s="8" t="s">
        <v>433</v>
      </c>
      <c r="F194" s="1" t="s">
        <v>434</v>
      </c>
      <c r="G194" s="2" t="s">
        <v>1567</v>
      </c>
      <c r="H194" s="2" t="n">
        <v>218</v>
      </c>
      <c r="I194" s="2" t="n">
        <v>5</v>
      </c>
      <c r="J194" s="276" t="n">
        <v>53.64</v>
      </c>
      <c r="K194" s="7" t="n">
        <v>470561.37</v>
      </c>
      <c r="L194" s="7" t="n">
        <f aca="false">ROUND(K194/J194,2)</f>
        <v>8772.58</v>
      </c>
      <c r="M194" s="1"/>
      <c r="N194" s="7"/>
      <c r="O194" s="7" t="n">
        <f aca="false">K194+N194</f>
        <v>470561.37</v>
      </c>
      <c r="P194" s="7" t="n">
        <f aca="false">ROUND(O194/J194,2)</f>
        <v>8772.58</v>
      </c>
      <c r="Q194" s="1" t="s">
        <v>5147</v>
      </c>
      <c r="R194" s="2" t="n">
        <v>3</v>
      </c>
      <c r="S194" s="169" t="s">
        <v>29</v>
      </c>
      <c r="T194" s="158" t="s">
        <v>1915</v>
      </c>
      <c r="U194" s="164" t="s">
        <v>31</v>
      </c>
      <c r="V194" s="2"/>
      <c r="W194" s="1" t="s">
        <v>4927</v>
      </c>
    </row>
    <row r="195" s="151" customFormat="true" ht="12.8" hidden="false" customHeight="false" outlineLevel="0" collapsed="false">
      <c r="B195" s="1" t="n">
        <v>16788</v>
      </c>
      <c r="C195" s="3" t="n">
        <v>43418</v>
      </c>
      <c r="D195" s="171" t="s">
        <v>22</v>
      </c>
      <c r="E195" s="8" t="s">
        <v>717</v>
      </c>
      <c r="F195" s="1" t="s">
        <v>5101</v>
      </c>
      <c r="G195" s="2" t="n">
        <v>27</v>
      </c>
      <c r="H195" s="2" t="n">
        <v>16</v>
      </c>
      <c r="I195" s="2" t="n">
        <v>3</v>
      </c>
      <c r="J195" s="276" t="n">
        <v>80.02</v>
      </c>
      <c r="K195" s="7" t="n">
        <v>680169.97</v>
      </c>
      <c r="L195" s="7" t="n">
        <f aca="false">K195/J195</f>
        <v>8499.99962509373</v>
      </c>
      <c r="M195" s="1" t="s">
        <v>1021</v>
      </c>
      <c r="N195" s="7" t="n">
        <v>42575.03</v>
      </c>
      <c r="O195" s="7" t="n">
        <f aca="false">K195+N195</f>
        <v>722745</v>
      </c>
      <c r="P195" s="7" t="n">
        <f aca="false">O195/J195</f>
        <v>9032.05448637841</v>
      </c>
      <c r="Q195" s="1" t="s">
        <v>5148</v>
      </c>
      <c r="R195" s="2" t="n">
        <v>4</v>
      </c>
      <c r="S195" s="169" t="s">
        <v>29</v>
      </c>
      <c r="T195" s="158" t="s">
        <v>1915</v>
      </c>
      <c r="U195" s="164" t="s">
        <v>31</v>
      </c>
      <c r="V195" s="2"/>
      <c r="W195" s="1" t="s">
        <v>5105</v>
      </c>
    </row>
    <row r="196" s="151" customFormat="true" ht="12.8" hidden="false" customHeight="false" outlineLevel="0" collapsed="false">
      <c r="B196" s="1" t="n">
        <v>15833</v>
      </c>
      <c r="C196" s="3" t="n">
        <v>43418</v>
      </c>
      <c r="D196" s="171" t="s">
        <v>22</v>
      </c>
      <c r="E196" s="8" t="s">
        <v>717</v>
      </c>
      <c r="F196" s="1" t="s">
        <v>5102</v>
      </c>
      <c r="G196" s="2" t="n">
        <v>27</v>
      </c>
      <c r="H196" s="2" t="n">
        <v>53</v>
      </c>
      <c r="I196" s="2" t="n">
        <v>3</v>
      </c>
      <c r="J196" s="276" t="n">
        <v>47.9</v>
      </c>
      <c r="K196" s="7" t="n">
        <v>407149.99</v>
      </c>
      <c r="L196" s="7" t="n">
        <f aca="false">K196/J196</f>
        <v>8499.99979123173</v>
      </c>
      <c r="M196" s="1" t="s">
        <v>987</v>
      </c>
      <c r="N196" s="7" t="n">
        <v>20725.01</v>
      </c>
      <c r="O196" s="7" t="n">
        <f aca="false">N196+K196</f>
        <v>427875</v>
      </c>
      <c r="P196" s="7" t="n">
        <f aca="false">O196/J196</f>
        <v>8932.67223382046</v>
      </c>
      <c r="Q196" s="1" t="s">
        <v>2870</v>
      </c>
      <c r="R196" s="2" t="n">
        <v>3</v>
      </c>
      <c r="S196" s="169" t="s">
        <v>29</v>
      </c>
      <c r="T196" s="158" t="s">
        <v>1915</v>
      </c>
      <c r="U196" s="164" t="s">
        <v>31</v>
      </c>
      <c r="V196" s="2"/>
      <c r="W196" s="1" t="s">
        <v>5105</v>
      </c>
    </row>
    <row r="197" s="151" customFormat="true" ht="12.8" hidden="false" customHeight="false" outlineLevel="0" collapsed="false">
      <c r="B197" s="1" t="n">
        <v>8350</v>
      </c>
      <c r="C197" s="3" t="n">
        <v>43418</v>
      </c>
      <c r="D197" s="171" t="s">
        <v>22</v>
      </c>
      <c r="E197" s="8" t="s">
        <v>433</v>
      </c>
      <c r="F197" s="1" t="s">
        <v>434</v>
      </c>
      <c r="G197" s="2" t="s">
        <v>1567</v>
      </c>
      <c r="H197" s="2" t="n">
        <v>331</v>
      </c>
      <c r="I197" s="2" t="n">
        <v>2</v>
      </c>
      <c r="J197" s="276" t="n">
        <v>60.9</v>
      </c>
      <c r="K197" s="7" t="n">
        <v>497346.67</v>
      </c>
      <c r="L197" s="7" t="n">
        <f aca="false">K197/J197</f>
        <v>8166.61198686371</v>
      </c>
      <c r="M197" s="1"/>
      <c r="N197" s="7"/>
      <c r="O197" s="7" t="n">
        <v>497346.67</v>
      </c>
      <c r="P197" s="7" t="n">
        <f aca="false">O197/J197</f>
        <v>8166.61198686371</v>
      </c>
      <c r="Q197" s="1" t="s">
        <v>5149</v>
      </c>
      <c r="R197" s="2" t="n">
        <v>3</v>
      </c>
      <c r="S197" s="169" t="s">
        <v>29</v>
      </c>
      <c r="T197" s="158" t="s">
        <v>1915</v>
      </c>
      <c r="U197" s="164" t="s">
        <v>31</v>
      </c>
      <c r="V197" s="2"/>
      <c r="W197" s="1" t="s">
        <v>4927</v>
      </c>
    </row>
    <row r="198" s="151" customFormat="true" ht="12.8" hidden="false" customHeight="false" outlineLevel="0" collapsed="false">
      <c r="B198" s="1" t="n">
        <v>8338</v>
      </c>
      <c r="C198" s="3" t="n">
        <v>43418</v>
      </c>
      <c r="D198" s="171" t="s">
        <v>22</v>
      </c>
      <c r="E198" s="203" t="s">
        <v>623</v>
      </c>
      <c r="F198" s="1" t="s">
        <v>434</v>
      </c>
      <c r="G198" s="2" t="s">
        <v>1567</v>
      </c>
      <c r="H198" s="2" t="n">
        <v>223</v>
      </c>
      <c r="I198" s="2" t="n">
        <v>6</v>
      </c>
      <c r="J198" s="276" t="n">
        <v>44.54</v>
      </c>
      <c r="K198" s="7" t="n">
        <v>395467.64</v>
      </c>
      <c r="L198" s="7" t="n">
        <f aca="false">K198/J198</f>
        <v>8878.93219577908</v>
      </c>
      <c r="M198" s="1"/>
      <c r="N198" s="7"/>
      <c r="O198" s="7" t="n">
        <v>395467.64</v>
      </c>
      <c r="P198" s="7" t="n">
        <f aca="false">O198/J198</f>
        <v>8878.93219577908</v>
      </c>
      <c r="Q198" s="1" t="s">
        <v>5150</v>
      </c>
      <c r="R198" s="2" t="n">
        <v>2</v>
      </c>
      <c r="S198" s="169" t="s">
        <v>29</v>
      </c>
      <c r="T198" s="158" t="s">
        <v>1915</v>
      </c>
      <c r="U198" s="164" t="s">
        <v>31</v>
      </c>
      <c r="V198" s="2"/>
      <c r="W198" s="1" t="s">
        <v>4927</v>
      </c>
    </row>
    <row r="199" customFormat="false" ht="12.8" hidden="false" customHeight="false" outlineLevel="0" collapsed="false">
      <c r="A199" s="151"/>
      <c r="B199" s="1" t="n">
        <v>8352</v>
      </c>
      <c r="C199" s="3" t="n">
        <v>43418</v>
      </c>
      <c r="D199" s="171" t="s">
        <v>22</v>
      </c>
      <c r="E199" s="5" t="s">
        <v>229</v>
      </c>
      <c r="F199" s="1" t="s">
        <v>230</v>
      </c>
      <c r="G199" s="2" t="n">
        <v>57</v>
      </c>
      <c r="H199" s="2" t="n">
        <v>83</v>
      </c>
      <c r="I199" s="2" t="n">
        <v>5</v>
      </c>
      <c r="J199" s="276" t="n">
        <v>42.1</v>
      </c>
      <c r="K199" s="7" t="n">
        <v>370000</v>
      </c>
      <c r="L199" s="7" t="n">
        <f aca="false">K199/J199</f>
        <v>8788.59857482185</v>
      </c>
      <c r="O199" s="7" t="n">
        <v>370000</v>
      </c>
      <c r="P199" s="7" t="n">
        <f aca="false">O199/J199</f>
        <v>8788.59857482185</v>
      </c>
      <c r="Q199" s="1" t="s">
        <v>5119</v>
      </c>
      <c r="R199" s="2" t="n">
        <v>2</v>
      </c>
      <c r="S199" s="169" t="s">
        <v>29</v>
      </c>
      <c r="T199" s="158" t="s">
        <v>1915</v>
      </c>
      <c r="U199" s="164" t="s">
        <v>31</v>
      </c>
      <c r="W199" s="1" t="s">
        <v>5151</v>
      </c>
      <c r="X199" s="151"/>
    </row>
    <row r="200" customFormat="false" ht="12.8" hidden="false" customHeight="false" outlineLevel="0" collapsed="false">
      <c r="A200" s="151"/>
      <c r="B200" s="1" t="n">
        <v>21845</v>
      </c>
      <c r="C200" s="155" t="n">
        <v>43419</v>
      </c>
      <c r="D200" s="171" t="s">
        <v>22</v>
      </c>
      <c r="E200" s="5" t="s">
        <v>350</v>
      </c>
      <c r="F200" s="157" t="s">
        <v>323</v>
      </c>
      <c r="G200" s="5" t="s">
        <v>4398</v>
      </c>
      <c r="H200" s="165" t="s">
        <v>408</v>
      </c>
      <c r="I200" s="165" t="s">
        <v>82</v>
      </c>
      <c r="J200" s="158" t="n">
        <v>112.02</v>
      </c>
      <c r="K200" s="199" t="n">
        <v>987311</v>
      </c>
      <c r="L200" s="200" t="n">
        <f aca="false">ROUND(K200/J200,2)</f>
        <v>8813.7</v>
      </c>
      <c r="M200" s="248" t="s">
        <v>5152</v>
      </c>
      <c r="N200" s="168"/>
      <c r="O200" s="168" t="n">
        <f aca="false">K200+N200</f>
        <v>987311</v>
      </c>
      <c r="P200" s="168" t="n">
        <f aca="false">ROUND(O200/J200,2)</f>
        <v>8813.7</v>
      </c>
      <c r="Q200" s="239" t="s">
        <v>5145</v>
      </c>
      <c r="R200" s="5" t="s">
        <v>49</v>
      </c>
      <c r="S200" s="169" t="s">
        <v>29</v>
      </c>
      <c r="T200" s="158" t="s">
        <v>1915</v>
      </c>
      <c r="U200" s="164" t="s">
        <v>31</v>
      </c>
      <c r="V200" s="164" t="s">
        <v>4894</v>
      </c>
      <c r="X200" s="151"/>
    </row>
    <row r="201" customFormat="false" ht="12.8" hidden="false" customHeight="false" outlineLevel="0" collapsed="false">
      <c r="A201" s="151"/>
      <c r="B201" s="1" t="n">
        <v>8366</v>
      </c>
      <c r="C201" s="155" t="n">
        <v>43419</v>
      </c>
      <c r="D201" s="171" t="s">
        <v>22</v>
      </c>
      <c r="E201" s="5" t="s">
        <v>433</v>
      </c>
      <c r="F201" s="157" t="s">
        <v>434</v>
      </c>
      <c r="G201" s="5" t="s">
        <v>1567</v>
      </c>
      <c r="H201" s="165" t="s">
        <v>5153</v>
      </c>
      <c r="I201" s="165" t="s">
        <v>112</v>
      </c>
      <c r="J201" s="158" t="n">
        <v>42.27</v>
      </c>
      <c r="K201" s="199" t="n">
        <v>369810.1</v>
      </c>
      <c r="L201" s="200" t="n">
        <f aca="false">ROUND(K201/J201,2)</f>
        <v>8748.76</v>
      </c>
      <c r="M201" s="248" t="s">
        <v>940</v>
      </c>
      <c r="N201" s="168"/>
      <c r="O201" s="168" t="n">
        <f aca="false">K201+N201</f>
        <v>369810.1</v>
      </c>
      <c r="P201" s="168" t="n">
        <f aca="false">ROUND(O201/J201,2)</f>
        <v>8748.76</v>
      </c>
      <c r="Q201" s="239" t="s">
        <v>1724</v>
      </c>
      <c r="R201" s="5" t="s">
        <v>36</v>
      </c>
      <c r="S201" s="169" t="s">
        <v>29</v>
      </c>
      <c r="T201" s="158" t="s">
        <v>1915</v>
      </c>
      <c r="U201" s="164" t="s">
        <v>31</v>
      </c>
      <c r="V201" s="164" t="s">
        <v>4894</v>
      </c>
      <c r="X201" s="151"/>
    </row>
    <row r="202" customFormat="false" ht="12.8" hidden="false" customHeight="false" outlineLevel="0" collapsed="false">
      <c r="A202" s="151"/>
      <c r="B202" s="1" t="n">
        <v>8386</v>
      </c>
      <c r="C202" s="155" t="n">
        <v>43419</v>
      </c>
      <c r="D202" s="171" t="s">
        <v>22</v>
      </c>
      <c r="E202" s="5" t="s">
        <v>433</v>
      </c>
      <c r="F202" s="157" t="s">
        <v>434</v>
      </c>
      <c r="G202" s="5" t="s">
        <v>1567</v>
      </c>
      <c r="H202" s="165" t="s">
        <v>5154</v>
      </c>
      <c r="I202" s="165" t="s">
        <v>49</v>
      </c>
      <c r="J202" s="158" t="n">
        <v>30.56</v>
      </c>
      <c r="K202" s="199" t="n">
        <v>294765</v>
      </c>
      <c r="L202" s="200" t="n">
        <f aca="false">ROUND(K202/J202,2)</f>
        <v>9645.45</v>
      </c>
      <c r="M202" s="248" t="s">
        <v>5155</v>
      </c>
      <c r="N202" s="168"/>
      <c r="O202" s="168" t="n">
        <f aca="false">K202+N202</f>
        <v>294765</v>
      </c>
      <c r="P202" s="168" t="n">
        <f aca="false">ROUND(O202/J202,2)</f>
        <v>9645.45</v>
      </c>
      <c r="Q202" s="239" t="s">
        <v>1695</v>
      </c>
      <c r="R202" s="5" t="s">
        <v>36</v>
      </c>
      <c r="S202" s="169" t="s">
        <v>29</v>
      </c>
      <c r="T202" s="158" t="s">
        <v>1915</v>
      </c>
      <c r="U202" s="164" t="s">
        <v>31</v>
      </c>
      <c r="V202" s="164" t="s">
        <v>4894</v>
      </c>
      <c r="X202" s="151"/>
    </row>
    <row r="203" customFormat="false" ht="12.8" hidden="false" customHeight="false" outlineLevel="0" collapsed="false">
      <c r="A203" s="151"/>
      <c r="B203" s="289" t="n">
        <v>8359</v>
      </c>
      <c r="C203" s="3" t="n">
        <v>43419</v>
      </c>
      <c r="D203" s="171" t="s">
        <v>22</v>
      </c>
      <c r="E203" s="5" t="s">
        <v>433</v>
      </c>
      <c r="F203" s="1" t="s">
        <v>1735</v>
      </c>
      <c r="G203" s="2" t="s">
        <v>1567</v>
      </c>
      <c r="H203" s="2" t="n">
        <v>268</v>
      </c>
      <c r="I203" s="2" t="n">
        <v>5</v>
      </c>
      <c r="J203" s="276" t="n">
        <v>27.85</v>
      </c>
      <c r="K203" s="7" t="n">
        <v>258688</v>
      </c>
      <c r="L203" s="7" t="n">
        <f aca="false">ROUND(K203/J203,2)</f>
        <v>9288.62</v>
      </c>
      <c r="M203" s="289" t="s">
        <v>940</v>
      </c>
      <c r="O203" s="7" t="n">
        <f aca="false">K203+N203</f>
        <v>258688</v>
      </c>
      <c r="P203" s="7" t="n">
        <f aca="false">ROUND(O203/J203,2)</f>
        <v>9288.62</v>
      </c>
      <c r="Q203" s="289" t="s">
        <v>1695</v>
      </c>
      <c r="R203" s="8" t="s">
        <v>36</v>
      </c>
      <c r="S203" s="169" t="s">
        <v>29</v>
      </c>
      <c r="T203" s="158" t="s">
        <v>1915</v>
      </c>
      <c r="U203" s="164" t="s">
        <v>31</v>
      </c>
      <c r="V203" s="164" t="s">
        <v>4894</v>
      </c>
      <c r="X203" s="151"/>
    </row>
    <row r="204" customFormat="false" ht="12.8" hidden="false" customHeight="false" outlineLevel="0" collapsed="false">
      <c r="A204" s="151"/>
      <c r="B204" s="1" t="n">
        <v>8373</v>
      </c>
      <c r="C204" s="3" t="n">
        <v>43419</v>
      </c>
      <c r="D204" s="171" t="s">
        <v>22</v>
      </c>
      <c r="E204" s="5" t="s">
        <v>229</v>
      </c>
      <c r="F204" s="1" t="s">
        <v>230</v>
      </c>
      <c r="G204" s="2" t="n">
        <v>57</v>
      </c>
      <c r="H204" s="2" t="n">
        <v>44</v>
      </c>
      <c r="I204" s="2" t="n">
        <v>7</v>
      </c>
      <c r="J204" s="276" t="n">
        <v>77.2</v>
      </c>
      <c r="K204" s="7" t="n">
        <v>625000</v>
      </c>
      <c r="L204" s="200" t="n">
        <f aca="false">ROUND(K204/J204,2)</f>
        <v>8095.85</v>
      </c>
      <c r="M204" s="289" t="s">
        <v>5156</v>
      </c>
      <c r="O204" s="168" t="n">
        <f aca="false">K204+N204</f>
        <v>625000</v>
      </c>
      <c r="P204" s="168" t="n">
        <f aca="false">ROUND(O204/J204,2)</f>
        <v>8095.85</v>
      </c>
      <c r="Q204" s="289" t="s">
        <v>5157</v>
      </c>
      <c r="R204" s="2" t="n">
        <v>2</v>
      </c>
      <c r="S204" s="169" t="s">
        <v>29</v>
      </c>
      <c r="T204" s="158" t="s">
        <v>1915</v>
      </c>
      <c r="U204" s="164" t="s">
        <v>31</v>
      </c>
      <c r="V204" s="164" t="s">
        <v>4894</v>
      </c>
      <c r="X204" s="151"/>
    </row>
    <row r="205" customFormat="false" ht="12.8" hidden="false" customHeight="false" outlineLevel="0" collapsed="false">
      <c r="A205" s="151"/>
      <c r="B205" s="1" t="n">
        <v>15869</v>
      </c>
      <c r="C205" s="3" t="n">
        <v>43419</v>
      </c>
      <c r="D205" s="171" t="s">
        <v>22</v>
      </c>
      <c r="E205" s="203" t="s">
        <v>5100</v>
      </c>
      <c r="F205" s="1" t="s">
        <v>5101</v>
      </c>
      <c r="G205" s="2" t="n">
        <v>27</v>
      </c>
      <c r="H205" s="2" t="n">
        <v>10</v>
      </c>
      <c r="I205" s="2" t="n">
        <v>2</v>
      </c>
      <c r="J205" s="276" t="n">
        <v>105.85</v>
      </c>
      <c r="K205" s="7" t="n">
        <v>910309.65</v>
      </c>
      <c r="L205" s="200" t="n">
        <f aca="false">ROUND(K205/J205,2)</f>
        <v>8600</v>
      </c>
      <c r="O205" s="168" t="n">
        <f aca="false">K205+N205</f>
        <v>910309.65</v>
      </c>
      <c r="P205" s="168" t="n">
        <f aca="false">ROUND(O205/J205,2)</f>
        <v>8600</v>
      </c>
      <c r="Q205" s="289" t="s">
        <v>5158</v>
      </c>
      <c r="R205" s="2" t="n">
        <v>5</v>
      </c>
      <c r="S205" s="169" t="s">
        <v>29</v>
      </c>
      <c r="T205" s="158" t="s">
        <v>1915</v>
      </c>
      <c r="U205" s="164" t="s">
        <v>31</v>
      </c>
      <c r="V205" s="164" t="s">
        <v>4894</v>
      </c>
      <c r="X205" s="151"/>
    </row>
    <row r="206" customFormat="false" ht="12.8" hidden="false" customHeight="false" outlineLevel="0" collapsed="false">
      <c r="A206" s="151"/>
      <c r="B206" s="1" t="n">
        <v>15887</v>
      </c>
      <c r="C206" s="3" t="n">
        <v>43419</v>
      </c>
      <c r="D206" s="171" t="s">
        <v>22</v>
      </c>
      <c r="E206" s="203" t="s">
        <v>5100</v>
      </c>
      <c r="F206" s="1" t="s">
        <v>5102</v>
      </c>
      <c r="G206" s="2" t="n">
        <v>27</v>
      </c>
      <c r="H206" s="2" t="n">
        <v>40</v>
      </c>
      <c r="I206" s="2" t="n">
        <v>1</v>
      </c>
      <c r="J206" s="276" t="n">
        <v>107.29</v>
      </c>
      <c r="K206" s="7" t="n">
        <v>890507.56</v>
      </c>
      <c r="L206" s="200" t="n">
        <f aca="false">ROUND(K206/J206,2)</f>
        <v>8300.01</v>
      </c>
      <c r="M206" s="289" t="s">
        <v>1703</v>
      </c>
      <c r="N206" s="7" t="n">
        <v>54492.44</v>
      </c>
      <c r="O206" s="7" t="n">
        <f aca="false">K206+N206</f>
        <v>945000</v>
      </c>
      <c r="P206" s="7" t="n">
        <f aca="false">ROUND(O206/J206,2)</f>
        <v>8807.9</v>
      </c>
      <c r="Q206" s="289" t="s">
        <v>5145</v>
      </c>
      <c r="R206" s="2" t="n">
        <v>4</v>
      </c>
      <c r="S206" s="169" t="s">
        <v>29</v>
      </c>
      <c r="T206" s="158" t="s">
        <v>1915</v>
      </c>
      <c r="U206" s="164" t="s">
        <v>31</v>
      </c>
      <c r="V206" s="164" t="s">
        <v>4894</v>
      </c>
      <c r="X206" s="151"/>
    </row>
    <row r="207" customFormat="false" ht="12.8" hidden="false" customHeight="false" outlineLevel="0" collapsed="false">
      <c r="A207" s="151"/>
      <c r="B207" s="1" t="n">
        <v>9134</v>
      </c>
      <c r="C207" s="3" t="n">
        <v>43419</v>
      </c>
      <c r="D207" s="171" t="s">
        <v>22</v>
      </c>
      <c r="E207" s="2" t="s">
        <v>5159</v>
      </c>
      <c r="F207" s="1" t="s">
        <v>5160</v>
      </c>
      <c r="G207" s="2" t="n">
        <v>7</v>
      </c>
      <c r="H207" s="2" t="s">
        <v>5161</v>
      </c>
      <c r="I207" s="2" t="n">
        <v>1</v>
      </c>
      <c r="J207" s="276" t="n">
        <v>167.99</v>
      </c>
      <c r="K207" s="7" t="n">
        <v>1719877</v>
      </c>
      <c r="L207" s="200" t="n">
        <f aca="false">ROUND(K207/J207,2)</f>
        <v>10237.97</v>
      </c>
      <c r="M207" s="289" t="s">
        <v>5162</v>
      </c>
      <c r="O207" s="168" t="n">
        <f aca="false">K207+N207</f>
        <v>1719877</v>
      </c>
      <c r="P207" s="168" t="n">
        <f aca="false">ROUND(O207/J207,2)</f>
        <v>10237.97</v>
      </c>
      <c r="Q207" s="289" t="s">
        <v>1715</v>
      </c>
      <c r="R207" s="2" t="n">
        <v>6</v>
      </c>
      <c r="S207" s="169" t="s">
        <v>29</v>
      </c>
      <c r="T207" s="158" t="s">
        <v>1915</v>
      </c>
      <c r="U207" s="164" t="s">
        <v>31</v>
      </c>
      <c r="V207" s="164" t="s">
        <v>4894</v>
      </c>
      <c r="X207" s="151"/>
    </row>
    <row r="208" customFormat="false" ht="12.8" hidden="false" customHeight="false" outlineLevel="0" collapsed="false">
      <c r="A208" s="151"/>
      <c r="B208" s="1" t="n">
        <v>7429</v>
      </c>
      <c r="C208" s="3" t="n">
        <v>43419</v>
      </c>
      <c r="D208" s="171" t="s">
        <v>22</v>
      </c>
      <c r="E208" s="203" t="s">
        <v>5128</v>
      </c>
      <c r="F208" s="1" t="s">
        <v>272</v>
      </c>
      <c r="G208" s="2" t="s">
        <v>3113</v>
      </c>
      <c r="H208" s="2" t="n">
        <v>267</v>
      </c>
      <c r="I208" s="2" t="n">
        <v>5</v>
      </c>
      <c r="J208" s="276" t="n">
        <v>88.43</v>
      </c>
      <c r="K208" s="7" t="n">
        <v>805992</v>
      </c>
      <c r="L208" s="200" t="n">
        <f aca="false">ROUND(K208/J208,2)</f>
        <v>9114.46</v>
      </c>
      <c r="O208" s="7" t="n">
        <f aca="false">K208+N208</f>
        <v>805992</v>
      </c>
      <c r="P208" s="168" t="n">
        <f aca="false">ROUND(O208/J208,2)</f>
        <v>9114.46</v>
      </c>
      <c r="Q208" s="289" t="s">
        <v>5145</v>
      </c>
      <c r="R208" s="2" t="n">
        <v>4</v>
      </c>
      <c r="S208" s="169" t="s">
        <v>29</v>
      </c>
      <c r="T208" s="158" t="s">
        <v>1915</v>
      </c>
      <c r="U208" s="164" t="s">
        <v>31</v>
      </c>
      <c r="V208" s="164" t="s">
        <v>4894</v>
      </c>
      <c r="X208" s="151"/>
    </row>
    <row r="209" customFormat="false" ht="12.8" hidden="false" customHeight="false" outlineLevel="0" collapsed="false">
      <c r="A209" s="151"/>
      <c r="B209" s="1" t="n">
        <v>20584</v>
      </c>
      <c r="C209" s="3" t="n">
        <v>43419</v>
      </c>
      <c r="D209" s="171" t="s">
        <v>22</v>
      </c>
      <c r="E209" s="5" t="s">
        <v>206</v>
      </c>
      <c r="F209" s="1" t="s">
        <v>1423</v>
      </c>
      <c r="G209" s="2" t="n">
        <v>8</v>
      </c>
      <c r="H209" s="2" t="n">
        <v>105</v>
      </c>
      <c r="I209" s="2" t="n">
        <v>1</v>
      </c>
      <c r="J209" s="276" t="n">
        <v>51.38</v>
      </c>
      <c r="K209" s="7" t="n">
        <v>472696</v>
      </c>
      <c r="L209" s="7" t="n">
        <f aca="false">K209/J209</f>
        <v>9200</v>
      </c>
      <c r="M209" s="1" t="s">
        <v>1461</v>
      </c>
      <c r="O209" s="7" t="n">
        <v>472696</v>
      </c>
      <c r="P209" s="7" t="n">
        <f aca="false">O209/J209</f>
        <v>9200</v>
      </c>
      <c r="Q209" s="1" t="s">
        <v>5163</v>
      </c>
      <c r="R209" s="2" t="n">
        <v>3</v>
      </c>
      <c r="S209" s="169" t="s">
        <v>29</v>
      </c>
      <c r="T209" s="158" t="s">
        <v>1915</v>
      </c>
      <c r="U209" s="164" t="s">
        <v>31</v>
      </c>
      <c r="W209" s="1" t="s">
        <v>4972</v>
      </c>
      <c r="X209" s="151"/>
    </row>
    <row r="210" customFormat="false" ht="12.8" hidden="false" customHeight="false" outlineLevel="0" collapsed="false">
      <c r="B210" s="1" t="n">
        <v>7942</v>
      </c>
      <c r="C210" s="3" t="n">
        <v>43419</v>
      </c>
      <c r="D210" s="171" t="s">
        <v>22</v>
      </c>
      <c r="E210" s="5" t="s">
        <v>156</v>
      </c>
      <c r="F210" s="1" t="s">
        <v>2225</v>
      </c>
      <c r="G210" s="2" t="n">
        <v>31</v>
      </c>
      <c r="H210" s="2" t="n">
        <v>39</v>
      </c>
      <c r="I210" s="2" t="n">
        <v>4</v>
      </c>
      <c r="J210" s="276" t="n">
        <v>43.74</v>
      </c>
      <c r="K210" s="7" t="n">
        <v>357726.17</v>
      </c>
      <c r="L210" s="7" t="n">
        <f aca="false">K210/J210</f>
        <v>8178.46753543667</v>
      </c>
      <c r="O210" s="7" t="n">
        <v>357726.17</v>
      </c>
      <c r="P210" s="7" t="n">
        <f aca="false">O210/J210</f>
        <v>8178.46753543667</v>
      </c>
      <c r="Q210" s="1" t="s">
        <v>2870</v>
      </c>
      <c r="R210" s="2" t="n">
        <v>3</v>
      </c>
      <c r="S210" s="169" t="s">
        <v>29</v>
      </c>
      <c r="T210" s="158" t="s">
        <v>1915</v>
      </c>
      <c r="U210" s="164" t="s">
        <v>31</v>
      </c>
      <c r="W210" s="1" t="s">
        <v>4752</v>
      </c>
    </row>
    <row r="211" s="32" customFormat="true" ht="12.8" hidden="false" customHeight="false" outlineLevel="0" collapsed="false">
      <c r="A211" s="1"/>
      <c r="B211" s="1" t="n">
        <v>6978</v>
      </c>
      <c r="C211" s="3" t="n">
        <v>43419</v>
      </c>
      <c r="D211" s="171" t="s">
        <v>22</v>
      </c>
      <c r="E211" s="8" t="s">
        <v>287</v>
      </c>
      <c r="F211" s="1" t="s">
        <v>2322</v>
      </c>
      <c r="G211" s="2" t="n">
        <v>5</v>
      </c>
      <c r="H211" s="2" t="n">
        <v>25</v>
      </c>
      <c r="I211" s="2" t="n">
        <v>4</v>
      </c>
      <c r="J211" s="276" t="n">
        <v>81.95</v>
      </c>
      <c r="K211" s="6" t="n">
        <v>1100000</v>
      </c>
      <c r="L211" s="166" t="n">
        <f aca="false">K211/J211</f>
        <v>13422.8187919463</v>
      </c>
      <c r="M211" s="264" t="s">
        <v>1778</v>
      </c>
      <c r="N211" s="6"/>
      <c r="O211" s="163" t="n">
        <f aca="false">K211+N211</f>
        <v>1100000</v>
      </c>
      <c r="P211" s="163" t="n">
        <f aca="false">O211/J211</f>
        <v>13422.8187919463</v>
      </c>
      <c r="Q211" s="295" t="s">
        <v>5164</v>
      </c>
      <c r="R211" s="2" t="n">
        <v>3</v>
      </c>
      <c r="S211" s="169" t="s">
        <v>29</v>
      </c>
      <c r="T211" s="158" t="s">
        <v>1915</v>
      </c>
      <c r="U211" s="164" t="s">
        <v>31</v>
      </c>
      <c r="V211" s="35" t="s">
        <v>1916</v>
      </c>
      <c r="W211" s="1" t="s">
        <v>5165</v>
      </c>
      <c r="X211" s="1"/>
    </row>
    <row r="212" customFormat="false" ht="12.8" hidden="false" customHeight="false" outlineLevel="0" collapsed="false">
      <c r="B212" s="1" t="n">
        <v>11339</v>
      </c>
      <c r="C212" s="155" t="n">
        <v>43420</v>
      </c>
      <c r="D212" s="171" t="s">
        <v>22</v>
      </c>
      <c r="E212" s="5" t="s">
        <v>23</v>
      </c>
      <c r="F212" s="157" t="s">
        <v>43</v>
      </c>
      <c r="G212" s="5" t="s">
        <v>48</v>
      </c>
      <c r="H212" s="165" t="s">
        <v>210</v>
      </c>
      <c r="I212" s="165" t="s">
        <v>57</v>
      </c>
      <c r="J212" s="158" t="n">
        <v>93.6</v>
      </c>
      <c r="K212" s="199" t="n">
        <v>1546230.82</v>
      </c>
      <c r="L212" s="200" t="n">
        <f aca="false">ROUND(K212/J212,2)</f>
        <v>16519.56</v>
      </c>
      <c r="M212" s="248"/>
      <c r="N212" s="168"/>
      <c r="O212" s="168" t="n">
        <f aca="false">K212+N212</f>
        <v>1546230.82</v>
      </c>
      <c r="P212" s="168" t="n">
        <f aca="false">ROUND(O212/J212,2)</f>
        <v>16519.56</v>
      </c>
      <c r="Q212" s="239" t="s">
        <v>5145</v>
      </c>
      <c r="R212" s="5" t="s">
        <v>49</v>
      </c>
      <c r="S212" s="169" t="s">
        <v>29</v>
      </c>
      <c r="T212" s="158" t="s">
        <v>1915</v>
      </c>
      <c r="U212" s="164" t="s">
        <v>31</v>
      </c>
      <c r="V212" s="164" t="s">
        <v>4894</v>
      </c>
    </row>
    <row r="213" customFormat="false" ht="12.8" hidden="false" customHeight="false" outlineLevel="0" collapsed="false">
      <c r="B213" s="1" t="n">
        <v>8410</v>
      </c>
      <c r="C213" s="155" t="n">
        <v>43420</v>
      </c>
      <c r="D213" s="171" t="s">
        <v>22</v>
      </c>
      <c r="E213" s="5" t="s">
        <v>433</v>
      </c>
      <c r="F213" s="157" t="s">
        <v>434</v>
      </c>
      <c r="G213" s="5" t="s">
        <v>1567</v>
      </c>
      <c r="H213" s="165" t="s">
        <v>5166</v>
      </c>
      <c r="I213" s="165" t="s">
        <v>112</v>
      </c>
      <c r="J213" s="158" t="n">
        <v>48.05</v>
      </c>
      <c r="K213" s="199" t="n">
        <v>420505</v>
      </c>
      <c r="L213" s="200" t="n">
        <f aca="false">ROUND(K213/J213,2)</f>
        <v>8751.4</v>
      </c>
      <c r="M213" s="248" t="s">
        <v>5155</v>
      </c>
      <c r="N213" s="168"/>
      <c r="O213" s="168" t="n">
        <f aca="false">K213+N213</f>
        <v>420505</v>
      </c>
      <c r="P213" s="168" t="n">
        <f aca="false">ROUND(O213/J213,2)</f>
        <v>8751.4</v>
      </c>
      <c r="Q213" s="239" t="s">
        <v>1724</v>
      </c>
      <c r="R213" s="5" t="s">
        <v>36</v>
      </c>
      <c r="S213" s="169" t="s">
        <v>29</v>
      </c>
      <c r="T213" s="158" t="s">
        <v>1915</v>
      </c>
      <c r="U213" s="164" t="s">
        <v>31</v>
      </c>
      <c r="V213" s="164" t="s">
        <v>4894</v>
      </c>
    </row>
    <row r="214" customFormat="false" ht="12.8" hidden="false" customHeight="false" outlineLevel="0" collapsed="false">
      <c r="B214" s="1" t="n">
        <v>8431</v>
      </c>
      <c r="C214" s="155" t="n">
        <v>43420</v>
      </c>
      <c r="D214" s="171" t="s">
        <v>22</v>
      </c>
      <c r="E214" s="5" t="s">
        <v>229</v>
      </c>
      <c r="F214" s="157" t="s">
        <v>230</v>
      </c>
      <c r="G214" s="5" t="s">
        <v>275</v>
      </c>
      <c r="H214" s="165" t="s">
        <v>27</v>
      </c>
      <c r="I214" s="165" t="s">
        <v>27</v>
      </c>
      <c r="J214" s="158" t="n">
        <v>59.7</v>
      </c>
      <c r="K214" s="199" t="n">
        <v>506547</v>
      </c>
      <c r="L214" s="200" t="n">
        <f aca="false">ROUND(K214/J214,2)</f>
        <v>8484.87</v>
      </c>
      <c r="M214" s="248" t="s">
        <v>5167</v>
      </c>
      <c r="N214" s="168"/>
      <c r="O214" s="168" t="n">
        <f aca="false">K214+N214</f>
        <v>506547</v>
      </c>
      <c r="P214" s="168" t="n">
        <f aca="false">ROUND(O214/J214,2)</f>
        <v>8484.87</v>
      </c>
      <c r="Q214" s="239" t="s">
        <v>1704</v>
      </c>
      <c r="R214" s="5" t="s">
        <v>26</v>
      </c>
      <c r="S214" s="169" t="s">
        <v>29</v>
      </c>
      <c r="T214" s="158" t="s">
        <v>1915</v>
      </c>
      <c r="U214" s="164" t="s">
        <v>31</v>
      </c>
      <c r="V214" s="164" t="s">
        <v>4894</v>
      </c>
    </row>
    <row r="215" customFormat="false" ht="12.8" hidden="false" customHeight="false" outlineLevel="0" collapsed="false">
      <c r="B215" s="1" t="n">
        <v>8417</v>
      </c>
      <c r="C215" s="3" t="n">
        <v>43420</v>
      </c>
      <c r="D215" s="171" t="s">
        <v>22</v>
      </c>
      <c r="E215" s="5" t="s">
        <v>229</v>
      </c>
      <c r="F215" s="1" t="s">
        <v>230</v>
      </c>
      <c r="G215" s="2" t="n">
        <v>55</v>
      </c>
      <c r="H215" s="2" t="n">
        <v>22</v>
      </c>
      <c r="I215" s="2" t="n">
        <v>7</v>
      </c>
      <c r="J215" s="276" t="n">
        <v>96.41</v>
      </c>
      <c r="K215" s="7" t="n">
        <v>856220.28</v>
      </c>
      <c r="L215" s="200" t="n">
        <f aca="false">ROUND(K215/J215,2)</f>
        <v>8881.03</v>
      </c>
      <c r="M215" s="289" t="s">
        <v>5168</v>
      </c>
      <c r="O215" s="168" t="n">
        <f aca="false">K215+N215</f>
        <v>856220.28</v>
      </c>
      <c r="P215" s="168" t="n">
        <f aca="false">ROUND(O215/J215,2)</f>
        <v>8881.03</v>
      </c>
      <c r="Q215" s="289" t="s">
        <v>5145</v>
      </c>
      <c r="R215" s="2" t="n">
        <v>4</v>
      </c>
      <c r="S215" s="169" t="s">
        <v>29</v>
      </c>
      <c r="T215" s="158" t="s">
        <v>1915</v>
      </c>
      <c r="U215" s="164" t="s">
        <v>31</v>
      </c>
      <c r="V215" s="164" t="s">
        <v>4894</v>
      </c>
    </row>
    <row r="216" customFormat="false" ht="12.8" hidden="false" customHeight="false" outlineLevel="0" collapsed="false">
      <c r="B216" s="1" t="n">
        <v>11157</v>
      </c>
      <c r="C216" s="155" t="n">
        <v>43423</v>
      </c>
      <c r="D216" s="171" t="s">
        <v>22</v>
      </c>
      <c r="E216" s="5" t="s">
        <v>308</v>
      </c>
      <c r="F216" s="157" t="s">
        <v>446</v>
      </c>
      <c r="G216" s="5" t="s">
        <v>26</v>
      </c>
      <c r="H216" s="165" t="s">
        <v>1052</v>
      </c>
      <c r="I216" s="165" t="s">
        <v>36</v>
      </c>
      <c r="J216" s="158" t="n">
        <v>33.4</v>
      </c>
      <c r="K216" s="199" t="n">
        <v>394750</v>
      </c>
      <c r="L216" s="200" t="n">
        <f aca="false">ROUND(K216/J216,2)</f>
        <v>11818.86</v>
      </c>
      <c r="M216" s="248"/>
      <c r="N216" s="168"/>
      <c r="O216" s="168" t="n">
        <f aca="false">K216+N216</f>
        <v>394750</v>
      </c>
      <c r="P216" s="168" t="n">
        <f aca="false">ROUND(O216/J216,2)</f>
        <v>11818.86</v>
      </c>
      <c r="Q216" s="239" t="s">
        <v>1695</v>
      </c>
      <c r="R216" s="5" t="s">
        <v>36</v>
      </c>
      <c r="S216" s="169" t="s">
        <v>29</v>
      </c>
      <c r="T216" s="158" t="s">
        <v>1915</v>
      </c>
      <c r="U216" s="164" t="s">
        <v>31</v>
      </c>
      <c r="V216" s="164" t="s">
        <v>4894</v>
      </c>
    </row>
    <row r="217" customFormat="false" ht="12.8" hidden="false" customHeight="false" outlineLevel="0" collapsed="false">
      <c r="B217" s="1" t="n">
        <v>11524</v>
      </c>
      <c r="C217" s="3" t="n">
        <v>43424</v>
      </c>
      <c r="D217" s="171" t="s">
        <v>22</v>
      </c>
      <c r="E217" s="5" t="s">
        <v>156</v>
      </c>
      <c r="F217" s="1" t="s">
        <v>2225</v>
      </c>
      <c r="G217" s="2" t="n">
        <v>31</v>
      </c>
      <c r="H217" s="2" t="n">
        <v>6</v>
      </c>
      <c r="I217" s="2" t="n">
        <v>2</v>
      </c>
      <c r="J217" s="276" t="n">
        <v>37.77</v>
      </c>
      <c r="K217" s="7" t="n">
        <v>319321.86</v>
      </c>
      <c r="L217" s="200" t="n">
        <f aca="false">ROUND(K217/J217,2)</f>
        <v>8454.38</v>
      </c>
      <c r="M217" s="289" t="s">
        <v>940</v>
      </c>
      <c r="O217" s="168" t="n">
        <f aca="false">K217+N217</f>
        <v>319321.86</v>
      </c>
      <c r="P217" s="168" t="n">
        <f aca="false">ROUND(O217/J217,2)</f>
        <v>8454.38</v>
      </c>
      <c r="Q217" s="289" t="s">
        <v>5144</v>
      </c>
      <c r="R217" s="2" t="n">
        <v>1</v>
      </c>
      <c r="S217" s="169" t="s">
        <v>29</v>
      </c>
      <c r="T217" s="158" t="s">
        <v>1915</v>
      </c>
      <c r="U217" s="164" t="s">
        <v>31</v>
      </c>
      <c r="V217" s="164" t="s">
        <v>4894</v>
      </c>
    </row>
    <row r="218" customFormat="false" ht="12.8" hidden="false" customHeight="false" outlineLevel="0" collapsed="false">
      <c r="A218" s="32"/>
      <c r="B218" s="32" t="n">
        <v>11424</v>
      </c>
      <c r="C218" s="185" t="n">
        <v>43424</v>
      </c>
      <c r="D218" s="43" t="s">
        <v>22</v>
      </c>
      <c r="E218" s="73" t="s">
        <v>23</v>
      </c>
      <c r="F218" s="72" t="s">
        <v>43</v>
      </c>
      <c r="G218" s="73" t="s">
        <v>48</v>
      </c>
      <c r="H218" s="47" t="s">
        <v>217</v>
      </c>
      <c r="I218" s="47" t="s">
        <v>57</v>
      </c>
      <c r="J218" s="74" t="n">
        <v>41.12</v>
      </c>
      <c r="K218" s="75" t="n">
        <v>645584</v>
      </c>
      <c r="L218" s="76" t="n">
        <f aca="false">ROUND(K218/J218,2)</f>
        <v>15700</v>
      </c>
      <c r="M218" s="296" t="s">
        <v>940</v>
      </c>
      <c r="N218" s="78" t="n">
        <v>18000</v>
      </c>
      <c r="O218" s="78" t="n">
        <f aca="false">K218+N218</f>
        <v>663584</v>
      </c>
      <c r="P218" s="78" t="n">
        <f aca="false">ROUND(O218/J218,2)</f>
        <v>16137.74</v>
      </c>
      <c r="Q218" s="297" t="s">
        <v>1724</v>
      </c>
      <c r="R218" s="73" t="s">
        <v>36</v>
      </c>
      <c r="S218" s="79" t="s">
        <v>29</v>
      </c>
      <c r="T218" s="74" t="s">
        <v>1915</v>
      </c>
      <c r="U218" s="36" t="s">
        <v>31</v>
      </c>
      <c r="V218" s="164" t="s">
        <v>4894</v>
      </c>
      <c r="W218" s="32"/>
      <c r="X218" s="32"/>
    </row>
    <row r="219" customFormat="false" ht="12.8" hidden="false" customHeight="false" outlineLevel="0" collapsed="false">
      <c r="B219" s="1" t="n">
        <v>8629</v>
      </c>
      <c r="C219" s="155" t="n">
        <v>43424</v>
      </c>
      <c r="D219" s="171" t="s">
        <v>22</v>
      </c>
      <c r="E219" s="5" t="s">
        <v>433</v>
      </c>
      <c r="F219" s="157" t="s">
        <v>434</v>
      </c>
      <c r="G219" s="5" t="s">
        <v>1567</v>
      </c>
      <c r="H219" s="165" t="s">
        <v>5169</v>
      </c>
      <c r="I219" s="165" t="s">
        <v>82</v>
      </c>
      <c r="J219" s="158" t="n">
        <v>40.48</v>
      </c>
      <c r="K219" s="199" t="n">
        <v>431123.81</v>
      </c>
      <c r="L219" s="200" t="n">
        <f aca="false">ROUND(K219/J219,2)</f>
        <v>10650.29</v>
      </c>
      <c r="M219" s="248" t="s">
        <v>5129</v>
      </c>
      <c r="N219" s="168"/>
      <c r="O219" s="168" t="n">
        <f aca="false">K219+N219</f>
        <v>431123.81</v>
      </c>
      <c r="P219" s="168" t="n">
        <f aca="false">ROUND(O219/J219,2)</f>
        <v>10650.29</v>
      </c>
      <c r="Q219" s="239" t="s">
        <v>1724</v>
      </c>
      <c r="R219" s="5" t="s">
        <v>36</v>
      </c>
      <c r="S219" s="169" t="s">
        <v>29</v>
      </c>
      <c r="T219" s="158" t="s">
        <v>1915</v>
      </c>
      <c r="U219" s="164" t="s">
        <v>31</v>
      </c>
      <c r="V219" s="164" t="s">
        <v>4894</v>
      </c>
    </row>
    <row r="220" customFormat="false" ht="12.8" hidden="false" customHeight="false" outlineLevel="0" collapsed="false">
      <c r="B220" s="1" t="n">
        <v>8636</v>
      </c>
      <c r="C220" s="155" t="n">
        <v>43424</v>
      </c>
      <c r="D220" s="171" t="s">
        <v>22</v>
      </c>
      <c r="E220" s="5" t="s">
        <v>433</v>
      </c>
      <c r="F220" s="157" t="s">
        <v>434</v>
      </c>
      <c r="G220" s="5" t="s">
        <v>1567</v>
      </c>
      <c r="H220" s="165" t="s">
        <v>5170</v>
      </c>
      <c r="I220" s="165" t="s">
        <v>36</v>
      </c>
      <c r="J220" s="158" t="n">
        <v>27.8</v>
      </c>
      <c r="K220" s="199" t="n">
        <v>260980</v>
      </c>
      <c r="L220" s="200" t="n">
        <f aca="false">ROUND(K220/J220,2)</f>
        <v>9387.77</v>
      </c>
      <c r="M220" s="248" t="s">
        <v>940</v>
      </c>
      <c r="N220" s="168"/>
      <c r="O220" s="168" t="n">
        <f aca="false">K220+N220</f>
        <v>260980</v>
      </c>
      <c r="P220" s="168" t="n">
        <f aca="false">ROUND(O220/J220,2)</f>
        <v>9387.77</v>
      </c>
      <c r="Q220" s="239" t="s">
        <v>1695</v>
      </c>
      <c r="R220" s="5" t="s">
        <v>36</v>
      </c>
      <c r="S220" s="169" t="s">
        <v>29</v>
      </c>
      <c r="T220" s="158" t="s">
        <v>1915</v>
      </c>
      <c r="U220" s="164" t="s">
        <v>31</v>
      </c>
      <c r="V220" s="164" t="s">
        <v>4894</v>
      </c>
    </row>
    <row r="221" customFormat="false" ht="12.8" hidden="false" customHeight="false" outlineLevel="0" collapsed="false">
      <c r="B221" s="1" t="n">
        <v>8622</v>
      </c>
      <c r="C221" s="155" t="n">
        <v>43424</v>
      </c>
      <c r="D221" s="171" t="s">
        <v>22</v>
      </c>
      <c r="E221" s="5" t="s">
        <v>433</v>
      </c>
      <c r="F221" s="157" t="s">
        <v>434</v>
      </c>
      <c r="G221" s="5" t="s">
        <v>1567</v>
      </c>
      <c r="H221" s="165" t="s">
        <v>5171</v>
      </c>
      <c r="I221" s="165" t="s">
        <v>112</v>
      </c>
      <c r="J221" s="158" t="n">
        <v>40.08</v>
      </c>
      <c r="K221" s="199" t="n">
        <v>379747.48</v>
      </c>
      <c r="L221" s="200" t="n">
        <f aca="false">ROUND(K221/J221,2)</f>
        <v>9474.74</v>
      </c>
      <c r="M221" s="248" t="s">
        <v>5155</v>
      </c>
      <c r="N221" s="168"/>
      <c r="O221" s="168" t="n">
        <f aca="false">K221+N221</f>
        <v>379747.48</v>
      </c>
      <c r="P221" s="168" t="n">
        <f aca="false">ROUND(O221/J221,2)</f>
        <v>9474.74</v>
      </c>
      <c r="Q221" s="239" t="s">
        <v>1724</v>
      </c>
      <c r="R221" s="5" t="s">
        <v>36</v>
      </c>
      <c r="S221" s="169" t="s">
        <v>29</v>
      </c>
      <c r="T221" s="158" t="s">
        <v>1915</v>
      </c>
      <c r="U221" s="164" t="s">
        <v>31</v>
      </c>
      <c r="V221" s="164" t="s">
        <v>4894</v>
      </c>
    </row>
    <row r="222" customFormat="false" ht="12.8" hidden="false" customHeight="false" outlineLevel="0" collapsed="false">
      <c r="B222" s="1" t="n">
        <v>8650</v>
      </c>
      <c r="C222" s="155" t="n">
        <v>43424</v>
      </c>
      <c r="D222" s="171" t="s">
        <v>22</v>
      </c>
      <c r="E222" s="5" t="s">
        <v>433</v>
      </c>
      <c r="F222" s="157" t="s">
        <v>434</v>
      </c>
      <c r="G222" s="5" t="s">
        <v>1567</v>
      </c>
      <c r="H222" s="165" t="s">
        <v>5172</v>
      </c>
      <c r="I222" s="165" t="s">
        <v>27</v>
      </c>
      <c r="J222" s="158" t="n">
        <v>60.86</v>
      </c>
      <c r="K222" s="199" t="n">
        <v>520611.12</v>
      </c>
      <c r="L222" s="200" t="n">
        <f aca="false">ROUND(K222/J222,2)</f>
        <v>8554.24</v>
      </c>
      <c r="M222" s="248" t="s">
        <v>940</v>
      </c>
      <c r="N222" s="168"/>
      <c r="O222" s="168" t="n">
        <f aca="false">K222+N222</f>
        <v>520611.12</v>
      </c>
      <c r="P222" s="168" t="n">
        <f aca="false">ROUND(O222/J222,2)</f>
        <v>8554.24</v>
      </c>
      <c r="Q222" s="239" t="s">
        <v>1704</v>
      </c>
      <c r="R222" s="5" t="s">
        <v>26</v>
      </c>
      <c r="S222" s="169" t="s">
        <v>29</v>
      </c>
      <c r="T222" s="158" t="s">
        <v>1915</v>
      </c>
      <c r="U222" s="164" t="s">
        <v>31</v>
      </c>
      <c r="V222" s="164" t="s">
        <v>4894</v>
      </c>
    </row>
    <row r="223" customFormat="false" ht="12.8" hidden="false" customHeight="false" outlineLevel="0" collapsed="false">
      <c r="B223" s="1" t="n">
        <v>8658</v>
      </c>
      <c r="C223" s="155" t="n">
        <v>43424</v>
      </c>
      <c r="D223" s="171" t="s">
        <v>22</v>
      </c>
      <c r="E223" s="5" t="s">
        <v>433</v>
      </c>
      <c r="F223" s="157" t="s">
        <v>434</v>
      </c>
      <c r="G223" s="5" t="s">
        <v>1567</v>
      </c>
      <c r="H223" s="165" t="s">
        <v>5173</v>
      </c>
      <c r="I223" s="165" t="s">
        <v>82</v>
      </c>
      <c r="J223" s="158" t="n">
        <v>40.06</v>
      </c>
      <c r="K223" s="199" t="n">
        <v>366711.49</v>
      </c>
      <c r="L223" s="200" t="n">
        <f aca="false">ROUND(K223/J223,2)</f>
        <v>9154.06</v>
      </c>
      <c r="M223" s="248" t="s">
        <v>940</v>
      </c>
      <c r="N223" s="168"/>
      <c r="O223" s="168" t="n">
        <f aca="false">K223+N223</f>
        <v>366711.49</v>
      </c>
      <c r="P223" s="168" t="n">
        <f aca="false">ROUND(O223/J223,2)</f>
        <v>9154.06</v>
      </c>
      <c r="Q223" s="239" t="s">
        <v>1724</v>
      </c>
      <c r="R223" s="5" t="s">
        <v>36</v>
      </c>
      <c r="S223" s="169" t="s">
        <v>29</v>
      </c>
      <c r="T223" s="158" t="s">
        <v>1915</v>
      </c>
      <c r="U223" s="164" t="s">
        <v>31</v>
      </c>
      <c r="V223" s="164" t="s">
        <v>4894</v>
      </c>
    </row>
    <row r="224" customFormat="false" ht="12.8" hidden="false" customHeight="false" outlineLevel="0" collapsed="false">
      <c r="B224" s="1" t="n">
        <v>8610</v>
      </c>
      <c r="C224" s="3" t="n">
        <v>43424</v>
      </c>
      <c r="D224" s="171" t="s">
        <v>22</v>
      </c>
      <c r="E224" s="5" t="s">
        <v>433</v>
      </c>
      <c r="F224" s="1" t="s">
        <v>434</v>
      </c>
      <c r="G224" s="2" t="s">
        <v>1567</v>
      </c>
      <c r="H224" s="2" t="n">
        <v>358</v>
      </c>
      <c r="I224" s="2" t="n">
        <v>7</v>
      </c>
      <c r="J224" s="276" t="n">
        <v>27.82</v>
      </c>
      <c r="K224" s="7" t="n">
        <v>267390.99</v>
      </c>
      <c r="L224" s="200" t="n">
        <f aca="false">ROUND(K224/J224,2)</f>
        <v>9611.47</v>
      </c>
      <c r="M224" s="289" t="s">
        <v>940</v>
      </c>
      <c r="O224" s="168" t="n">
        <f aca="false">K224+N224</f>
        <v>267390.99</v>
      </c>
      <c r="P224" s="168" t="n">
        <f aca="false">ROUND(O224/J224,2)</f>
        <v>9611.47</v>
      </c>
      <c r="Q224" s="289" t="s">
        <v>1695</v>
      </c>
      <c r="R224" s="2" t="n">
        <v>2</v>
      </c>
      <c r="S224" s="169" t="s">
        <v>29</v>
      </c>
      <c r="T224" s="158" t="s">
        <v>1915</v>
      </c>
      <c r="U224" s="164" t="s">
        <v>31</v>
      </c>
      <c r="V224" s="164" t="s">
        <v>4894</v>
      </c>
    </row>
    <row r="225" customFormat="false" ht="12.8" hidden="false" customHeight="false" outlineLevel="0" collapsed="false">
      <c r="B225" s="1" t="n">
        <v>11157</v>
      </c>
      <c r="C225" s="155" t="n">
        <v>43424</v>
      </c>
      <c r="D225" s="171" t="s">
        <v>22</v>
      </c>
      <c r="E225" s="5" t="s">
        <v>308</v>
      </c>
      <c r="F225" s="157" t="s">
        <v>446</v>
      </c>
      <c r="G225" s="5" t="s">
        <v>26</v>
      </c>
      <c r="H225" s="165" t="s">
        <v>5174</v>
      </c>
      <c r="I225" s="165" t="s">
        <v>36</v>
      </c>
      <c r="J225" s="158" t="n">
        <v>26.4</v>
      </c>
      <c r="K225" s="199" t="n">
        <v>349000</v>
      </c>
      <c r="L225" s="200" t="n">
        <f aca="false">ROUND(K225/J225,2)</f>
        <v>13219.7</v>
      </c>
      <c r="M225" s="248"/>
      <c r="N225" s="168"/>
      <c r="O225" s="168" t="n">
        <f aca="false">K225+N225</f>
        <v>349000</v>
      </c>
      <c r="P225" s="168" t="n">
        <f aca="false">ROUND(O225/J225,2)</f>
        <v>13219.7</v>
      </c>
      <c r="Q225" s="239" t="s">
        <v>1695</v>
      </c>
      <c r="R225" s="5" t="s">
        <v>36</v>
      </c>
      <c r="S225" s="169" t="s">
        <v>29</v>
      </c>
      <c r="T225" s="158" t="s">
        <v>1915</v>
      </c>
      <c r="U225" s="164" t="s">
        <v>31</v>
      </c>
      <c r="V225" s="164" t="s">
        <v>4894</v>
      </c>
    </row>
    <row r="226" customFormat="false" ht="12.8" hidden="false" customHeight="false" outlineLevel="0" collapsed="false">
      <c r="B226" s="1" t="n">
        <v>9204</v>
      </c>
      <c r="C226" s="155" t="n">
        <v>43424</v>
      </c>
      <c r="D226" s="171" t="s">
        <v>22</v>
      </c>
      <c r="E226" s="5" t="s">
        <v>2258</v>
      </c>
      <c r="F226" s="157" t="s">
        <v>4911</v>
      </c>
      <c r="G226" s="5" t="s">
        <v>26</v>
      </c>
      <c r="H226" s="165" t="s">
        <v>57</v>
      </c>
      <c r="I226" s="165" t="s">
        <v>36</v>
      </c>
      <c r="J226" s="158" t="n">
        <v>131.38</v>
      </c>
      <c r="K226" s="199" t="n">
        <v>1499877</v>
      </c>
      <c r="L226" s="200" t="n">
        <f aca="false">ROUND(K226/J226,2)</f>
        <v>11416.33</v>
      </c>
      <c r="M226" s="248" t="s">
        <v>5175</v>
      </c>
      <c r="N226" s="168"/>
      <c r="O226" s="168" t="n">
        <f aca="false">K226+N226</f>
        <v>1499877</v>
      </c>
      <c r="P226" s="168" t="n">
        <f aca="false">ROUND(O226/J226,2)</f>
        <v>11416.33</v>
      </c>
      <c r="Q226" s="239" t="s">
        <v>1715</v>
      </c>
      <c r="R226" s="5" t="s">
        <v>25</v>
      </c>
      <c r="S226" s="169" t="s">
        <v>29</v>
      </c>
      <c r="T226" s="158" t="s">
        <v>1915</v>
      </c>
      <c r="U226" s="164" t="s">
        <v>31</v>
      </c>
      <c r="V226" s="164" t="s">
        <v>4894</v>
      </c>
    </row>
    <row r="227" customFormat="false" ht="12.8" hidden="false" customHeight="false" outlineLevel="0" collapsed="false">
      <c r="B227" s="1" t="n">
        <v>7468</v>
      </c>
      <c r="C227" s="3" t="n">
        <v>43424</v>
      </c>
      <c r="D227" s="171" t="s">
        <v>22</v>
      </c>
      <c r="E227" s="8" t="s">
        <v>623</v>
      </c>
      <c r="F227" s="1" t="s">
        <v>272</v>
      </c>
      <c r="G227" s="2" t="s">
        <v>3113</v>
      </c>
      <c r="H227" s="2" t="n">
        <v>252</v>
      </c>
      <c r="I227" s="2" t="n">
        <v>4</v>
      </c>
      <c r="J227" s="276" t="n">
        <v>58.92</v>
      </c>
      <c r="K227" s="6" t="n">
        <v>487857.6</v>
      </c>
      <c r="L227" s="166" t="n">
        <f aca="false">K227/J227</f>
        <v>8280</v>
      </c>
      <c r="M227" s="264" t="s">
        <v>1778</v>
      </c>
      <c r="N227" s="6"/>
      <c r="O227" s="163" t="n">
        <f aca="false">K227+N227</f>
        <v>487857.6</v>
      </c>
      <c r="P227" s="163" t="n">
        <f aca="false">O227/J227</f>
        <v>8280</v>
      </c>
      <c r="Q227" s="295" t="s">
        <v>5176</v>
      </c>
      <c r="R227" s="2" t="n">
        <v>2</v>
      </c>
      <c r="S227" s="169" t="s">
        <v>29</v>
      </c>
      <c r="T227" s="158" t="s">
        <v>1915</v>
      </c>
      <c r="U227" s="164" t="s">
        <v>31</v>
      </c>
      <c r="V227" s="35" t="s">
        <v>1916</v>
      </c>
      <c r="W227" s="1" t="s">
        <v>4944</v>
      </c>
    </row>
    <row r="228" customFormat="false" ht="12.8" hidden="false" customHeight="false" outlineLevel="0" collapsed="false">
      <c r="B228" s="1" t="n">
        <v>56829</v>
      </c>
      <c r="C228" s="155" t="n">
        <v>43425</v>
      </c>
      <c r="D228" s="171" t="s">
        <v>22</v>
      </c>
      <c r="E228" s="5" t="s">
        <v>350</v>
      </c>
      <c r="F228" s="157" t="s">
        <v>323</v>
      </c>
      <c r="G228" s="5" t="s">
        <v>570</v>
      </c>
      <c r="H228" s="165" t="s">
        <v>200</v>
      </c>
      <c r="I228" s="165" t="s">
        <v>36</v>
      </c>
      <c r="J228" s="158" t="n">
        <v>30.91</v>
      </c>
      <c r="K228" s="199" t="n">
        <v>254977.83</v>
      </c>
      <c r="L228" s="200" t="n">
        <f aca="false">ROUND(K228/J228,2)</f>
        <v>8249.04</v>
      </c>
      <c r="M228" s="248" t="s">
        <v>940</v>
      </c>
      <c r="N228" s="168" t="n">
        <v>29999.7</v>
      </c>
      <c r="O228" s="168" t="n">
        <f aca="false">K228+N228</f>
        <v>284977.53</v>
      </c>
      <c r="P228" s="168" t="n">
        <f aca="false">ROUND(O228/J228,2)</f>
        <v>9219.59</v>
      </c>
      <c r="Q228" s="239" t="s">
        <v>5177</v>
      </c>
      <c r="R228" s="5" t="s">
        <v>36</v>
      </c>
      <c r="S228" s="169" t="s">
        <v>29</v>
      </c>
      <c r="T228" s="158" t="s">
        <v>1915</v>
      </c>
      <c r="U228" s="164" t="s">
        <v>31</v>
      </c>
      <c r="V228" s="164" t="s">
        <v>4894</v>
      </c>
    </row>
    <row r="229" customFormat="false" ht="12.8" hidden="false" customHeight="false" outlineLevel="0" collapsed="false">
      <c r="B229" s="1" t="n">
        <v>8733</v>
      </c>
      <c r="C229" s="155" t="n">
        <v>43425</v>
      </c>
      <c r="D229" s="171" t="s">
        <v>22</v>
      </c>
      <c r="E229" s="5" t="s">
        <v>433</v>
      </c>
      <c r="F229" s="157" t="s">
        <v>434</v>
      </c>
      <c r="G229" s="5" t="s">
        <v>1567</v>
      </c>
      <c r="H229" s="165" t="s">
        <v>5178</v>
      </c>
      <c r="I229" s="165" t="s">
        <v>49</v>
      </c>
      <c r="J229" s="158" t="n">
        <v>42.31</v>
      </c>
      <c r="K229" s="199" t="n">
        <v>373610.79</v>
      </c>
      <c r="L229" s="200" t="n">
        <f aca="false">ROUND(K229/J229,2)</f>
        <v>8830.32</v>
      </c>
      <c r="M229" s="248" t="s">
        <v>940</v>
      </c>
      <c r="N229" s="168"/>
      <c r="O229" s="168" t="n">
        <f aca="false">K229+N229</f>
        <v>373610.79</v>
      </c>
      <c r="P229" s="168" t="n">
        <f aca="false">ROUND(O229/J229,2)</f>
        <v>8830.32</v>
      </c>
      <c r="Q229" s="239" t="s">
        <v>1724</v>
      </c>
      <c r="R229" s="5" t="s">
        <v>36</v>
      </c>
      <c r="S229" s="169" t="s">
        <v>29</v>
      </c>
      <c r="T229" s="158" t="s">
        <v>1915</v>
      </c>
      <c r="U229" s="164" t="s">
        <v>31</v>
      </c>
      <c r="V229" s="164" t="s">
        <v>4894</v>
      </c>
    </row>
    <row r="230" customFormat="false" ht="12.8" hidden="false" customHeight="false" outlineLevel="0" collapsed="false">
      <c r="B230" s="1" t="n">
        <v>8678</v>
      </c>
      <c r="C230" s="155" t="n">
        <v>43425</v>
      </c>
      <c r="D230" s="171" t="s">
        <v>22</v>
      </c>
      <c r="E230" s="5" t="s">
        <v>433</v>
      </c>
      <c r="F230" s="157" t="s">
        <v>434</v>
      </c>
      <c r="G230" s="5" t="s">
        <v>1567</v>
      </c>
      <c r="H230" s="165" t="s">
        <v>5179</v>
      </c>
      <c r="I230" s="165" t="s">
        <v>82</v>
      </c>
      <c r="J230" s="158" t="n">
        <v>42.29</v>
      </c>
      <c r="K230" s="199" t="n">
        <v>379097.15</v>
      </c>
      <c r="L230" s="200" t="n">
        <f aca="false">ROUND(K230/J230,2)</f>
        <v>8964.23</v>
      </c>
      <c r="M230" s="248" t="s">
        <v>940</v>
      </c>
      <c r="N230" s="168"/>
      <c r="O230" s="168" t="n">
        <f aca="false">K230+N230</f>
        <v>379097.15</v>
      </c>
      <c r="P230" s="168" t="n">
        <f aca="false">ROUND(O230/J230,2)</f>
        <v>8964.23</v>
      </c>
      <c r="Q230" s="239" t="s">
        <v>1724</v>
      </c>
      <c r="R230" s="5" t="s">
        <v>36</v>
      </c>
      <c r="S230" s="169" t="s">
        <v>29</v>
      </c>
      <c r="T230" s="158" t="s">
        <v>1915</v>
      </c>
      <c r="U230" s="164" t="s">
        <v>31</v>
      </c>
      <c r="V230" s="164" t="s">
        <v>4894</v>
      </c>
    </row>
    <row r="231" customFormat="false" ht="12.8" hidden="false" customHeight="false" outlineLevel="0" collapsed="false">
      <c r="B231" s="1" t="n">
        <v>8712</v>
      </c>
      <c r="C231" s="155" t="n">
        <v>43425</v>
      </c>
      <c r="D231" s="171" t="s">
        <v>22</v>
      </c>
      <c r="E231" s="5" t="s">
        <v>433</v>
      </c>
      <c r="F231" s="157" t="s">
        <v>434</v>
      </c>
      <c r="G231" s="5" t="s">
        <v>1567</v>
      </c>
      <c r="H231" s="165" t="s">
        <v>5180</v>
      </c>
      <c r="I231" s="165" t="s">
        <v>49</v>
      </c>
      <c r="J231" s="158" t="n">
        <v>27.72</v>
      </c>
      <c r="K231" s="199" t="n">
        <v>263316</v>
      </c>
      <c r="L231" s="200" t="n">
        <f aca="false">ROUND(K231/J231,2)</f>
        <v>9499.13</v>
      </c>
      <c r="M231" s="248" t="s">
        <v>940</v>
      </c>
      <c r="N231" s="168"/>
      <c r="O231" s="168" t="n">
        <f aca="false">K231+N231</f>
        <v>263316</v>
      </c>
      <c r="P231" s="168" t="n">
        <f aca="false">ROUND(O231/J231,2)</f>
        <v>9499.13</v>
      </c>
      <c r="Q231" s="239" t="s">
        <v>1695</v>
      </c>
      <c r="R231" s="5" t="s">
        <v>36</v>
      </c>
      <c r="S231" s="169" t="s">
        <v>29</v>
      </c>
      <c r="T231" s="158" t="s">
        <v>1915</v>
      </c>
      <c r="U231" s="164" t="s">
        <v>31</v>
      </c>
      <c r="V231" s="164" t="s">
        <v>4894</v>
      </c>
    </row>
    <row r="232" customFormat="false" ht="12.8" hidden="false" customHeight="false" outlineLevel="0" collapsed="false">
      <c r="B232" s="1" t="n">
        <v>8705</v>
      </c>
      <c r="C232" s="155" t="n">
        <v>43425</v>
      </c>
      <c r="D232" s="171" t="s">
        <v>22</v>
      </c>
      <c r="E232" s="5" t="s">
        <v>433</v>
      </c>
      <c r="F232" s="157" t="s">
        <v>434</v>
      </c>
      <c r="G232" s="5" t="s">
        <v>1567</v>
      </c>
      <c r="H232" s="165" t="s">
        <v>5181</v>
      </c>
      <c r="I232" s="165" t="s">
        <v>26</v>
      </c>
      <c r="J232" s="158" t="n">
        <v>27.65</v>
      </c>
      <c r="K232" s="199" t="n">
        <v>261271.82</v>
      </c>
      <c r="L232" s="200" t="n">
        <f aca="false">ROUND(K232/J232,2)</f>
        <v>9449.25</v>
      </c>
      <c r="M232" s="248" t="s">
        <v>940</v>
      </c>
      <c r="N232" s="168"/>
      <c r="O232" s="168" t="n">
        <f aca="false">K232+N232</f>
        <v>261271.82</v>
      </c>
      <c r="P232" s="168" t="n">
        <f aca="false">ROUND(O232/J232,2)</f>
        <v>9449.25</v>
      </c>
      <c r="Q232" s="239" t="s">
        <v>1695</v>
      </c>
      <c r="R232" s="5" t="s">
        <v>36</v>
      </c>
      <c r="S232" s="169" t="s">
        <v>29</v>
      </c>
      <c r="T232" s="158" t="s">
        <v>1915</v>
      </c>
      <c r="U232" s="164" t="s">
        <v>31</v>
      </c>
      <c r="V232" s="164" t="s">
        <v>4894</v>
      </c>
    </row>
    <row r="233" customFormat="false" ht="12.8" hidden="false" customHeight="false" outlineLevel="0" collapsed="false">
      <c r="B233" s="1" t="n">
        <v>8671</v>
      </c>
      <c r="C233" s="155" t="n">
        <v>43425</v>
      </c>
      <c r="D233" s="171" t="s">
        <v>22</v>
      </c>
      <c r="E233" s="5" t="s">
        <v>433</v>
      </c>
      <c r="F233" s="157" t="s">
        <v>434</v>
      </c>
      <c r="G233" s="5" t="s">
        <v>1567</v>
      </c>
      <c r="H233" s="165" t="s">
        <v>5182</v>
      </c>
      <c r="I233" s="165" t="s">
        <v>25</v>
      </c>
      <c r="J233" s="158" t="n">
        <v>42.38</v>
      </c>
      <c r="K233" s="199" t="n">
        <v>373326.05</v>
      </c>
      <c r="L233" s="200" t="n">
        <f aca="false">ROUND(K233/J233,2)</f>
        <v>8809.01</v>
      </c>
      <c r="M233" s="248" t="s">
        <v>940</v>
      </c>
      <c r="N233" s="168"/>
      <c r="O233" s="168" t="n">
        <f aca="false">K233+N233</f>
        <v>373326.05</v>
      </c>
      <c r="P233" s="168" t="n">
        <f aca="false">ROUND(O233/J233,2)</f>
        <v>8809.01</v>
      </c>
      <c r="Q233" s="239" t="s">
        <v>1724</v>
      </c>
      <c r="R233" s="5" t="s">
        <v>36</v>
      </c>
      <c r="S233" s="169" t="s">
        <v>29</v>
      </c>
      <c r="T233" s="158" t="s">
        <v>1915</v>
      </c>
      <c r="U233" s="164" t="s">
        <v>31</v>
      </c>
      <c r="V233" s="164" t="s">
        <v>4894</v>
      </c>
    </row>
    <row r="234" customFormat="false" ht="12.8" hidden="false" customHeight="false" outlineLevel="0" collapsed="false">
      <c r="B234" s="1" t="n">
        <v>8692</v>
      </c>
      <c r="C234" s="155" t="n">
        <v>43425</v>
      </c>
      <c r="D234" s="171" t="s">
        <v>22</v>
      </c>
      <c r="E234" s="5" t="s">
        <v>433</v>
      </c>
      <c r="F234" s="157" t="s">
        <v>434</v>
      </c>
      <c r="G234" s="5" t="s">
        <v>1567</v>
      </c>
      <c r="H234" s="165" t="s">
        <v>5183</v>
      </c>
      <c r="I234" s="165" t="s">
        <v>27</v>
      </c>
      <c r="J234" s="158" t="n">
        <v>28.61</v>
      </c>
      <c r="K234" s="199" t="n">
        <v>272775.47</v>
      </c>
      <c r="L234" s="200" t="n">
        <f aca="false">ROUND(K234/J234,2)</f>
        <v>9534.27</v>
      </c>
      <c r="M234" s="248" t="s">
        <v>5129</v>
      </c>
      <c r="N234" s="168"/>
      <c r="O234" s="168" t="n">
        <f aca="false">K234+N234</f>
        <v>272775.47</v>
      </c>
      <c r="P234" s="168" t="n">
        <f aca="false">ROUND(O234/J234,2)</f>
        <v>9534.27</v>
      </c>
      <c r="Q234" s="239" t="s">
        <v>1695</v>
      </c>
      <c r="R234" s="5" t="s">
        <v>36</v>
      </c>
      <c r="S234" s="169" t="s">
        <v>29</v>
      </c>
      <c r="T234" s="158" t="s">
        <v>1915</v>
      </c>
      <c r="U234" s="164" t="s">
        <v>31</v>
      </c>
      <c r="V234" s="164" t="s">
        <v>4894</v>
      </c>
    </row>
    <row r="235" customFormat="false" ht="12.8" hidden="false" customHeight="false" outlineLevel="0" collapsed="false">
      <c r="B235" s="1" t="n">
        <v>8726</v>
      </c>
      <c r="C235" s="3" t="n">
        <v>43425</v>
      </c>
      <c r="D235" s="171" t="s">
        <v>22</v>
      </c>
      <c r="E235" s="5" t="s">
        <v>433</v>
      </c>
      <c r="F235" s="1" t="s">
        <v>434</v>
      </c>
      <c r="G235" s="2" t="s">
        <v>1567</v>
      </c>
      <c r="H235" s="2" t="n">
        <v>283</v>
      </c>
      <c r="I235" s="2" t="n">
        <v>8</v>
      </c>
      <c r="J235" s="276" t="n">
        <v>88.36</v>
      </c>
      <c r="K235" s="7" t="n">
        <v>785000</v>
      </c>
      <c r="L235" s="200" t="n">
        <f aca="false">ROUND(K235/J235,2)</f>
        <v>8884.11</v>
      </c>
      <c r="M235" s="289" t="s">
        <v>5129</v>
      </c>
      <c r="O235" s="168" t="n">
        <f aca="false">K235+N235</f>
        <v>785000</v>
      </c>
      <c r="P235" s="168" t="n">
        <f aca="false">ROUND(O235/J235,2)</f>
        <v>8884.11</v>
      </c>
      <c r="Q235" s="289" t="s">
        <v>5145</v>
      </c>
      <c r="R235" s="2" t="n">
        <v>4</v>
      </c>
      <c r="S235" s="169" t="s">
        <v>29</v>
      </c>
      <c r="T235" s="158" t="s">
        <v>1915</v>
      </c>
      <c r="U235" s="164" t="s">
        <v>31</v>
      </c>
      <c r="V235" s="164" t="s">
        <v>4894</v>
      </c>
    </row>
    <row r="236" customFormat="false" ht="12.8" hidden="false" customHeight="false" outlineLevel="0" collapsed="false">
      <c r="B236" s="1" t="n">
        <v>8685</v>
      </c>
      <c r="C236" s="3" t="n">
        <v>43425</v>
      </c>
      <c r="D236" s="171" t="s">
        <v>22</v>
      </c>
      <c r="E236" s="5" t="s">
        <v>433</v>
      </c>
      <c r="F236" s="1" t="s">
        <v>434</v>
      </c>
      <c r="G236" s="2" t="s">
        <v>1567</v>
      </c>
      <c r="H236" s="2" t="n">
        <v>336</v>
      </c>
      <c r="I236" s="2" t="n">
        <v>6</v>
      </c>
      <c r="J236" s="276" t="n">
        <v>60.77</v>
      </c>
      <c r="K236" s="7" t="n">
        <v>500968.83</v>
      </c>
      <c r="L236" s="200" t="n">
        <f aca="false">ROUND(K236/J236,2)</f>
        <v>8243.69</v>
      </c>
      <c r="M236" s="289" t="s">
        <v>5129</v>
      </c>
      <c r="O236" s="168" t="n">
        <f aca="false">K236+N236</f>
        <v>500968.83</v>
      </c>
      <c r="P236" s="168" t="n">
        <f aca="false">ROUND(O236/J236,2)</f>
        <v>8243.69</v>
      </c>
      <c r="Q236" s="289" t="s">
        <v>1704</v>
      </c>
      <c r="R236" s="2" t="n">
        <v>3</v>
      </c>
      <c r="S236" s="169" t="s">
        <v>29</v>
      </c>
      <c r="T236" s="158" t="s">
        <v>1915</v>
      </c>
      <c r="U236" s="164" t="s">
        <v>31</v>
      </c>
      <c r="V236" s="164" t="s">
        <v>4894</v>
      </c>
    </row>
    <row r="237" customFormat="false" ht="12.8" hidden="false" customHeight="false" outlineLevel="0" collapsed="false">
      <c r="B237" s="1" t="n">
        <v>8719</v>
      </c>
      <c r="C237" s="155" t="n">
        <v>43425</v>
      </c>
      <c r="D237" s="171" t="s">
        <v>22</v>
      </c>
      <c r="E237" s="5" t="s">
        <v>229</v>
      </c>
      <c r="F237" s="157" t="s">
        <v>230</v>
      </c>
      <c r="G237" s="5" t="s">
        <v>249</v>
      </c>
      <c r="H237" s="165" t="s">
        <v>105</v>
      </c>
      <c r="I237" s="165" t="s">
        <v>57</v>
      </c>
      <c r="J237" s="158" t="n">
        <v>50.44</v>
      </c>
      <c r="K237" s="199" t="n">
        <v>429512.5</v>
      </c>
      <c r="L237" s="200" t="n">
        <f aca="false">ROUND(K237/J237,2)</f>
        <v>8515.32</v>
      </c>
      <c r="M237" s="248" t="s">
        <v>940</v>
      </c>
      <c r="N237" s="168"/>
      <c r="O237" s="168" t="n">
        <f aca="false">K237+N237</f>
        <v>429512.5</v>
      </c>
      <c r="P237" s="168" t="n">
        <f aca="false">ROUND(O237/J237,2)</f>
        <v>8515.32</v>
      </c>
      <c r="Q237" s="239" t="s">
        <v>1724</v>
      </c>
      <c r="R237" s="5" t="s">
        <v>36</v>
      </c>
      <c r="S237" s="169" t="s">
        <v>29</v>
      </c>
      <c r="T237" s="158" t="s">
        <v>1915</v>
      </c>
      <c r="U237" s="164" t="s">
        <v>31</v>
      </c>
      <c r="V237" s="164" t="s">
        <v>4894</v>
      </c>
    </row>
    <row r="238" customFormat="false" ht="12.8" hidden="false" customHeight="false" outlineLevel="0" collapsed="false">
      <c r="B238" s="289" t="n">
        <v>11411</v>
      </c>
      <c r="C238" s="3" t="n">
        <v>43426</v>
      </c>
      <c r="D238" s="171" t="s">
        <v>22</v>
      </c>
      <c r="E238" s="5" t="s">
        <v>308</v>
      </c>
      <c r="F238" s="1" t="s">
        <v>446</v>
      </c>
      <c r="G238" s="2" t="n">
        <v>3</v>
      </c>
      <c r="H238" s="2" t="n">
        <v>15</v>
      </c>
      <c r="I238" s="2" t="n">
        <v>1</v>
      </c>
      <c r="J238" s="276" t="n">
        <v>51.39</v>
      </c>
      <c r="K238" s="7" t="n">
        <v>440640</v>
      </c>
      <c r="L238" s="7" t="n">
        <f aca="false">ROUND(K238/J238,2)</f>
        <v>8574.43</v>
      </c>
      <c r="O238" s="7" t="n">
        <f aca="false">K238+N238</f>
        <v>440640</v>
      </c>
      <c r="P238" s="7" t="n">
        <f aca="false">ROUND(O238/J238,2)</f>
        <v>8574.43</v>
      </c>
      <c r="Q238" s="289" t="s">
        <v>1351</v>
      </c>
      <c r="R238" s="8" t="s">
        <v>26</v>
      </c>
      <c r="S238" s="169" t="s">
        <v>29</v>
      </c>
      <c r="T238" s="158" t="s">
        <v>1915</v>
      </c>
      <c r="U238" s="164" t="s">
        <v>31</v>
      </c>
      <c r="V238" s="164" t="s">
        <v>4894</v>
      </c>
    </row>
    <row r="239" customFormat="false" ht="12.8" hidden="false" customHeight="false" outlineLevel="0" collapsed="false">
      <c r="B239" s="1" t="n">
        <v>8801</v>
      </c>
      <c r="C239" s="3" t="n">
        <v>43426</v>
      </c>
      <c r="D239" s="171" t="s">
        <v>22</v>
      </c>
      <c r="E239" s="8" t="s">
        <v>433</v>
      </c>
      <c r="F239" s="1" t="s">
        <v>434</v>
      </c>
      <c r="G239" s="2" t="s">
        <v>1567</v>
      </c>
      <c r="H239" s="2" t="n">
        <v>285</v>
      </c>
      <c r="I239" s="2" t="n">
        <v>8</v>
      </c>
      <c r="J239" s="276" t="n">
        <v>55.35</v>
      </c>
      <c r="K239" s="6" t="n">
        <v>485973.2</v>
      </c>
      <c r="L239" s="166" t="n">
        <f aca="false">K239/J239</f>
        <v>8780.00361336947</v>
      </c>
      <c r="M239" s="264" t="s">
        <v>5184</v>
      </c>
      <c r="N239" s="6"/>
      <c r="O239" s="163" t="n">
        <f aca="false">K239+N239</f>
        <v>485973.2</v>
      </c>
      <c r="P239" s="163" t="n">
        <f aca="false">O239/J239</f>
        <v>8780.00361336947</v>
      </c>
      <c r="Q239" s="295" t="s">
        <v>903</v>
      </c>
      <c r="R239" s="2" t="n">
        <v>2</v>
      </c>
      <c r="S239" s="169" t="s">
        <v>29</v>
      </c>
      <c r="T239" s="158" t="s">
        <v>1915</v>
      </c>
      <c r="U239" s="164" t="s">
        <v>31</v>
      </c>
      <c r="V239" s="35" t="s">
        <v>1916</v>
      </c>
      <c r="W239" s="1" t="s">
        <v>4927</v>
      </c>
    </row>
    <row r="240" customFormat="false" ht="12.8" hidden="false" customHeight="false" outlineLevel="0" collapsed="false">
      <c r="B240" s="1" t="n">
        <v>16428</v>
      </c>
      <c r="C240" s="3" t="n">
        <v>43426</v>
      </c>
      <c r="D240" s="171" t="s">
        <v>22</v>
      </c>
      <c r="E240" s="8" t="s">
        <v>717</v>
      </c>
      <c r="F240" s="1" t="s">
        <v>392</v>
      </c>
      <c r="G240" s="2" t="s">
        <v>5185</v>
      </c>
      <c r="H240" s="2" t="n">
        <v>3</v>
      </c>
      <c r="I240" s="2" t="n">
        <v>1</v>
      </c>
      <c r="J240" s="276" t="n">
        <v>44.71</v>
      </c>
      <c r="K240" s="6" t="n">
        <v>371093.23</v>
      </c>
      <c r="L240" s="166" t="n">
        <f aca="false">K240/J240</f>
        <v>8300.00514426303</v>
      </c>
      <c r="M240" s="264" t="s">
        <v>1778</v>
      </c>
      <c r="N240" s="6" t="n">
        <v>26163.77</v>
      </c>
      <c r="O240" s="163" t="n">
        <f aca="false">K240+N240</f>
        <v>397257</v>
      </c>
      <c r="P240" s="163" t="n">
        <f aca="false">O240/J240</f>
        <v>8885.19346902259</v>
      </c>
      <c r="Q240" s="295" t="s">
        <v>1431</v>
      </c>
      <c r="R240" s="2" t="n">
        <v>2</v>
      </c>
      <c r="S240" s="169" t="s">
        <v>29</v>
      </c>
      <c r="T240" s="158" t="s">
        <v>1915</v>
      </c>
      <c r="U240" s="164" t="s">
        <v>31</v>
      </c>
      <c r="V240" s="35" t="s">
        <v>1916</v>
      </c>
    </row>
    <row r="241" customFormat="false" ht="12.8" hidden="false" customHeight="false" outlineLevel="0" collapsed="false">
      <c r="B241" s="1" t="n">
        <v>36677</v>
      </c>
      <c r="C241" s="3" t="n">
        <v>43427</v>
      </c>
      <c r="D241" s="171" t="s">
        <v>22</v>
      </c>
      <c r="E241" s="8" t="s">
        <v>3085</v>
      </c>
      <c r="F241" s="1" t="s">
        <v>3086</v>
      </c>
      <c r="G241" s="2" t="n">
        <v>7</v>
      </c>
      <c r="H241" s="2" t="n">
        <v>49</v>
      </c>
      <c r="I241" s="2" t="n">
        <v>6</v>
      </c>
      <c r="J241" s="276" t="n">
        <v>83.19</v>
      </c>
      <c r="K241" s="6" t="n">
        <v>676079.51</v>
      </c>
      <c r="L241" s="166" t="n">
        <f aca="false">K241/J241</f>
        <v>8126.93244380334</v>
      </c>
      <c r="M241" s="264" t="s">
        <v>5186</v>
      </c>
      <c r="N241" s="6" t="n">
        <v>10467.74</v>
      </c>
      <c r="O241" s="163"/>
      <c r="P241" s="163"/>
      <c r="Q241" s="295" t="s">
        <v>5187</v>
      </c>
      <c r="R241" s="2" t="n">
        <v>4</v>
      </c>
      <c r="S241" s="169" t="s">
        <v>29</v>
      </c>
      <c r="T241" s="158"/>
      <c r="U241" s="164"/>
      <c r="V241" s="35"/>
    </row>
    <row r="242" customFormat="false" ht="12.8" hidden="false" customHeight="false" outlineLevel="0" collapsed="false">
      <c r="B242" s="1" t="n">
        <v>16495</v>
      </c>
      <c r="C242" s="3" t="n">
        <v>43427</v>
      </c>
      <c r="D242" s="171" t="s">
        <v>22</v>
      </c>
      <c r="E242" s="8" t="s">
        <v>717</v>
      </c>
      <c r="F242" s="1" t="s">
        <v>392</v>
      </c>
      <c r="G242" s="2" t="n">
        <v>30</v>
      </c>
      <c r="H242" s="2" t="n">
        <v>5</v>
      </c>
      <c r="I242" s="2" t="n">
        <v>1</v>
      </c>
      <c r="J242" s="276" t="n">
        <v>38.21</v>
      </c>
      <c r="K242" s="6" t="n">
        <v>324784.99</v>
      </c>
      <c r="L242" s="166" t="n">
        <f aca="false">K242/J242</f>
        <v>8499.99973828841</v>
      </c>
      <c r="M242" s="264" t="s">
        <v>1778</v>
      </c>
      <c r="N242" s="6" t="n">
        <v>28345.01</v>
      </c>
      <c r="O242" s="163" t="n">
        <f aca="false">K242+N242</f>
        <v>353130</v>
      </c>
      <c r="P242" s="163" t="n">
        <f aca="false">O242/J242</f>
        <v>9241.82151269301</v>
      </c>
      <c r="Q242" s="295" t="s">
        <v>1181</v>
      </c>
      <c r="R242" s="2" t="n">
        <v>1</v>
      </c>
      <c r="S242" s="169" t="s">
        <v>29</v>
      </c>
      <c r="T242" s="158" t="s">
        <v>1915</v>
      </c>
      <c r="U242" s="164" t="s">
        <v>31</v>
      </c>
      <c r="V242" s="35" t="s">
        <v>1916</v>
      </c>
    </row>
    <row r="243" customFormat="false" ht="12.8" hidden="false" customHeight="false" outlineLevel="0" collapsed="false">
      <c r="B243" s="1" t="n">
        <v>16614</v>
      </c>
      <c r="C243" s="3" t="n">
        <v>43430</v>
      </c>
      <c r="D243" s="171" t="s">
        <v>22</v>
      </c>
      <c r="E243" s="8" t="s">
        <v>717</v>
      </c>
      <c r="F243" s="1" t="s">
        <v>392</v>
      </c>
      <c r="G243" s="2" t="s">
        <v>5188</v>
      </c>
      <c r="H243" s="2" t="n">
        <v>6</v>
      </c>
      <c r="I243" s="2" t="n">
        <v>1</v>
      </c>
      <c r="J243" s="276" t="n">
        <v>35.37</v>
      </c>
      <c r="K243" s="6" t="n">
        <v>297480.64</v>
      </c>
      <c r="L243" s="166" t="n">
        <f aca="false">K243/J243</f>
        <v>8410.53548204693</v>
      </c>
      <c r="M243" s="264" t="s">
        <v>1778</v>
      </c>
      <c r="N243" s="6"/>
      <c r="O243" s="163" t="n">
        <f aca="false">K243+N243</f>
        <v>297480.64</v>
      </c>
      <c r="P243" s="163" t="n">
        <f aca="false">O243/J243</f>
        <v>8410.53548204693</v>
      </c>
      <c r="Q243" s="295" t="s">
        <v>1181</v>
      </c>
      <c r="R243" s="2" t="n">
        <v>1</v>
      </c>
      <c r="S243" s="169" t="s">
        <v>29</v>
      </c>
      <c r="T243" s="158" t="s">
        <v>1915</v>
      </c>
      <c r="U243" s="164" t="s">
        <v>31</v>
      </c>
      <c r="V243" s="35" t="s">
        <v>1916</v>
      </c>
    </row>
    <row r="244" customFormat="false" ht="12.8" hidden="false" customHeight="false" outlineLevel="0" collapsed="false">
      <c r="B244" s="1" t="n">
        <v>8370</v>
      </c>
      <c r="C244" s="3" t="n">
        <v>43431</v>
      </c>
      <c r="D244" s="171" t="s">
        <v>22</v>
      </c>
      <c r="E244" s="8" t="s">
        <v>1875</v>
      </c>
      <c r="F244" s="1" t="s">
        <v>4982</v>
      </c>
      <c r="G244" s="2" t="s">
        <v>139</v>
      </c>
      <c r="H244" s="2" t="n">
        <v>6</v>
      </c>
      <c r="I244" s="2" t="n">
        <v>3</v>
      </c>
      <c r="J244" s="276" t="n">
        <v>108.85</v>
      </c>
      <c r="K244" s="6" t="n">
        <v>1909200</v>
      </c>
      <c r="L244" s="166" t="n">
        <f aca="false">K244/J244</f>
        <v>17539.7335783188</v>
      </c>
      <c r="M244" s="264" t="s">
        <v>5189</v>
      </c>
      <c r="N244" s="6"/>
      <c r="O244" s="163" t="n">
        <f aca="false">K244+N244</f>
        <v>1909200</v>
      </c>
      <c r="P244" s="163" t="n">
        <f aca="false">O244/J244</f>
        <v>17539.7335783188</v>
      </c>
      <c r="Q244" s="295" t="s">
        <v>5190</v>
      </c>
      <c r="R244" s="2" t="n">
        <v>3</v>
      </c>
      <c r="S244" s="169" t="s">
        <v>29</v>
      </c>
      <c r="T244" s="158" t="s">
        <v>1915</v>
      </c>
      <c r="U244" s="164" t="s">
        <v>31</v>
      </c>
      <c r="V244" s="35" t="s">
        <v>1916</v>
      </c>
      <c r="W244" s="1" t="s">
        <v>4984</v>
      </c>
    </row>
    <row r="245" customFormat="false" ht="12.8" hidden="false" customHeight="false" outlineLevel="0" collapsed="false">
      <c r="B245" s="1" t="n">
        <v>37036</v>
      </c>
      <c r="C245" s="3" t="n">
        <v>43431</v>
      </c>
      <c r="D245" s="171" t="s">
        <v>22</v>
      </c>
      <c r="E245" s="8" t="s">
        <v>3085</v>
      </c>
      <c r="F245" s="1" t="s">
        <v>3086</v>
      </c>
      <c r="G245" s="2" t="n">
        <v>7</v>
      </c>
      <c r="H245" s="2" t="n">
        <v>107</v>
      </c>
      <c r="I245" s="2" t="n">
        <v>4</v>
      </c>
      <c r="J245" s="276" t="n">
        <v>53.28</v>
      </c>
      <c r="K245" s="6" t="n">
        <v>472539.09</v>
      </c>
      <c r="L245" s="166" t="n">
        <f aca="false">K245/J245</f>
        <v>8868.97691441441</v>
      </c>
      <c r="M245" s="264" t="s">
        <v>1778</v>
      </c>
      <c r="N245" s="6" t="n">
        <v>1.23</v>
      </c>
      <c r="O245" s="163" t="n">
        <f aca="false">K245+N245</f>
        <v>472540.32</v>
      </c>
      <c r="P245" s="163" t="n">
        <f aca="false">O245/J245</f>
        <v>8869</v>
      </c>
      <c r="Q245" s="295" t="s">
        <v>903</v>
      </c>
      <c r="R245" s="2" t="n">
        <v>2</v>
      </c>
      <c r="S245" s="169" t="s">
        <v>29</v>
      </c>
      <c r="T245" s="158" t="s">
        <v>1915</v>
      </c>
      <c r="U245" s="164" t="s">
        <v>31</v>
      </c>
      <c r="V245" s="35" t="s">
        <v>1916</v>
      </c>
    </row>
    <row r="246" customFormat="false" ht="12.8" hidden="false" customHeight="false" outlineLevel="0" collapsed="false">
      <c r="B246" s="1" t="n">
        <v>7637</v>
      </c>
      <c r="C246" s="3" t="n">
        <v>43433</v>
      </c>
      <c r="D246" s="171" t="s">
        <v>22</v>
      </c>
      <c r="E246" s="8" t="s">
        <v>623</v>
      </c>
      <c r="F246" s="1" t="s">
        <v>272</v>
      </c>
      <c r="G246" s="2" t="s">
        <v>3113</v>
      </c>
      <c r="H246" s="2" t="n">
        <v>128</v>
      </c>
      <c r="I246" s="2" t="n">
        <v>9</v>
      </c>
      <c r="J246" s="276" t="n">
        <v>70.39</v>
      </c>
      <c r="K246" s="6" t="n">
        <v>631151</v>
      </c>
      <c r="L246" s="166" t="n">
        <f aca="false">K246/J246</f>
        <v>8966.48671686319</v>
      </c>
      <c r="M246" s="264" t="s">
        <v>5191</v>
      </c>
      <c r="N246" s="6"/>
      <c r="O246" s="163" t="n">
        <f aca="false">K246+N246</f>
        <v>631151</v>
      </c>
      <c r="P246" s="163" t="n">
        <f aca="false">O246/J246</f>
        <v>8966.48671686319</v>
      </c>
      <c r="Q246" s="295" t="s">
        <v>5192</v>
      </c>
      <c r="R246" s="2" t="n">
        <v>3</v>
      </c>
      <c r="S246" s="169" t="s">
        <v>29</v>
      </c>
      <c r="T246" s="158" t="s">
        <v>1915</v>
      </c>
      <c r="U246" s="164" t="s">
        <v>31</v>
      </c>
      <c r="V246" s="35" t="s">
        <v>1916</v>
      </c>
      <c r="W246" s="1" t="s">
        <v>4944</v>
      </c>
    </row>
    <row r="247" customFormat="false" ht="12.8" hidden="false" customHeight="false" outlineLevel="0" collapsed="false">
      <c r="B247" s="1" t="n">
        <v>7646</v>
      </c>
      <c r="C247" s="3" t="n">
        <v>43433</v>
      </c>
      <c r="D247" s="171" t="s">
        <v>22</v>
      </c>
      <c r="E247" s="8" t="s">
        <v>623</v>
      </c>
      <c r="F247" s="1" t="s">
        <v>272</v>
      </c>
      <c r="G247" s="2" t="s">
        <v>3113</v>
      </c>
      <c r="H247" s="2" t="n">
        <v>127</v>
      </c>
      <c r="I247" s="2" t="n">
        <v>9</v>
      </c>
      <c r="J247" s="276" t="n">
        <v>47.41</v>
      </c>
      <c r="K247" s="6" t="n">
        <v>415139</v>
      </c>
      <c r="L247" s="166" t="n">
        <f aca="false">K247/J247</f>
        <v>8756.35941784434</v>
      </c>
      <c r="M247" s="264" t="s">
        <v>5193</v>
      </c>
      <c r="N247" s="6" t="n">
        <v>25000</v>
      </c>
      <c r="O247" s="163" t="n">
        <f aca="false">K247+N247</f>
        <v>440139</v>
      </c>
      <c r="P247" s="163" t="n">
        <f aca="false">O247/J247</f>
        <v>9283.67433031006</v>
      </c>
      <c r="Q247" s="295" t="s">
        <v>1431</v>
      </c>
      <c r="R247" s="2" t="n">
        <v>2</v>
      </c>
      <c r="S247" s="169" t="s">
        <v>29</v>
      </c>
      <c r="T247" s="158" t="s">
        <v>1915</v>
      </c>
      <c r="U247" s="164" t="s">
        <v>31</v>
      </c>
      <c r="V247" s="35" t="s">
        <v>1916</v>
      </c>
      <c r="W247" s="1" t="s">
        <v>4944</v>
      </c>
    </row>
    <row r="248" customFormat="false" ht="12.8" hidden="false" customHeight="false" outlineLevel="0" collapsed="false">
      <c r="B248" s="1" t="n">
        <v>7628</v>
      </c>
      <c r="C248" s="3" t="n">
        <v>43433</v>
      </c>
      <c r="D248" s="171" t="s">
        <v>22</v>
      </c>
      <c r="E248" s="8" t="s">
        <v>623</v>
      </c>
      <c r="F248" s="1" t="s">
        <v>272</v>
      </c>
      <c r="G248" s="2" t="s">
        <v>3113</v>
      </c>
      <c r="H248" s="2" t="n">
        <v>189</v>
      </c>
      <c r="I248" s="2" t="n">
        <v>6</v>
      </c>
      <c r="J248" s="276" t="n">
        <v>71.08</v>
      </c>
      <c r="K248" s="6" t="n">
        <v>647400</v>
      </c>
      <c r="L248" s="166" t="n">
        <f aca="false">K248/J248</f>
        <v>9108.04727068092</v>
      </c>
      <c r="M248" s="264" t="s">
        <v>1778</v>
      </c>
      <c r="N248" s="6"/>
      <c r="O248" s="163" t="n">
        <f aca="false">K248+N248</f>
        <v>647400</v>
      </c>
      <c r="P248" s="163" t="n">
        <f aca="false">O248/J248</f>
        <v>9108.04727068092</v>
      </c>
      <c r="Q248" s="295" t="s">
        <v>5164</v>
      </c>
      <c r="R248" s="2" t="n">
        <v>3</v>
      </c>
      <c r="S248" s="169" t="s">
        <v>29</v>
      </c>
      <c r="T248" s="158" t="s">
        <v>1915</v>
      </c>
      <c r="U248" s="164" t="s">
        <v>31</v>
      </c>
      <c r="V248" s="35" t="s">
        <v>1916</v>
      </c>
      <c r="W248" s="1" t="s">
        <v>4944</v>
      </c>
    </row>
    <row r="249" customFormat="false" ht="12.8" hidden="false" customHeight="false" outlineLevel="0" collapsed="false">
      <c r="B249" s="1" t="n">
        <v>16942</v>
      </c>
      <c r="C249" s="3" t="n">
        <v>43433</v>
      </c>
      <c r="D249" s="171" t="s">
        <v>22</v>
      </c>
      <c r="E249" s="8" t="s">
        <v>717</v>
      </c>
      <c r="F249" s="1" t="s">
        <v>392</v>
      </c>
      <c r="G249" s="2" t="s">
        <v>5185</v>
      </c>
      <c r="H249" s="2" t="n">
        <v>5</v>
      </c>
      <c r="I249" s="2" t="n">
        <v>1</v>
      </c>
      <c r="J249" s="276" t="n">
        <v>29.32</v>
      </c>
      <c r="K249" s="6" t="n">
        <v>262937.52</v>
      </c>
      <c r="L249" s="166" t="n">
        <f aca="false">K249/J249</f>
        <v>8967.8553888131</v>
      </c>
      <c r="M249" s="264" t="s">
        <v>1778</v>
      </c>
      <c r="N249" s="6" t="n">
        <v>36900</v>
      </c>
      <c r="O249" s="163" t="n">
        <f aca="false">K249+N249</f>
        <v>299837.52</v>
      </c>
      <c r="P249" s="163" t="n">
        <f aca="false">O249/J249</f>
        <v>10226.3819918145</v>
      </c>
      <c r="Q249" s="295" t="s">
        <v>1181</v>
      </c>
      <c r="R249" s="2" t="n">
        <v>1</v>
      </c>
      <c r="S249" s="169" t="s">
        <v>29</v>
      </c>
      <c r="T249" s="158" t="s">
        <v>1915</v>
      </c>
      <c r="U249" s="164" t="s">
        <v>31</v>
      </c>
      <c r="V249" s="35" t="s">
        <v>1916</v>
      </c>
    </row>
    <row r="250" customFormat="false" ht="12.8" hidden="false" customHeight="false" outlineLevel="0" collapsed="false">
      <c r="B250" s="2" t="n">
        <v>6450</v>
      </c>
      <c r="C250" s="3" t="n">
        <v>43434</v>
      </c>
      <c r="D250" s="2" t="s">
        <v>22</v>
      </c>
      <c r="E250" s="5" t="s">
        <v>140</v>
      </c>
      <c r="F250" s="295" t="s">
        <v>138</v>
      </c>
      <c r="G250" s="2" t="s">
        <v>4239</v>
      </c>
      <c r="H250" s="2" t="n">
        <v>31</v>
      </c>
      <c r="I250" s="2" t="n">
        <v>7</v>
      </c>
      <c r="J250" s="276" t="n">
        <v>91.41</v>
      </c>
      <c r="K250" s="6" t="n">
        <v>727338.98</v>
      </c>
      <c r="L250" s="166" t="n">
        <f aca="false">K250/J250</f>
        <v>7956.88633628706</v>
      </c>
      <c r="M250" s="264"/>
      <c r="N250" s="6"/>
      <c r="O250" s="163" t="n">
        <f aca="false">K250+N250</f>
        <v>727338.98</v>
      </c>
      <c r="P250" s="163" t="n">
        <f aca="false">O250/J250</f>
        <v>7956.88633628706</v>
      </c>
      <c r="Q250" s="295" t="s">
        <v>5194</v>
      </c>
      <c r="R250" s="2" t="n">
        <v>3</v>
      </c>
      <c r="S250" s="169" t="s">
        <v>29</v>
      </c>
      <c r="T250" s="158" t="s">
        <v>1915</v>
      </c>
      <c r="U250" s="164" t="s">
        <v>31</v>
      </c>
      <c r="V250" s="35" t="s">
        <v>1916</v>
      </c>
      <c r="W250" s="1" t="s">
        <v>5195</v>
      </c>
    </row>
    <row r="251" customFormat="false" ht="12.8" hidden="false" customHeight="false" outlineLevel="0" collapsed="false">
      <c r="B251" s="1" t="n">
        <v>21579</v>
      </c>
      <c r="C251" s="3" t="n">
        <v>43437</v>
      </c>
      <c r="D251" s="171" t="s">
        <v>22</v>
      </c>
      <c r="E251" s="222" t="s">
        <v>42</v>
      </c>
      <c r="F251" s="1" t="s">
        <v>24</v>
      </c>
      <c r="G251" s="2" t="n">
        <v>7</v>
      </c>
      <c r="H251" s="2" t="n">
        <v>33</v>
      </c>
      <c r="I251" s="2" t="n">
        <v>9</v>
      </c>
      <c r="J251" s="276" t="n">
        <v>111.82</v>
      </c>
      <c r="K251" s="6" t="n">
        <v>1555000</v>
      </c>
      <c r="L251" s="166" t="n">
        <f aca="false">K251/J251</f>
        <v>13906.2779467001</v>
      </c>
      <c r="M251" s="264" t="s">
        <v>5196</v>
      </c>
      <c r="N251" s="6" t="n">
        <v>60000</v>
      </c>
      <c r="O251" s="163" t="n">
        <f aca="false">K251+N251</f>
        <v>1615000</v>
      </c>
      <c r="P251" s="163" t="n">
        <f aca="false">O251/J251</f>
        <v>14442.8545877303</v>
      </c>
      <c r="Q251" s="295" t="s">
        <v>5197</v>
      </c>
      <c r="R251" s="2" t="n">
        <v>2</v>
      </c>
      <c r="S251" s="298" t="s">
        <v>29</v>
      </c>
      <c r="T251" s="158" t="s">
        <v>1915</v>
      </c>
      <c r="U251" s="164" t="s">
        <v>31</v>
      </c>
      <c r="V251" s="35" t="s">
        <v>1916</v>
      </c>
      <c r="W251" s="299" t="s">
        <v>4994</v>
      </c>
    </row>
    <row r="252" customFormat="false" ht="12.8" hidden="false" customHeight="false" outlineLevel="0" collapsed="false">
      <c r="B252" s="2" t="n">
        <v>19716</v>
      </c>
      <c r="C252" s="3" t="n">
        <v>43438</v>
      </c>
      <c r="D252" s="171" t="s">
        <v>22</v>
      </c>
      <c r="E252" s="8" t="s">
        <v>527</v>
      </c>
      <c r="F252" s="1" t="s">
        <v>240</v>
      </c>
      <c r="G252" s="2" t="n">
        <v>110</v>
      </c>
      <c r="H252" s="2" t="n">
        <v>30</v>
      </c>
      <c r="I252" s="2" t="n">
        <v>5</v>
      </c>
      <c r="J252" s="276" t="n">
        <v>181.72</v>
      </c>
      <c r="K252" s="6" t="n">
        <v>1008000</v>
      </c>
      <c r="L252" s="166" t="n">
        <f aca="false">K252/J252</f>
        <v>5546.99537750385</v>
      </c>
      <c r="M252" s="264"/>
      <c r="N252" s="6"/>
      <c r="O252" s="163" t="n">
        <f aca="false">K252+N252</f>
        <v>1008000</v>
      </c>
      <c r="P252" s="163" t="n">
        <f aca="false">O252/J252</f>
        <v>5546.99537750385</v>
      </c>
      <c r="Q252" s="295" t="s">
        <v>5198</v>
      </c>
      <c r="R252" s="2" t="n">
        <v>5</v>
      </c>
      <c r="S252" s="169" t="s">
        <v>29</v>
      </c>
      <c r="T252" s="158" t="s">
        <v>1915</v>
      </c>
      <c r="U252" s="164" t="s">
        <v>31</v>
      </c>
      <c r="V252" s="35" t="s">
        <v>1916</v>
      </c>
      <c r="W252" s="1" t="s">
        <v>2672</v>
      </c>
    </row>
    <row r="253" customFormat="false" ht="12.8" hidden="false" customHeight="false" outlineLevel="0" collapsed="false">
      <c r="B253" s="1" t="n">
        <v>6523</v>
      </c>
      <c r="C253" s="3" t="n">
        <v>43438</v>
      </c>
      <c r="D253" s="171" t="s">
        <v>22</v>
      </c>
      <c r="E253" s="5" t="s">
        <v>140</v>
      </c>
      <c r="F253" s="1" t="s">
        <v>138</v>
      </c>
      <c r="G253" s="2" t="s">
        <v>2218</v>
      </c>
      <c r="H253" s="2" t="n">
        <v>2</v>
      </c>
      <c r="I253" s="2" t="n">
        <v>2</v>
      </c>
      <c r="J253" s="276" t="n">
        <v>81.45</v>
      </c>
      <c r="K253" s="6" t="n">
        <v>608088.15</v>
      </c>
      <c r="L253" s="166" t="n">
        <f aca="false">K253/J253</f>
        <v>7465.78453038674</v>
      </c>
      <c r="M253" s="264"/>
      <c r="N253" s="6"/>
      <c r="O253" s="163" t="n">
        <f aca="false">K253+N253</f>
        <v>608088.15</v>
      </c>
      <c r="P253" s="163" t="n">
        <f aca="false">O253/J253</f>
        <v>7465.78453038674</v>
      </c>
      <c r="Q253" s="295" t="s">
        <v>1932</v>
      </c>
      <c r="R253" s="2" t="n">
        <v>2</v>
      </c>
      <c r="S253" s="169" t="s">
        <v>29</v>
      </c>
      <c r="T253" s="158" t="s">
        <v>1915</v>
      </c>
      <c r="U253" s="164" t="s">
        <v>31</v>
      </c>
      <c r="V253" s="35" t="s">
        <v>1916</v>
      </c>
      <c r="W253" s="1" t="s">
        <v>5195</v>
      </c>
    </row>
    <row r="254" customFormat="false" ht="12.8" hidden="false" customHeight="false" outlineLevel="0" collapsed="false">
      <c r="B254" s="1" t="n">
        <v>37723</v>
      </c>
      <c r="C254" s="3" t="n">
        <v>43438</v>
      </c>
      <c r="D254" s="171" t="s">
        <v>22</v>
      </c>
      <c r="E254" s="8" t="s">
        <v>3085</v>
      </c>
      <c r="F254" s="1" t="s">
        <v>3086</v>
      </c>
      <c r="G254" s="2" t="n">
        <v>7</v>
      </c>
      <c r="H254" s="2" t="n">
        <v>75</v>
      </c>
      <c r="I254" s="2" t="n">
        <v>5</v>
      </c>
      <c r="J254" s="276" t="n">
        <v>71.41</v>
      </c>
      <c r="K254" s="6" t="n">
        <v>548574.29</v>
      </c>
      <c r="L254" s="166" t="n">
        <f aca="false">K254/J254</f>
        <v>7682.03738972133</v>
      </c>
      <c r="M254" s="264" t="s">
        <v>5199</v>
      </c>
      <c r="N254" s="6" t="n">
        <v>24000</v>
      </c>
      <c r="O254" s="163" t="n">
        <f aca="false">K254+N254</f>
        <v>572574.29</v>
      </c>
      <c r="P254" s="163" t="n">
        <f aca="false">O254/J254</f>
        <v>8018.12477244084</v>
      </c>
      <c r="Q254" s="295" t="s">
        <v>5200</v>
      </c>
      <c r="R254" s="2" t="n">
        <v>3</v>
      </c>
      <c r="S254" s="169" t="s">
        <v>29</v>
      </c>
      <c r="T254" s="158" t="s">
        <v>1915</v>
      </c>
      <c r="U254" s="164" t="s">
        <v>31</v>
      </c>
      <c r="V254" s="35" t="s">
        <v>1916</v>
      </c>
      <c r="W254" s="1" t="s">
        <v>5201</v>
      </c>
    </row>
    <row r="255" customFormat="false" ht="12.8" hidden="false" customHeight="false" outlineLevel="0" collapsed="false">
      <c r="B255" s="1" t="n">
        <v>11265</v>
      </c>
      <c r="C255" s="3" t="n">
        <v>43439</v>
      </c>
      <c r="D255" s="171" t="s">
        <v>22</v>
      </c>
      <c r="E255" s="222" t="s">
        <v>319</v>
      </c>
      <c r="F255" s="1" t="s">
        <v>320</v>
      </c>
      <c r="G255" s="2" t="n">
        <v>10</v>
      </c>
      <c r="H255" s="2" t="n">
        <v>45</v>
      </c>
      <c r="I255" s="2" t="n">
        <v>3</v>
      </c>
      <c r="J255" s="276" t="n">
        <v>64.75</v>
      </c>
      <c r="K255" s="6" t="n">
        <v>585000</v>
      </c>
      <c r="L255" s="166" t="n">
        <f aca="false">K255/J255</f>
        <v>9034.74903474904</v>
      </c>
      <c r="M255" s="264" t="s">
        <v>5202</v>
      </c>
      <c r="N255" s="6" t="n">
        <v>36000</v>
      </c>
      <c r="O255" s="163" t="n">
        <f aca="false">K255+N255</f>
        <v>621000</v>
      </c>
      <c r="P255" s="163" t="n">
        <f aca="false">O255/J255</f>
        <v>9590.73359073359</v>
      </c>
      <c r="Q255" s="295" t="s">
        <v>5203</v>
      </c>
      <c r="R255" s="2" t="n">
        <v>2</v>
      </c>
      <c r="S255" s="169" t="s">
        <v>29</v>
      </c>
      <c r="T255" s="158" t="s">
        <v>1915</v>
      </c>
      <c r="U255" s="164" t="s">
        <v>31</v>
      </c>
      <c r="V255" s="35" t="s">
        <v>1916</v>
      </c>
      <c r="W255" s="1" t="s">
        <v>4968</v>
      </c>
    </row>
    <row r="256" customFormat="false" ht="12.8" hidden="false" customHeight="false" outlineLevel="0" collapsed="false">
      <c r="B256" s="1" t="n">
        <v>6573</v>
      </c>
      <c r="C256" s="3" t="n">
        <v>43439</v>
      </c>
      <c r="D256" s="171" t="s">
        <v>22</v>
      </c>
      <c r="E256" s="5" t="s">
        <v>140</v>
      </c>
      <c r="F256" s="1" t="s">
        <v>138</v>
      </c>
      <c r="G256" s="2" t="s">
        <v>4239</v>
      </c>
      <c r="H256" s="2" t="n">
        <v>7</v>
      </c>
      <c r="I256" s="2" t="n">
        <v>3</v>
      </c>
      <c r="J256" s="276" t="n">
        <v>91.84</v>
      </c>
      <c r="K256" s="6" t="n">
        <v>659679.54</v>
      </c>
      <c r="L256" s="166" t="n">
        <f aca="false">K256/J256</f>
        <v>7182.92182055749</v>
      </c>
      <c r="M256" s="264"/>
      <c r="N256" s="6"/>
      <c r="O256" s="163" t="n">
        <f aca="false">K256+N256</f>
        <v>659679.54</v>
      </c>
      <c r="P256" s="163" t="n">
        <f aca="false">O256/J256</f>
        <v>7182.92182055749</v>
      </c>
      <c r="Q256" s="295" t="s">
        <v>5197</v>
      </c>
      <c r="R256" s="2" t="n">
        <v>2</v>
      </c>
      <c r="S256" s="169" t="s">
        <v>29</v>
      </c>
      <c r="T256" s="158" t="s">
        <v>1915</v>
      </c>
      <c r="U256" s="164" t="s">
        <v>31</v>
      </c>
      <c r="V256" s="35" t="s">
        <v>1916</v>
      </c>
      <c r="W256" s="1" t="s">
        <v>5195</v>
      </c>
    </row>
    <row r="257" customFormat="false" ht="12.8" hidden="false" customHeight="false" outlineLevel="0" collapsed="false">
      <c r="B257" s="1" t="n">
        <v>14692</v>
      </c>
      <c r="C257" s="3" t="n">
        <v>43439</v>
      </c>
      <c r="D257" s="171" t="s">
        <v>22</v>
      </c>
      <c r="E257" s="5" t="s">
        <v>80</v>
      </c>
      <c r="F257" s="1" t="s">
        <v>81</v>
      </c>
      <c r="G257" s="2" t="s">
        <v>283</v>
      </c>
      <c r="H257" s="2" t="n">
        <v>8</v>
      </c>
      <c r="I257" s="2" t="n">
        <v>4</v>
      </c>
      <c r="J257" s="276" t="n">
        <v>288.66</v>
      </c>
      <c r="K257" s="6" t="n">
        <v>6199669.23</v>
      </c>
      <c r="L257" s="6" t="n">
        <f aca="false">K257/J257</f>
        <v>21477.4102057784</v>
      </c>
      <c r="M257" s="264" t="s">
        <v>5204</v>
      </c>
      <c r="N257" s="6" t="n">
        <v>150000</v>
      </c>
      <c r="O257" s="6" t="n">
        <f aca="false">K257+N257</f>
        <v>6349669.23</v>
      </c>
      <c r="P257" s="166" t="n">
        <f aca="false">O257/J257</f>
        <v>21997.0526917481</v>
      </c>
      <c r="Q257" s="295"/>
      <c r="R257" s="2" t="s">
        <v>5205</v>
      </c>
      <c r="S257" s="5" t="s">
        <v>29</v>
      </c>
      <c r="T257" s="5" t="s">
        <v>1915</v>
      </c>
      <c r="U257" s="294" t="s">
        <v>31</v>
      </c>
      <c r="V257" s="203" t="n">
        <v>43709</v>
      </c>
      <c r="W257" s="1" t="s">
        <v>5206</v>
      </c>
    </row>
    <row r="258" customFormat="false" ht="12.8" hidden="false" customHeight="false" outlineLevel="0" collapsed="false">
      <c r="B258" s="1" t="n">
        <v>14692</v>
      </c>
      <c r="C258" s="3" t="n">
        <v>43439</v>
      </c>
      <c r="D258" s="171" t="s">
        <v>22</v>
      </c>
      <c r="E258" s="5" t="s">
        <v>80</v>
      </c>
      <c r="F258" s="1" t="s">
        <v>81</v>
      </c>
      <c r="G258" s="2" t="s">
        <v>283</v>
      </c>
      <c r="H258" s="2" t="n">
        <v>9</v>
      </c>
      <c r="I258" s="2" t="n">
        <v>4</v>
      </c>
      <c r="J258" s="276" t="n">
        <v>172.4</v>
      </c>
      <c r="K258" s="6" t="n">
        <v>5683630.56</v>
      </c>
      <c r="L258" s="6" t="n">
        <f aca="false">K258/J258</f>
        <v>32967.6946635731</v>
      </c>
      <c r="M258" s="264" t="s">
        <v>3302</v>
      </c>
      <c r="N258" s="6" t="n">
        <v>42100</v>
      </c>
      <c r="O258" s="6" t="n">
        <f aca="false">K258+N258</f>
        <v>5725730.56</v>
      </c>
      <c r="P258" s="166" t="n">
        <f aca="false">O258/J258</f>
        <v>33211.894199536</v>
      </c>
      <c r="Q258" s="295"/>
      <c r="R258" s="2" t="s">
        <v>5207</v>
      </c>
      <c r="S258" s="5" t="s">
        <v>29</v>
      </c>
      <c r="T258" s="5" t="s">
        <v>1915</v>
      </c>
      <c r="U258" s="294" t="s">
        <v>31</v>
      </c>
      <c r="V258" s="203" t="n">
        <v>43709</v>
      </c>
      <c r="W258" s="1" t="s">
        <v>5206</v>
      </c>
    </row>
    <row r="259" customFormat="false" ht="12.8" hidden="false" customHeight="false" outlineLevel="0" collapsed="false">
      <c r="B259" s="1" t="n">
        <v>4767</v>
      </c>
      <c r="C259" s="3" t="n">
        <v>43440</v>
      </c>
      <c r="D259" s="171" t="s">
        <v>22</v>
      </c>
      <c r="E259" s="8" t="s">
        <v>75</v>
      </c>
      <c r="F259" s="1" t="s">
        <v>1594</v>
      </c>
      <c r="G259" s="2" t="n">
        <v>33</v>
      </c>
      <c r="H259" s="2" t="n">
        <v>57</v>
      </c>
      <c r="I259" s="2" t="n">
        <v>3</v>
      </c>
      <c r="J259" s="276" t="n">
        <v>62.21</v>
      </c>
      <c r="K259" s="6" t="n">
        <v>399618</v>
      </c>
      <c r="L259" s="6" t="n">
        <f aca="false">K259/J259</f>
        <v>6423.69393988105</v>
      </c>
      <c r="M259" s="264"/>
      <c r="N259" s="6"/>
      <c r="O259" s="6" t="n">
        <f aca="false">K259+N259</f>
        <v>399618</v>
      </c>
      <c r="P259" s="166" t="n">
        <f aca="false">O259/J259</f>
        <v>6423.69393988105</v>
      </c>
      <c r="Q259" s="295"/>
      <c r="R259" s="2" t="s">
        <v>5034</v>
      </c>
      <c r="S259" s="5" t="s">
        <v>29</v>
      </c>
      <c r="T259" s="5" t="s">
        <v>1915</v>
      </c>
      <c r="U259" s="294" t="s">
        <v>31</v>
      </c>
      <c r="V259" s="203" t="n">
        <v>43709</v>
      </c>
      <c r="W259" s="1" t="s">
        <v>5208</v>
      </c>
    </row>
    <row r="260" customFormat="false" ht="12.8" hidden="false" customHeight="false" outlineLevel="0" collapsed="false">
      <c r="B260" s="2" t="n">
        <v>19834</v>
      </c>
      <c r="C260" s="3" t="n">
        <v>43441</v>
      </c>
      <c r="D260" s="2" t="s">
        <v>22</v>
      </c>
      <c r="E260" s="5" t="s">
        <v>37</v>
      </c>
      <c r="F260" s="295" t="s">
        <v>152</v>
      </c>
      <c r="G260" s="2" t="n">
        <v>25</v>
      </c>
      <c r="H260" s="2" t="n">
        <v>15</v>
      </c>
      <c r="I260" s="2" t="n">
        <v>3</v>
      </c>
      <c r="J260" s="276" t="n">
        <v>26.2</v>
      </c>
      <c r="K260" s="6" t="n">
        <v>220000</v>
      </c>
      <c r="L260" s="166" t="n">
        <f aca="false">K260/J260</f>
        <v>8396.9465648855</v>
      </c>
      <c r="M260" s="264"/>
      <c r="N260" s="6"/>
      <c r="O260" s="163" t="n">
        <f aca="false">K260+N260</f>
        <v>220000</v>
      </c>
      <c r="P260" s="163" t="n">
        <f aca="false">O260/J260</f>
        <v>8396.9465648855</v>
      </c>
      <c r="Q260" s="264" t="s">
        <v>1274</v>
      </c>
      <c r="R260" s="8" t="s">
        <v>27</v>
      </c>
      <c r="S260" s="2" t="s">
        <v>29</v>
      </c>
      <c r="T260" s="2" t="s">
        <v>30</v>
      </c>
      <c r="U260" s="294" t="s">
        <v>31</v>
      </c>
      <c r="V260" s="203" t="n">
        <v>43601</v>
      </c>
      <c r="W260" s="295" t="s">
        <v>5209</v>
      </c>
    </row>
    <row r="261" customFormat="false" ht="12.8" hidden="false" customHeight="false" outlineLevel="0" collapsed="false">
      <c r="B261" s="1" t="n">
        <v>38947</v>
      </c>
      <c r="C261" s="3" t="n">
        <v>43441</v>
      </c>
      <c r="D261" s="171" t="s">
        <v>22</v>
      </c>
      <c r="E261" s="8" t="s">
        <v>433</v>
      </c>
      <c r="F261" s="1" t="s">
        <v>434</v>
      </c>
      <c r="G261" s="2" t="s">
        <v>3818</v>
      </c>
      <c r="H261" s="2" t="n">
        <v>5</v>
      </c>
      <c r="I261" s="2" t="n">
        <v>2</v>
      </c>
      <c r="J261" s="276" t="n">
        <v>81.34</v>
      </c>
      <c r="K261" s="6" t="n">
        <v>800387.69</v>
      </c>
      <c r="L261" s="166" t="n">
        <f aca="false">K261/J261</f>
        <v>9840.02569461519</v>
      </c>
      <c r="M261" s="264" t="s">
        <v>5210</v>
      </c>
      <c r="N261" s="6"/>
      <c r="O261" s="163" t="n">
        <f aca="false">K261+N261</f>
        <v>800387.69</v>
      </c>
      <c r="P261" s="163" t="n">
        <f aca="false">O261/J261</f>
        <v>9840.02569461519</v>
      </c>
      <c r="Q261" s="295" t="s">
        <v>1877</v>
      </c>
      <c r="R261" s="2" t="n">
        <v>3</v>
      </c>
      <c r="S261" s="169" t="s">
        <v>29</v>
      </c>
      <c r="T261" s="158" t="s">
        <v>1915</v>
      </c>
      <c r="U261" s="164" t="s">
        <v>31</v>
      </c>
      <c r="V261" s="35" t="s">
        <v>1916</v>
      </c>
      <c r="W261" s="1" t="s">
        <v>5211</v>
      </c>
    </row>
    <row r="262" customFormat="false" ht="12.8" hidden="false" customHeight="false" outlineLevel="0" collapsed="false">
      <c r="B262" s="1" t="n">
        <v>6332</v>
      </c>
      <c r="C262" s="3" t="n">
        <v>43441</v>
      </c>
      <c r="D262" s="171" t="s">
        <v>22</v>
      </c>
      <c r="E262" s="8" t="s">
        <v>276</v>
      </c>
      <c r="F262" s="1" t="s">
        <v>2535</v>
      </c>
      <c r="G262" s="2" t="n">
        <v>6</v>
      </c>
      <c r="H262" s="2" t="n">
        <v>117</v>
      </c>
      <c r="I262" s="2" t="n">
        <v>6</v>
      </c>
      <c r="J262" s="276" t="n">
        <v>37.61</v>
      </c>
      <c r="K262" s="6" t="n">
        <v>261991.28</v>
      </c>
      <c r="L262" s="6" t="n">
        <f aca="false">K262/J262</f>
        <v>6966.00053177346</v>
      </c>
      <c r="M262" s="264"/>
      <c r="N262" s="6"/>
      <c r="O262" s="6" t="n">
        <f aca="false">K262+N262</f>
        <v>261991.28</v>
      </c>
      <c r="P262" s="166" t="n">
        <f aca="false">O262/J262</f>
        <v>6966.00053177346</v>
      </c>
      <c r="Q262" s="295"/>
      <c r="R262" s="2" t="s">
        <v>5212</v>
      </c>
      <c r="S262" s="5" t="s">
        <v>29</v>
      </c>
      <c r="T262" s="5" t="s">
        <v>1915</v>
      </c>
      <c r="U262" s="294" t="s">
        <v>31</v>
      </c>
      <c r="V262" s="203" t="n">
        <v>43709</v>
      </c>
      <c r="W262" s="1" t="s">
        <v>5213</v>
      </c>
    </row>
    <row r="263" customFormat="false" ht="12.8" hidden="false" customHeight="false" outlineLevel="0" collapsed="false">
      <c r="B263" s="1" t="n">
        <v>6687</v>
      </c>
      <c r="C263" s="3" t="n">
        <v>43442</v>
      </c>
      <c r="D263" s="171" t="s">
        <v>22</v>
      </c>
      <c r="E263" s="5" t="s">
        <v>140</v>
      </c>
      <c r="F263" s="1" t="s">
        <v>138</v>
      </c>
      <c r="G263" s="2" t="s">
        <v>4239</v>
      </c>
      <c r="H263" s="2" t="n">
        <v>25</v>
      </c>
      <c r="I263" s="2" t="n">
        <v>6</v>
      </c>
      <c r="J263" s="276" t="n">
        <v>91.61</v>
      </c>
      <c r="K263" s="6" t="n">
        <v>737972.84</v>
      </c>
      <c r="L263" s="166" t="n">
        <f aca="false">K263/J263</f>
        <v>8055.59262089292</v>
      </c>
      <c r="M263" s="264" t="s">
        <v>5214</v>
      </c>
      <c r="N263" s="6"/>
      <c r="O263" s="163" t="n">
        <f aca="false">K263+N263</f>
        <v>737972.84</v>
      </c>
      <c r="P263" s="163" t="n">
        <f aca="false">O263/J263</f>
        <v>8055.59262089292</v>
      </c>
      <c r="Q263" s="295" t="s">
        <v>1431</v>
      </c>
      <c r="R263" s="2" t="n">
        <v>2</v>
      </c>
      <c r="S263" s="169" t="s">
        <v>29</v>
      </c>
      <c r="T263" s="158" t="s">
        <v>1915</v>
      </c>
      <c r="U263" s="164" t="s">
        <v>31</v>
      </c>
      <c r="V263" s="35" t="s">
        <v>1916</v>
      </c>
      <c r="W263" s="1" t="s">
        <v>5195</v>
      </c>
    </row>
    <row r="264" s="151" customFormat="true" ht="12.8" hidden="false" customHeight="false" outlineLevel="0" collapsed="false">
      <c r="A264" s="1"/>
      <c r="B264" s="5" t="s">
        <v>5215</v>
      </c>
      <c r="C264" s="155" t="n">
        <v>43444</v>
      </c>
      <c r="D264" s="171" t="s">
        <v>22</v>
      </c>
      <c r="E264" s="8" t="s">
        <v>5216</v>
      </c>
      <c r="F264" s="1" t="s">
        <v>5217</v>
      </c>
      <c r="G264" s="2" t="n">
        <v>6</v>
      </c>
      <c r="H264" s="2" t="n">
        <v>9</v>
      </c>
      <c r="I264" s="2" t="n">
        <v>3</v>
      </c>
      <c r="J264" s="276" t="n">
        <v>89.81</v>
      </c>
      <c r="K264" s="6" t="n">
        <v>1041275.46</v>
      </c>
      <c r="L264" s="166" t="n">
        <f aca="false">K264/J264</f>
        <v>11594.2039861931</v>
      </c>
      <c r="M264" s="264" t="s">
        <v>5218</v>
      </c>
      <c r="N264" s="6"/>
      <c r="O264" s="163" t="n">
        <f aca="false">K264+N264</f>
        <v>1041275.46</v>
      </c>
      <c r="P264" s="163" t="n">
        <f aca="false">O264/J264</f>
        <v>11594.2039861931</v>
      </c>
      <c r="Q264" s="295" t="s">
        <v>5219</v>
      </c>
      <c r="R264" s="5" t="s">
        <v>26</v>
      </c>
      <c r="S264" s="5" t="s">
        <v>4568</v>
      </c>
      <c r="T264" s="207" t="s">
        <v>31</v>
      </c>
      <c r="U264" s="173" t="n">
        <v>43601</v>
      </c>
      <c r="V264" s="35" t="s">
        <v>1916</v>
      </c>
      <c r="W264" s="116" t="s">
        <v>5220</v>
      </c>
      <c r="X264" s="1"/>
    </row>
    <row r="265" s="151" customFormat="true" ht="12.8" hidden="false" customHeight="false" outlineLevel="0" collapsed="false">
      <c r="A265" s="1"/>
      <c r="B265" s="1" t="n">
        <v>13462</v>
      </c>
      <c r="C265" s="3" t="n">
        <v>43444</v>
      </c>
      <c r="D265" s="171" t="s">
        <v>22</v>
      </c>
      <c r="E265" s="8" t="s">
        <v>5216</v>
      </c>
      <c r="F265" s="1" t="s">
        <v>5221</v>
      </c>
      <c r="G265" s="2" t="n">
        <v>3</v>
      </c>
      <c r="H265" s="2" t="n">
        <v>6</v>
      </c>
      <c r="I265" s="2" t="n">
        <v>2</v>
      </c>
      <c r="J265" s="276" t="n">
        <v>69.63</v>
      </c>
      <c r="K265" s="6" t="n">
        <v>781097.9</v>
      </c>
      <c r="L265" s="166" t="n">
        <f aca="false">K265/J265</f>
        <v>11217.8357030016</v>
      </c>
      <c r="M265" s="264" t="s">
        <v>5222</v>
      </c>
      <c r="N265" s="6"/>
      <c r="O265" s="163" t="n">
        <f aca="false">K265+N265</f>
        <v>781097.9</v>
      </c>
      <c r="P265" s="163" t="n">
        <f aca="false">O265/J265</f>
        <v>11217.8357030016</v>
      </c>
      <c r="Q265" s="295" t="s">
        <v>5223</v>
      </c>
      <c r="R265" s="2" t="n">
        <v>2</v>
      </c>
      <c r="S265" s="169" t="s">
        <v>29</v>
      </c>
      <c r="T265" s="158" t="s">
        <v>1915</v>
      </c>
      <c r="U265" s="164" t="s">
        <v>31</v>
      </c>
      <c r="V265" s="35" t="s">
        <v>1916</v>
      </c>
      <c r="W265" s="116" t="s">
        <v>5220</v>
      </c>
      <c r="X265" s="1"/>
    </row>
    <row r="266" s="151" customFormat="true" ht="12.8" hidden="false" customHeight="false" outlineLevel="0" collapsed="false">
      <c r="A266" s="1"/>
      <c r="B266" s="1" t="n">
        <v>62005</v>
      </c>
      <c r="C266" s="3" t="n">
        <v>43444</v>
      </c>
      <c r="D266" s="171" t="s">
        <v>22</v>
      </c>
      <c r="E266" s="8" t="s">
        <v>322</v>
      </c>
      <c r="F266" s="1" t="s">
        <v>5224</v>
      </c>
      <c r="G266" s="2" t="s">
        <v>570</v>
      </c>
      <c r="H266" s="2" t="n">
        <v>65</v>
      </c>
      <c r="I266" s="2" t="n">
        <v>8</v>
      </c>
      <c r="J266" s="276" t="n">
        <v>61.33</v>
      </c>
      <c r="K266" s="300" t="n">
        <v>0</v>
      </c>
      <c r="L266" s="6" t="n">
        <f aca="false">K266/J266</f>
        <v>0</v>
      </c>
      <c r="M266" s="264"/>
      <c r="N266" s="6"/>
      <c r="O266" s="6" t="n">
        <f aca="false">K266+N266</f>
        <v>0</v>
      </c>
      <c r="P266" s="166" t="n">
        <f aca="false">O266/J266</f>
        <v>0</v>
      </c>
      <c r="Q266" s="295"/>
      <c r="R266" s="2" t="s">
        <v>5225</v>
      </c>
      <c r="S266" s="5" t="s">
        <v>29</v>
      </c>
      <c r="T266" s="5" t="s">
        <v>1915</v>
      </c>
      <c r="U266" s="294" t="s">
        <v>31</v>
      </c>
      <c r="V266" s="203" t="n">
        <v>43709</v>
      </c>
      <c r="W266" s="1" t="s">
        <v>4924</v>
      </c>
      <c r="X266" s="1" t="s">
        <v>5226</v>
      </c>
    </row>
    <row r="267" s="151" customFormat="true" ht="12.8" hidden="false" customHeight="false" outlineLevel="0" collapsed="false">
      <c r="A267" s="1"/>
      <c r="B267" s="1" t="n">
        <v>5821</v>
      </c>
      <c r="C267" s="3" t="n">
        <v>43444</v>
      </c>
      <c r="D267" s="171" t="s">
        <v>22</v>
      </c>
      <c r="E267" s="8" t="s">
        <v>203</v>
      </c>
      <c r="F267" s="1" t="s">
        <v>1209</v>
      </c>
      <c r="G267" s="2" t="s">
        <v>5227</v>
      </c>
      <c r="H267" s="2" t="n">
        <v>118</v>
      </c>
      <c r="I267" s="2" t="n">
        <v>5</v>
      </c>
      <c r="J267" s="276" t="n">
        <v>49.08</v>
      </c>
      <c r="K267" s="300" t="n">
        <v>0</v>
      </c>
      <c r="L267" s="6" t="n">
        <f aca="false">K267/J267</f>
        <v>0</v>
      </c>
      <c r="M267" s="264" t="s">
        <v>3302</v>
      </c>
      <c r="N267" s="6"/>
      <c r="O267" s="6" t="n">
        <f aca="false">K267+N267</f>
        <v>0</v>
      </c>
      <c r="P267" s="166" t="n">
        <f aca="false">O267/J267</f>
        <v>0</v>
      </c>
      <c r="Q267" s="295"/>
      <c r="R267" s="2" t="s">
        <v>5228</v>
      </c>
      <c r="S267" s="5" t="s">
        <v>29</v>
      </c>
      <c r="T267" s="5" t="s">
        <v>1915</v>
      </c>
      <c r="U267" s="294" t="s">
        <v>31</v>
      </c>
      <c r="V267" s="203" t="n">
        <v>43709</v>
      </c>
      <c r="W267" s="1" t="s">
        <v>5229</v>
      </c>
      <c r="X267" s="1" t="s">
        <v>5226</v>
      </c>
    </row>
    <row r="268" s="151" customFormat="true" ht="12.8" hidden="false" customHeight="false" outlineLevel="0" collapsed="false">
      <c r="A268" s="1"/>
      <c r="B268" s="5" t="s">
        <v>5215</v>
      </c>
      <c r="C268" s="155" t="n">
        <v>43444</v>
      </c>
      <c r="D268" s="171" t="s">
        <v>22</v>
      </c>
      <c r="E268" s="8" t="s">
        <v>5216</v>
      </c>
      <c r="F268" s="1" t="s">
        <v>5217</v>
      </c>
      <c r="G268" s="2" t="n">
        <v>6</v>
      </c>
      <c r="H268" s="2" t="n">
        <v>9</v>
      </c>
      <c r="I268" s="2" t="n">
        <v>3</v>
      </c>
      <c r="J268" s="276" t="n">
        <v>89.81</v>
      </c>
      <c r="K268" s="6" t="n">
        <v>1041275.46</v>
      </c>
      <c r="L268" s="166" t="n">
        <f aca="false">K268/J268</f>
        <v>11594.2039861931</v>
      </c>
      <c r="M268" s="264" t="s">
        <v>5218</v>
      </c>
      <c r="N268" s="6"/>
      <c r="O268" s="163" t="n">
        <f aca="false">K268+N268</f>
        <v>1041275.46</v>
      </c>
      <c r="P268" s="163" t="n">
        <f aca="false">O268/J268</f>
        <v>11594.2039861931</v>
      </c>
      <c r="Q268" s="295" t="s">
        <v>5219</v>
      </c>
      <c r="R268" s="5" t="s">
        <v>26</v>
      </c>
      <c r="S268" s="5" t="s">
        <v>4568</v>
      </c>
      <c r="T268" s="207" t="s">
        <v>31</v>
      </c>
      <c r="U268" s="173" t="n">
        <v>43601</v>
      </c>
      <c r="V268" s="171" t="n">
        <v>43709</v>
      </c>
      <c r="W268" s="116" t="s">
        <v>5220</v>
      </c>
      <c r="X268" s="1"/>
    </row>
    <row r="269" s="151" customFormat="true" ht="12.8" hidden="false" customHeight="false" outlineLevel="0" collapsed="false">
      <c r="A269" s="1"/>
      <c r="B269" s="1" t="n">
        <v>17543</v>
      </c>
      <c r="C269" s="3" t="n">
        <v>43445</v>
      </c>
      <c r="D269" s="171" t="s">
        <v>22</v>
      </c>
      <c r="E269" s="8" t="s">
        <v>717</v>
      </c>
      <c r="F269" s="1" t="s">
        <v>5101</v>
      </c>
      <c r="G269" s="2" t="s">
        <v>5230</v>
      </c>
      <c r="H269" s="2" t="n">
        <v>15</v>
      </c>
      <c r="I269" s="2" t="n">
        <v>3</v>
      </c>
      <c r="J269" s="276" t="n">
        <v>88.72</v>
      </c>
      <c r="K269" s="6" t="n">
        <v>837103.3</v>
      </c>
      <c r="L269" s="166" t="n">
        <f aca="false">K269/J269</f>
        <v>9435.33926961226</v>
      </c>
      <c r="M269" s="264" t="s">
        <v>5231</v>
      </c>
      <c r="N269" s="6" t="n">
        <v>48952.26</v>
      </c>
      <c r="O269" s="163" t="n">
        <f aca="false">K269+N269</f>
        <v>886055.56</v>
      </c>
      <c r="P269" s="163" t="n">
        <f aca="false">O269/J269</f>
        <v>9987.10054102796</v>
      </c>
      <c r="Q269" s="295" t="s">
        <v>5197</v>
      </c>
      <c r="R269" s="2" t="n">
        <v>2</v>
      </c>
      <c r="S269" s="169" t="s">
        <v>29</v>
      </c>
      <c r="T269" s="158" t="s">
        <v>1915</v>
      </c>
      <c r="U269" s="164" t="s">
        <v>31</v>
      </c>
      <c r="V269" s="35" t="s">
        <v>1916</v>
      </c>
      <c r="W269" s="1" t="s">
        <v>5232</v>
      </c>
      <c r="X269" s="1"/>
    </row>
    <row r="270" s="151" customFormat="true" ht="12.8" hidden="false" customHeight="false" outlineLevel="0" collapsed="false">
      <c r="A270" s="1"/>
      <c r="B270" s="1" t="n">
        <v>13579</v>
      </c>
      <c r="C270" s="3" t="n">
        <v>43445</v>
      </c>
      <c r="D270" s="171" t="s">
        <v>22</v>
      </c>
      <c r="E270" s="8" t="s">
        <v>5216</v>
      </c>
      <c r="F270" s="1" t="s">
        <v>5221</v>
      </c>
      <c r="G270" s="2" t="n">
        <v>5</v>
      </c>
      <c r="H270" s="2" t="n">
        <v>13</v>
      </c>
      <c r="I270" s="2" t="n">
        <v>3</v>
      </c>
      <c r="J270" s="276" t="n">
        <v>89.55</v>
      </c>
      <c r="K270" s="6" t="n">
        <v>927562.44</v>
      </c>
      <c r="L270" s="6" t="n">
        <f aca="false">K270/J270</f>
        <v>10358.0395309883</v>
      </c>
      <c r="M270" s="264" t="s">
        <v>5233</v>
      </c>
      <c r="N270" s="6"/>
      <c r="O270" s="6" t="n">
        <f aca="false">K270+N270</f>
        <v>927562.44</v>
      </c>
      <c r="P270" s="166" t="n">
        <f aca="false">O270/J270</f>
        <v>10358.0395309883</v>
      </c>
      <c r="Q270" s="295"/>
      <c r="R270" s="2" t="s">
        <v>5234</v>
      </c>
      <c r="S270" s="5" t="s">
        <v>29</v>
      </c>
      <c r="T270" s="5" t="s">
        <v>1915</v>
      </c>
      <c r="U270" s="294" t="s">
        <v>31</v>
      </c>
      <c r="V270" s="203" t="n">
        <v>43709</v>
      </c>
      <c r="W270" s="1" t="s">
        <v>5220</v>
      </c>
      <c r="X270" s="1"/>
    </row>
    <row r="271" s="151" customFormat="true" ht="12.8" hidden="false" customHeight="false" outlineLevel="0" collapsed="false">
      <c r="A271" s="1"/>
      <c r="B271" s="1" t="n">
        <v>13519</v>
      </c>
      <c r="C271" s="3" t="n">
        <v>43445</v>
      </c>
      <c r="D271" s="171" t="s">
        <v>22</v>
      </c>
      <c r="E271" s="8" t="s">
        <v>5216</v>
      </c>
      <c r="F271" s="1" t="s">
        <v>5221</v>
      </c>
      <c r="G271" s="2" t="n">
        <v>1</v>
      </c>
      <c r="H271" s="2" t="n">
        <v>5</v>
      </c>
      <c r="I271" s="2" t="n">
        <v>3</v>
      </c>
      <c r="J271" s="276" t="n">
        <v>50.93</v>
      </c>
      <c r="K271" s="6" t="n">
        <v>530000</v>
      </c>
      <c r="L271" s="6" t="n">
        <f aca="false">K271/J271</f>
        <v>10406.4402120558</v>
      </c>
      <c r="M271" s="264" t="s">
        <v>5235</v>
      </c>
      <c r="N271" s="6"/>
      <c r="O271" s="6" t="n">
        <f aca="false">K271+N271</f>
        <v>530000</v>
      </c>
      <c r="P271" s="166" t="n">
        <f aca="false">O271/J271</f>
        <v>10406.4402120558</v>
      </c>
      <c r="Q271" s="295"/>
      <c r="R271" s="2" t="s">
        <v>5228</v>
      </c>
      <c r="S271" s="5" t="s">
        <v>29</v>
      </c>
      <c r="T271" s="5" t="s">
        <v>1915</v>
      </c>
      <c r="U271" s="294" t="s">
        <v>31</v>
      </c>
      <c r="V271" s="203" t="n">
        <v>43709</v>
      </c>
      <c r="W271" s="1" t="s">
        <v>5220</v>
      </c>
      <c r="X271" s="1"/>
    </row>
    <row r="272" s="151" customFormat="true" ht="12.8" hidden="false" customHeight="false" outlineLevel="0" collapsed="false">
      <c r="A272" s="1"/>
      <c r="B272" s="1" t="n">
        <v>13512</v>
      </c>
      <c r="C272" s="3" t="n">
        <v>43445</v>
      </c>
      <c r="D272" s="171" t="s">
        <v>22</v>
      </c>
      <c r="E272" s="8" t="s">
        <v>5216</v>
      </c>
      <c r="F272" s="1" t="s">
        <v>5221</v>
      </c>
      <c r="G272" s="2" t="n">
        <v>5</v>
      </c>
      <c r="H272" s="2" t="n">
        <v>12</v>
      </c>
      <c r="I272" s="2" t="n">
        <v>3</v>
      </c>
      <c r="J272" s="276" t="n">
        <v>72.9</v>
      </c>
      <c r="K272" s="6" t="n">
        <v>854533.91</v>
      </c>
      <c r="L272" s="6" t="n">
        <f aca="false">K272/J272</f>
        <v>11722.0015089163</v>
      </c>
      <c r="M272" s="264" t="s">
        <v>5236</v>
      </c>
      <c r="N272" s="6"/>
      <c r="O272" s="6" t="n">
        <f aca="false">K272+N272</f>
        <v>854533.91</v>
      </c>
      <c r="P272" s="166" t="n">
        <f aca="false">O272/J272</f>
        <v>11722.0015089163</v>
      </c>
      <c r="Q272" s="295"/>
      <c r="R272" s="2" t="s">
        <v>5237</v>
      </c>
      <c r="S272" s="5" t="s">
        <v>29</v>
      </c>
      <c r="T272" s="5" t="s">
        <v>1915</v>
      </c>
      <c r="U272" s="294" t="s">
        <v>31</v>
      </c>
      <c r="V272" s="203" t="n">
        <v>43709</v>
      </c>
      <c r="W272" s="1" t="s">
        <v>5220</v>
      </c>
      <c r="X272" s="1"/>
    </row>
    <row r="273" s="151" customFormat="true" ht="12.8" hidden="false" customHeight="false" outlineLevel="0" collapsed="false">
      <c r="A273" s="1"/>
      <c r="B273" s="1" t="n">
        <v>13589</v>
      </c>
      <c r="C273" s="3" t="n">
        <v>43445</v>
      </c>
      <c r="D273" s="171" t="s">
        <v>22</v>
      </c>
      <c r="E273" s="8" t="s">
        <v>5216</v>
      </c>
      <c r="F273" s="1" t="s">
        <v>5221</v>
      </c>
      <c r="G273" s="2" t="n">
        <v>1</v>
      </c>
      <c r="H273" s="2" t="n">
        <v>14</v>
      </c>
      <c r="I273" s="2" t="n">
        <v>2</v>
      </c>
      <c r="J273" s="276" t="n">
        <v>69.54</v>
      </c>
      <c r="K273" s="6" t="n">
        <v>745166.65</v>
      </c>
      <c r="L273" s="6" t="n">
        <f aca="false">K273/J273</f>
        <v>10715.6550186943</v>
      </c>
      <c r="M273" s="264" t="s">
        <v>5236</v>
      </c>
      <c r="N273" s="6"/>
      <c r="O273" s="6" t="n">
        <f aca="false">K273+N273</f>
        <v>745166.65</v>
      </c>
      <c r="P273" s="166" t="n">
        <f aca="false">O273/J273</f>
        <v>10715.6550186943</v>
      </c>
      <c r="Q273" s="295"/>
      <c r="R273" s="2" t="s">
        <v>5225</v>
      </c>
      <c r="S273" s="5" t="s">
        <v>29</v>
      </c>
      <c r="T273" s="5" t="s">
        <v>1915</v>
      </c>
      <c r="U273" s="294" t="s">
        <v>31</v>
      </c>
      <c r="V273" s="203" t="n">
        <v>43709</v>
      </c>
      <c r="W273" s="1" t="s">
        <v>5220</v>
      </c>
      <c r="X273" s="1"/>
    </row>
    <row r="274" s="151" customFormat="true" ht="12.8" hidden="false" customHeight="false" outlineLevel="0" collapsed="false">
      <c r="A274" s="1"/>
      <c r="B274" s="1" t="n">
        <v>13469</v>
      </c>
      <c r="C274" s="3" t="n">
        <v>43445</v>
      </c>
      <c r="D274" s="171" t="s">
        <v>22</v>
      </c>
      <c r="E274" s="8" t="s">
        <v>5216</v>
      </c>
      <c r="F274" s="1" t="s">
        <v>5221</v>
      </c>
      <c r="G274" s="2" t="n">
        <v>3</v>
      </c>
      <c r="H274" s="2" t="n">
        <v>12</v>
      </c>
      <c r="I274" s="2" t="n">
        <v>3</v>
      </c>
      <c r="J274" s="276" t="n">
        <v>90.68</v>
      </c>
      <c r="K274" s="6" t="n">
        <v>948900</v>
      </c>
      <c r="L274" s="6" t="n">
        <f aca="false">K274/J274</f>
        <v>10464.2699603</v>
      </c>
      <c r="M274" s="264" t="s">
        <v>5236</v>
      </c>
      <c r="N274" s="6"/>
      <c r="O274" s="6" t="n">
        <f aca="false">K274+N274</f>
        <v>948900</v>
      </c>
      <c r="P274" s="166" t="n">
        <f aca="false">O274/J274</f>
        <v>10464.2699603</v>
      </c>
      <c r="Q274" s="295"/>
      <c r="R274" s="2" t="s">
        <v>5238</v>
      </c>
      <c r="S274" s="5" t="s">
        <v>29</v>
      </c>
      <c r="T274" s="5" t="s">
        <v>1915</v>
      </c>
      <c r="U274" s="294" t="s">
        <v>31</v>
      </c>
      <c r="V274" s="203" t="n">
        <v>43709</v>
      </c>
      <c r="W274" s="1" t="s">
        <v>5220</v>
      </c>
      <c r="X274" s="1"/>
    </row>
    <row r="275" s="151" customFormat="true" ht="12.8" hidden="false" customHeight="false" outlineLevel="0" collapsed="false">
      <c r="A275" s="1"/>
      <c r="B275" s="1" t="n">
        <v>13505</v>
      </c>
      <c r="C275" s="3" t="n">
        <v>43445</v>
      </c>
      <c r="D275" s="171" t="s">
        <v>22</v>
      </c>
      <c r="E275" s="8" t="s">
        <v>5216</v>
      </c>
      <c r="F275" s="1" t="s">
        <v>5221</v>
      </c>
      <c r="G275" s="2" t="n">
        <v>5</v>
      </c>
      <c r="H275" s="2" t="n">
        <v>10</v>
      </c>
      <c r="I275" s="300" t="s">
        <v>1214</v>
      </c>
      <c r="J275" s="276" t="n">
        <v>115.21</v>
      </c>
      <c r="K275" s="6" t="n">
        <v>1189400.36</v>
      </c>
      <c r="L275" s="6" t="n">
        <f aca="false">K275/J275</f>
        <v>10323.7597430779</v>
      </c>
      <c r="M275" s="264" t="s">
        <v>5236</v>
      </c>
      <c r="N275" s="6"/>
      <c r="O275" s="6" t="n">
        <f aca="false">K275+N275</f>
        <v>1189400.36</v>
      </c>
      <c r="P275" s="166" t="n">
        <f aca="false">O275/J275</f>
        <v>10323.7597430779</v>
      </c>
      <c r="Q275" s="295"/>
      <c r="R275" s="301" t="s">
        <v>5239</v>
      </c>
      <c r="S275" s="5" t="s">
        <v>29</v>
      </c>
      <c r="T275" s="5" t="s">
        <v>1915</v>
      </c>
      <c r="U275" s="294" t="s">
        <v>31</v>
      </c>
      <c r="V275" s="203" t="n">
        <v>43709</v>
      </c>
      <c r="W275" s="1" t="s">
        <v>5220</v>
      </c>
      <c r="X275" s="1" t="s">
        <v>5240</v>
      </c>
    </row>
    <row r="276" s="151" customFormat="true" ht="12.8" hidden="false" customHeight="false" outlineLevel="0" collapsed="false">
      <c r="A276" s="1"/>
      <c r="B276" s="1" t="n">
        <v>13555</v>
      </c>
      <c r="C276" s="3" t="n">
        <v>43445</v>
      </c>
      <c r="D276" s="171" t="s">
        <v>22</v>
      </c>
      <c r="E276" s="8" t="s">
        <v>5216</v>
      </c>
      <c r="F276" s="1" t="s">
        <v>5241</v>
      </c>
      <c r="G276" s="2" t="n">
        <v>11</v>
      </c>
      <c r="H276" s="2" t="n">
        <v>21</v>
      </c>
      <c r="I276" s="2" t="n">
        <v>3</v>
      </c>
      <c r="J276" s="276" t="n">
        <v>75.33</v>
      </c>
      <c r="K276" s="6" t="n">
        <v>821320.53</v>
      </c>
      <c r="L276" s="6" t="n">
        <f aca="false">K276/J276</f>
        <v>10902.9673436878</v>
      </c>
      <c r="M276" s="264" t="s">
        <v>5236</v>
      </c>
      <c r="N276" s="6"/>
      <c r="O276" s="6" t="n">
        <f aca="false">K276+N276</f>
        <v>821320.53</v>
      </c>
      <c r="P276" s="166" t="n">
        <f aca="false">O276/J276</f>
        <v>10902.9673436878</v>
      </c>
      <c r="Q276" s="295"/>
      <c r="R276" s="2" t="s">
        <v>5242</v>
      </c>
      <c r="S276" s="5" t="s">
        <v>29</v>
      </c>
      <c r="T276" s="5" t="s">
        <v>1915</v>
      </c>
      <c r="U276" s="294" t="s">
        <v>31</v>
      </c>
      <c r="V276" s="203" t="n">
        <v>43709</v>
      </c>
      <c r="W276" s="1" t="s">
        <v>5220</v>
      </c>
      <c r="X276" s="1"/>
    </row>
    <row r="277" s="151" customFormat="true" ht="12.8" hidden="false" customHeight="false" outlineLevel="0" collapsed="false">
      <c r="A277" s="1"/>
      <c r="B277" s="1" t="n">
        <v>6766</v>
      </c>
      <c r="C277" s="3" t="n">
        <v>43445</v>
      </c>
      <c r="D277" s="171" t="s">
        <v>22</v>
      </c>
      <c r="E277" s="5" t="s">
        <v>140</v>
      </c>
      <c r="F277" s="1" t="s">
        <v>138</v>
      </c>
      <c r="G277" s="2" t="s">
        <v>2218</v>
      </c>
      <c r="H277" s="2" t="n">
        <v>12</v>
      </c>
      <c r="I277" s="2" t="n">
        <v>3</v>
      </c>
      <c r="J277" s="276" t="n">
        <v>50.02</v>
      </c>
      <c r="K277" s="6" t="n">
        <v>491607.56</v>
      </c>
      <c r="L277" s="6" t="n">
        <f aca="false">K277/J277</f>
        <v>9828.21991203519</v>
      </c>
      <c r="M277" s="264" t="s">
        <v>5236</v>
      </c>
      <c r="N277" s="6" t="n">
        <v>35000</v>
      </c>
      <c r="O277" s="6" t="n">
        <f aca="false">K277+N277</f>
        <v>526607.56</v>
      </c>
      <c r="P277" s="166" t="n">
        <f aca="false">O277/J277</f>
        <v>10527.9400239904</v>
      </c>
      <c r="Q277" s="295"/>
      <c r="R277" s="2" t="s">
        <v>5228</v>
      </c>
      <c r="S277" s="5" t="s">
        <v>29</v>
      </c>
      <c r="T277" s="5" t="s">
        <v>1915</v>
      </c>
      <c r="U277" s="294" t="s">
        <v>31</v>
      </c>
      <c r="V277" s="203" t="n">
        <v>43709</v>
      </c>
      <c r="W277" s="1" t="s">
        <v>5195</v>
      </c>
      <c r="X277" s="1"/>
    </row>
    <row r="278" s="151" customFormat="true" ht="12.8" hidden="false" customHeight="false" outlineLevel="0" collapsed="false">
      <c r="A278" s="1"/>
      <c r="B278" s="1" t="n">
        <v>6751</v>
      </c>
      <c r="C278" s="3" t="n">
        <v>43445</v>
      </c>
      <c r="D278" s="171" t="s">
        <v>22</v>
      </c>
      <c r="E278" s="5" t="s">
        <v>140</v>
      </c>
      <c r="F278" s="1" t="s">
        <v>138</v>
      </c>
      <c r="G278" s="2" t="s">
        <v>4239</v>
      </c>
      <c r="H278" s="2" t="n">
        <v>1</v>
      </c>
      <c r="I278" s="2" t="n">
        <v>2</v>
      </c>
      <c r="J278" s="276" t="n">
        <v>91.36</v>
      </c>
      <c r="K278" s="6" t="n">
        <v>644925.02</v>
      </c>
      <c r="L278" s="6" t="n">
        <f aca="false">K278/J278</f>
        <v>7059.16177758319</v>
      </c>
      <c r="M278" s="264" t="s">
        <v>5233</v>
      </c>
      <c r="N278" s="6" t="n">
        <v>48000</v>
      </c>
      <c r="O278" s="6" t="n">
        <f aca="false">K278+N278</f>
        <v>692925.02</v>
      </c>
      <c r="P278" s="166" t="n">
        <f aca="false">O278/J278</f>
        <v>7584.55582311734</v>
      </c>
      <c r="Q278" s="295"/>
      <c r="R278" s="2" t="s">
        <v>5234</v>
      </c>
      <c r="S278" s="5" t="s">
        <v>29</v>
      </c>
      <c r="T278" s="5" t="s">
        <v>1915</v>
      </c>
      <c r="U278" s="294" t="s">
        <v>31</v>
      </c>
      <c r="V278" s="203" t="n">
        <v>43709</v>
      </c>
      <c r="W278" s="1" t="s">
        <v>5195</v>
      </c>
      <c r="X278" s="1"/>
    </row>
    <row r="279" s="151" customFormat="true" ht="12.8" hidden="false" customHeight="false" outlineLevel="0" collapsed="false">
      <c r="A279" s="1"/>
      <c r="B279" s="1" t="n">
        <v>6773</v>
      </c>
      <c r="C279" s="3" t="n">
        <v>43445</v>
      </c>
      <c r="D279" s="171" t="s">
        <v>22</v>
      </c>
      <c r="E279" s="5" t="s">
        <v>140</v>
      </c>
      <c r="F279" s="1" t="s">
        <v>138</v>
      </c>
      <c r="G279" s="2" t="s">
        <v>4239</v>
      </c>
      <c r="H279" s="2" t="n">
        <v>29</v>
      </c>
      <c r="I279" s="2" t="n">
        <v>6</v>
      </c>
      <c r="J279" s="276" t="n">
        <v>63.7</v>
      </c>
      <c r="K279" s="6" t="n">
        <v>617218</v>
      </c>
      <c r="L279" s="6" t="n">
        <f aca="false">K279/J279</f>
        <v>9689.45054945055</v>
      </c>
      <c r="M279" s="264" t="s">
        <v>5236</v>
      </c>
      <c r="N279" s="6" t="n">
        <v>37000</v>
      </c>
      <c r="O279" s="6" t="n">
        <f aca="false">K279+N279</f>
        <v>654218</v>
      </c>
      <c r="P279" s="166" t="n">
        <f aca="false">O279/J279</f>
        <v>10270.2982731554</v>
      </c>
      <c r="Q279" s="295"/>
      <c r="R279" s="2" t="s">
        <v>5225</v>
      </c>
      <c r="S279" s="5" t="s">
        <v>29</v>
      </c>
      <c r="T279" s="5" t="s">
        <v>1915</v>
      </c>
      <c r="U279" s="294" t="s">
        <v>31</v>
      </c>
      <c r="V279" s="203" t="n">
        <v>43709</v>
      </c>
      <c r="W279" s="1" t="s">
        <v>5243</v>
      </c>
      <c r="X279" s="1"/>
    </row>
    <row r="280" s="151" customFormat="true" ht="12.8" hidden="false" customHeight="false" outlineLevel="0" collapsed="false">
      <c r="A280" s="1"/>
      <c r="B280" s="1" t="n">
        <v>6744</v>
      </c>
      <c r="C280" s="3" t="n">
        <v>43445</v>
      </c>
      <c r="D280" s="171" t="s">
        <v>22</v>
      </c>
      <c r="E280" s="5" t="s">
        <v>140</v>
      </c>
      <c r="F280" s="1" t="s">
        <v>138</v>
      </c>
      <c r="G280" s="2" t="s">
        <v>2218</v>
      </c>
      <c r="H280" s="2" t="n">
        <v>6</v>
      </c>
      <c r="I280" s="2" t="n">
        <v>5</v>
      </c>
      <c r="J280" s="276" t="n">
        <v>81.75</v>
      </c>
      <c r="K280" s="6" t="n">
        <v>638531.06</v>
      </c>
      <c r="L280" s="6" t="n">
        <f aca="false">K280/J280</f>
        <v>7810.77749235474</v>
      </c>
      <c r="M280" s="264" t="s">
        <v>5244</v>
      </c>
      <c r="N280" s="6" t="n">
        <v>98610</v>
      </c>
      <c r="O280" s="6" t="n">
        <f aca="false">K280+N280</f>
        <v>737141.06</v>
      </c>
      <c r="P280" s="166" t="n">
        <f aca="false">O280/J280</f>
        <v>9017.01602446483</v>
      </c>
      <c r="Q280" s="295"/>
      <c r="R280" s="2" t="s">
        <v>5245</v>
      </c>
      <c r="S280" s="5" t="s">
        <v>29</v>
      </c>
      <c r="T280" s="5" t="s">
        <v>1915</v>
      </c>
      <c r="U280" s="294" t="s">
        <v>31</v>
      </c>
      <c r="V280" s="203" t="n">
        <v>43709</v>
      </c>
      <c r="W280" s="1" t="s">
        <v>5243</v>
      </c>
      <c r="X280" s="1"/>
    </row>
    <row r="281" s="151" customFormat="true" ht="12.8" hidden="false" customHeight="false" outlineLevel="0" collapsed="false">
      <c r="A281" s="1"/>
      <c r="B281" s="1" t="n">
        <v>13569</v>
      </c>
      <c r="C281" s="3" t="n">
        <v>43445</v>
      </c>
      <c r="D281" s="171" t="s">
        <v>22</v>
      </c>
      <c r="E281" s="8" t="s">
        <v>5216</v>
      </c>
      <c r="F281" s="1" t="s">
        <v>5217</v>
      </c>
      <c r="G281" s="2" t="n">
        <v>4</v>
      </c>
      <c r="H281" s="2" t="n">
        <v>13</v>
      </c>
      <c r="I281" s="2" t="n">
        <v>3</v>
      </c>
      <c r="J281" s="276" t="n">
        <v>74.76</v>
      </c>
      <c r="K281" s="6" t="n">
        <v>845536.53</v>
      </c>
      <c r="L281" s="6" t="n">
        <f aca="false">K281/J281</f>
        <v>11310.0124398074</v>
      </c>
      <c r="M281" s="264" t="s">
        <v>5246</v>
      </c>
      <c r="N281" s="6"/>
      <c r="O281" s="6" t="n">
        <f aca="false">K281+N281</f>
        <v>845536.53</v>
      </c>
      <c r="P281" s="166" t="n">
        <f aca="false">O281/J281</f>
        <v>11310.0124398074</v>
      </c>
      <c r="Q281" s="295"/>
      <c r="R281" s="2" t="s">
        <v>5225</v>
      </c>
      <c r="S281" s="5" t="s">
        <v>29</v>
      </c>
      <c r="T281" s="5" t="s">
        <v>1915</v>
      </c>
      <c r="U281" s="294" t="s">
        <v>31</v>
      </c>
      <c r="V281" s="203" t="n">
        <v>43709</v>
      </c>
      <c r="W281" s="1" t="s">
        <v>5220</v>
      </c>
      <c r="X281" s="1"/>
    </row>
    <row r="282" s="151" customFormat="true" ht="12.8" hidden="false" customHeight="false" outlineLevel="0" collapsed="false">
      <c r="A282" s="1"/>
      <c r="B282" s="1" t="n">
        <v>13562</v>
      </c>
      <c r="C282" s="3" t="n">
        <v>43445</v>
      </c>
      <c r="D282" s="171" t="s">
        <v>22</v>
      </c>
      <c r="E282" s="8" t="s">
        <v>5216</v>
      </c>
      <c r="F282" s="1" t="s">
        <v>5217</v>
      </c>
      <c r="G282" s="2" t="n">
        <v>4</v>
      </c>
      <c r="H282" s="2" t="n">
        <v>7</v>
      </c>
      <c r="I282" s="2" t="n">
        <v>2</v>
      </c>
      <c r="J282" s="276" t="n">
        <v>74.54</v>
      </c>
      <c r="K282" s="6" t="n">
        <v>744195.24</v>
      </c>
      <c r="L282" s="6" t="n">
        <f aca="false">K282/J282</f>
        <v>9983.83740273678</v>
      </c>
      <c r="M282" s="264" t="s">
        <v>5236</v>
      </c>
      <c r="N282" s="6"/>
      <c r="O282" s="6" t="n">
        <f aca="false">K282+N282</f>
        <v>744195.24</v>
      </c>
      <c r="P282" s="166" t="n">
        <f aca="false">O282/J282</f>
        <v>9983.83740273678</v>
      </c>
      <c r="Q282" s="295"/>
      <c r="R282" s="2" t="s">
        <v>5247</v>
      </c>
      <c r="S282" s="5" t="s">
        <v>29</v>
      </c>
      <c r="T282" s="5" t="s">
        <v>1915</v>
      </c>
      <c r="U282" s="294" t="s">
        <v>31</v>
      </c>
      <c r="V282" s="203" t="n">
        <v>43709</v>
      </c>
      <c r="W282" s="1" t="s">
        <v>5220</v>
      </c>
      <c r="X282" s="1"/>
    </row>
    <row r="283" s="151" customFormat="true" ht="12.8" hidden="false" customHeight="false" outlineLevel="0" collapsed="false">
      <c r="A283" s="1"/>
      <c r="B283" s="1" t="n">
        <v>13498</v>
      </c>
      <c r="C283" s="3" t="n">
        <v>43445</v>
      </c>
      <c r="D283" s="171" t="s">
        <v>22</v>
      </c>
      <c r="E283" s="8" t="s">
        <v>5216</v>
      </c>
      <c r="F283" s="1" t="s">
        <v>5248</v>
      </c>
      <c r="G283" s="2" t="n">
        <v>4</v>
      </c>
      <c r="H283" s="2" t="n">
        <v>15</v>
      </c>
      <c r="I283" s="2" t="n">
        <v>3</v>
      </c>
      <c r="J283" s="276" t="n">
        <v>57.81</v>
      </c>
      <c r="K283" s="6" t="n">
        <v>679298.55</v>
      </c>
      <c r="L283" s="6" t="n">
        <f aca="false">K283/J283</f>
        <v>11750.5371043072</v>
      </c>
      <c r="M283" s="264" t="s">
        <v>5249</v>
      </c>
      <c r="N283" s="6"/>
      <c r="O283" s="6" t="n">
        <f aca="false">K283+N283</f>
        <v>679298.55</v>
      </c>
      <c r="P283" s="166" t="n">
        <f aca="false">O283/J283</f>
        <v>11750.5371043072</v>
      </c>
      <c r="Q283" s="295"/>
      <c r="R283" s="2" t="s">
        <v>5250</v>
      </c>
      <c r="S283" s="5" t="s">
        <v>29</v>
      </c>
      <c r="T283" s="5" t="s">
        <v>1915</v>
      </c>
      <c r="U283" s="294" t="s">
        <v>31</v>
      </c>
      <c r="V283" s="203" t="n">
        <v>43709</v>
      </c>
      <c r="W283" s="1" t="s">
        <v>5220</v>
      </c>
      <c r="X283" s="1"/>
    </row>
    <row r="284" s="151" customFormat="true" ht="12.8" hidden="false" customHeight="false" outlineLevel="0" collapsed="false">
      <c r="A284" s="1"/>
      <c r="B284" s="1" t="n">
        <v>9951</v>
      </c>
      <c r="C284" s="3" t="n">
        <v>43445</v>
      </c>
      <c r="D284" s="171" t="s">
        <v>22</v>
      </c>
      <c r="E284" s="222" t="s">
        <v>350</v>
      </c>
      <c r="F284" s="1" t="s">
        <v>351</v>
      </c>
      <c r="G284" s="2" t="n">
        <v>3</v>
      </c>
      <c r="H284" s="2" t="s">
        <v>4590</v>
      </c>
      <c r="I284" s="2" t="n">
        <v>1</v>
      </c>
      <c r="J284" s="276" t="n">
        <v>147.83</v>
      </c>
      <c r="K284" s="6" t="n">
        <v>2460000</v>
      </c>
      <c r="L284" s="6" t="n">
        <f aca="false">K284/J284</f>
        <v>16640.7359805182</v>
      </c>
      <c r="M284" s="264"/>
      <c r="N284" s="6"/>
      <c r="O284" s="6" t="n">
        <f aca="false">K284+N284</f>
        <v>2460000</v>
      </c>
      <c r="P284" s="166" t="n">
        <f aca="false">O284/J284</f>
        <v>16640.7359805182</v>
      </c>
      <c r="Q284" s="295"/>
      <c r="R284" s="2"/>
      <c r="S284" s="5" t="s">
        <v>29</v>
      </c>
      <c r="T284" s="5" t="s">
        <v>1915</v>
      </c>
      <c r="U284" s="294" t="s">
        <v>31</v>
      </c>
      <c r="V284" s="203" t="n">
        <v>43709</v>
      </c>
      <c r="W284" s="1" t="s">
        <v>4946</v>
      </c>
      <c r="X284" s="1" t="s">
        <v>5251</v>
      </c>
    </row>
    <row r="285" s="151" customFormat="true" ht="12.8" hidden="false" customHeight="false" outlineLevel="0" collapsed="false">
      <c r="A285" s="1"/>
      <c r="B285" s="1" t="n">
        <v>17569</v>
      </c>
      <c r="C285" s="3" t="n">
        <v>43446</v>
      </c>
      <c r="D285" s="171" t="s">
        <v>22</v>
      </c>
      <c r="E285" s="8" t="s">
        <v>717</v>
      </c>
      <c r="F285" s="1" t="s">
        <v>5101</v>
      </c>
      <c r="G285" s="2" t="s">
        <v>5230</v>
      </c>
      <c r="H285" s="2" t="n">
        <v>41</v>
      </c>
      <c r="I285" s="2" t="n">
        <v>3</v>
      </c>
      <c r="J285" s="276" t="n">
        <v>117.34</v>
      </c>
      <c r="K285" s="6" t="n">
        <v>1106620.21</v>
      </c>
      <c r="L285" s="166" t="n">
        <f aca="false">K285/J285</f>
        <v>9430.88639850008</v>
      </c>
      <c r="M285" s="264" t="s">
        <v>5252</v>
      </c>
      <c r="N285" s="6" t="n">
        <v>12300.1</v>
      </c>
      <c r="O285" s="163" t="n">
        <f aca="false">K285+N285</f>
        <v>1118920.31</v>
      </c>
      <c r="P285" s="163" t="n">
        <f aca="false">O285/J285</f>
        <v>9535.71084029317</v>
      </c>
      <c r="Q285" s="295" t="s">
        <v>5253</v>
      </c>
      <c r="R285" s="2" t="n">
        <v>4</v>
      </c>
      <c r="S285" s="169" t="s">
        <v>29</v>
      </c>
      <c r="T285" s="158" t="s">
        <v>1915</v>
      </c>
      <c r="U285" s="164" t="s">
        <v>31</v>
      </c>
      <c r="V285" s="35" t="s">
        <v>1916</v>
      </c>
      <c r="W285" s="1" t="s">
        <v>5232</v>
      </c>
      <c r="X285" s="1"/>
    </row>
    <row r="286" s="151" customFormat="true" ht="12.8" hidden="false" customHeight="false" outlineLevel="0" collapsed="false">
      <c r="A286" s="1"/>
      <c r="B286" s="1" t="n">
        <v>9593</v>
      </c>
      <c r="C286" s="3" t="n">
        <v>43446</v>
      </c>
      <c r="D286" s="171" t="s">
        <v>22</v>
      </c>
      <c r="E286" s="8" t="s">
        <v>2258</v>
      </c>
      <c r="F286" s="1" t="s">
        <v>5254</v>
      </c>
      <c r="G286" s="2" t="n">
        <v>2</v>
      </c>
      <c r="H286" s="2" t="n">
        <v>1</v>
      </c>
      <c r="I286" s="2" t="n">
        <v>1</v>
      </c>
      <c r="J286" s="276" t="n">
        <v>117.93</v>
      </c>
      <c r="K286" s="6" t="n">
        <v>1121754</v>
      </c>
      <c r="L286" s="6" t="n">
        <f aca="false">K286/J286</f>
        <v>9512.03256168914</v>
      </c>
      <c r="M286" s="264" t="s">
        <v>5255</v>
      </c>
      <c r="N286" s="6"/>
      <c r="O286" s="6" t="n">
        <f aca="false">K286+N286</f>
        <v>1121754</v>
      </c>
      <c r="P286" s="166" t="n">
        <f aca="false">O286/J286</f>
        <v>9512.03256168914</v>
      </c>
      <c r="Q286" s="295"/>
      <c r="R286" s="2" t="s">
        <v>5256</v>
      </c>
      <c r="S286" s="5" t="s">
        <v>29</v>
      </c>
      <c r="T286" s="5" t="s">
        <v>1915</v>
      </c>
      <c r="U286" s="294" t="s">
        <v>31</v>
      </c>
      <c r="V286" s="203" t="n">
        <v>43709</v>
      </c>
      <c r="W286" s="1" t="s">
        <v>5257</v>
      </c>
      <c r="X286" s="1"/>
    </row>
    <row r="287" s="151" customFormat="true" ht="12.8" hidden="false" customHeight="false" outlineLevel="0" collapsed="false">
      <c r="A287" s="1"/>
      <c r="B287" s="1" t="n">
        <v>5876</v>
      </c>
      <c r="C287" s="3" t="n">
        <v>43446</v>
      </c>
      <c r="D287" s="171" t="s">
        <v>22</v>
      </c>
      <c r="E287" s="8" t="s">
        <v>203</v>
      </c>
      <c r="F287" s="1" t="s">
        <v>1209</v>
      </c>
      <c r="G287" s="2" t="n">
        <v>214</v>
      </c>
      <c r="H287" s="2" t="n">
        <v>190</v>
      </c>
      <c r="I287" s="2" t="n">
        <v>7</v>
      </c>
      <c r="J287" s="276" t="n">
        <v>80.16</v>
      </c>
      <c r="K287" s="6" t="n">
        <v>682212.52</v>
      </c>
      <c r="L287" s="6" t="n">
        <f aca="false">K287/J287</f>
        <v>8510.63522954092</v>
      </c>
      <c r="M287" s="264" t="s">
        <v>5258</v>
      </c>
      <c r="N287" s="6" t="n">
        <v>59905.12</v>
      </c>
      <c r="O287" s="6" t="n">
        <f aca="false">K287+N287</f>
        <v>742117.64</v>
      </c>
      <c r="P287" s="166" t="n">
        <f aca="false">O287/J287</f>
        <v>9257.95459081837</v>
      </c>
      <c r="Q287" s="295"/>
      <c r="R287" s="2" t="s">
        <v>5259</v>
      </c>
      <c r="S287" s="5" t="s">
        <v>29</v>
      </c>
      <c r="T287" s="5" t="s">
        <v>1915</v>
      </c>
      <c r="U287" s="294" t="s">
        <v>31</v>
      </c>
      <c r="V287" s="203" t="n">
        <v>43709</v>
      </c>
      <c r="W287" s="1" t="s">
        <v>5229</v>
      </c>
      <c r="X287" s="1"/>
    </row>
    <row r="288" s="151" customFormat="true" ht="12.8" hidden="false" customHeight="false" outlineLevel="0" collapsed="false">
      <c r="A288" s="1"/>
      <c r="B288" s="1" t="n">
        <v>9636</v>
      </c>
      <c r="C288" s="3" t="n">
        <v>43447</v>
      </c>
      <c r="D288" s="171" t="s">
        <v>22</v>
      </c>
      <c r="E288" s="8" t="s">
        <v>2258</v>
      </c>
      <c r="F288" s="1" t="s">
        <v>5254</v>
      </c>
      <c r="G288" s="2" t="n">
        <v>2</v>
      </c>
      <c r="H288" s="2" t="n">
        <v>10</v>
      </c>
      <c r="I288" s="2" t="n">
        <v>2</v>
      </c>
      <c r="J288" s="276" t="n">
        <v>85.67</v>
      </c>
      <c r="K288" s="6" t="n">
        <v>829877</v>
      </c>
      <c r="L288" s="6" t="n">
        <f aca="false">K288/J288</f>
        <v>9686.90323333722</v>
      </c>
      <c r="M288" s="264" t="s">
        <v>5236</v>
      </c>
      <c r="N288" s="6"/>
      <c r="O288" s="6" t="n">
        <f aca="false">K288+N288</f>
        <v>829877</v>
      </c>
      <c r="P288" s="166" t="n">
        <f aca="false">O288/J288</f>
        <v>9686.90323333722</v>
      </c>
      <c r="Q288" s="295"/>
      <c r="R288" s="2" t="s">
        <v>5260</v>
      </c>
      <c r="S288" s="5" t="s">
        <v>29</v>
      </c>
      <c r="T288" s="5" t="s">
        <v>1915</v>
      </c>
      <c r="U288" s="294" t="s">
        <v>31</v>
      </c>
      <c r="V288" s="203" t="n">
        <v>43709</v>
      </c>
      <c r="W288" s="1" t="s">
        <v>5257</v>
      </c>
      <c r="X288" s="1"/>
    </row>
    <row r="289" s="151" customFormat="true" ht="12.8" hidden="false" customHeight="false" outlineLevel="0" collapsed="false">
      <c r="A289" s="1"/>
      <c r="B289" s="1" t="n">
        <v>9647</v>
      </c>
      <c r="C289" s="3" t="n">
        <v>43447</v>
      </c>
      <c r="D289" s="171" t="s">
        <v>22</v>
      </c>
      <c r="E289" s="8" t="s">
        <v>2258</v>
      </c>
      <c r="F289" s="1" t="s">
        <v>5254</v>
      </c>
      <c r="G289" s="2" t="n">
        <v>2</v>
      </c>
      <c r="H289" s="2" t="n">
        <v>12</v>
      </c>
      <c r="I289" s="2" t="n">
        <v>2</v>
      </c>
      <c r="J289" s="276" t="n">
        <v>57.36</v>
      </c>
      <c r="K289" s="6" t="n">
        <v>588420.11</v>
      </c>
      <c r="L289" s="6" t="n">
        <f aca="false">K289/J289</f>
        <v>10258.3701185495</v>
      </c>
      <c r="M289" s="264" t="s">
        <v>5236</v>
      </c>
      <c r="N289" s="6"/>
      <c r="O289" s="6" t="n">
        <f aca="false">K289+N289</f>
        <v>588420.11</v>
      </c>
      <c r="P289" s="166" t="n">
        <f aca="false">O289/J289</f>
        <v>10258.3701185495</v>
      </c>
      <c r="Q289" s="295"/>
      <c r="R289" s="2" t="s">
        <v>5228</v>
      </c>
      <c r="S289" s="5" t="s">
        <v>29</v>
      </c>
      <c r="T289" s="5" t="s">
        <v>1915</v>
      </c>
      <c r="U289" s="294" t="s">
        <v>31</v>
      </c>
      <c r="V289" s="203" t="n">
        <v>43709</v>
      </c>
      <c r="W289" s="1" t="s">
        <v>5257</v>
      </c>
      <c r="X289" s="1"/>
    </row>
    <row r="290" s="151" customFormat="true" ht="12.8" hidden="false" customHeight="false" outlineLevel="0" collapsed="false">
      <c r="A290" s="1"/>
      <c r="B290" s="1" t="n">
        <v>5940</v>
      </c>
      <c r="C290" s="3" t="n">
        <v>43447</v>
      </c>
      <c r="D290" s="171" t="s">
        <v>22</v>
      </c>
      <c r="E290" s="8" t="s">
        <v>203</v>
      </c>
      <c r="F290" s="1" t="s">
        <v>1209</v>
      </c>
      <c r="G290" s="2" t="s">
        <v>5227</v>
      </c>
      <c r="H290" s="2" t="n">
        <v>136</v>
      </c>
      <c r="I290" s="2" t="n">
        <v>2</v>
      </c>
      <c r="J290" s="276" t="n">
        <v>74.21</v>
      </c>
      <c r="K290" s="6" t="n">
        <v>653751.47</v>
      </c>
      <c r="L290" s="6" t="n">
        <f aca="false">K290/J290</f>
        <v>8809.47945020887</v>
      </c>
      <c r="M290" s="264" t="s">
        <v>5236</v>
      </c>
      <c r="N290" s="6" t="n">
        <v>27389.43</v>
      </c>
      <c r="O290" s="6" t="n">
        <f aca="false">K290+N290</f>
        <v>681140.9</v>
      </c>
      <c r="P290" s="166" t="n">
        <f aca="false">O290/J290</f>
        <v>9178.55949332974</v>
      </c>
      <c r="Q290" s="295"/>
      <c r="R290" s="2" t="s">
        <v>5225</v>
      </c>
      <c r="S290" s="5" t="s">
        <v>29</v>
      </c>
      <c r="T290" s="5" t="s">
        <v>1915</v>
      </c>
      <c r="U290" s="294" t="s">
        <v>31</v>
      </c>
      <c r="V290" s="203" t="n">
        <v>43709</v>
      </c>
      <c r="W290" s="1" t="s">
        <v>5229</v>
      </c>
      <c r="X290" s="1"/>
    </row>
    <row r="291" s="151" customFormat="true" ht="12.8" hidden="false" customHeight="false" outlineLevel="0" collapsed="false">
      <c r="A291" s="1"/>
      <c r="B291" s="1" t="n">
        <v>5884</v>
      </c>
      <c r="C291" s="3" t="n">
        <v>43447</v>
      </c>
      <c r="D291" s="171" t="s">
        <v>22</v>
      </c>
      <c r="E291" s="8" t="s">
        <v>203</v>
      </c>
      <c r="F291" s="1" t="s">
        <v>1209</v>
      </c>
      <c r="G291" s="2" t="s">
        <v>5227</v>
      </c>
      <c r="H291" s="2" t="n">
        <v>41</v>
      </c>
      <c r="I291" s="2" t="n">
        <v>2</v>
      </c>
      <c r="J291" s="276" t="n">
        <v>60.98</v>
      </c>
      <c r="K291" s="6" t="n">
        <v>559744.64</v>
      </c>
      <c r="L291" s="6" t="n">
        <f aca="false">K291/J291</f>
        <v>9179.15119711381</v>
      </c>
      <c r="M291" s="264" t="s">
        <v>987</v>
      </c>
      <c r="N291" s="6"/>
      <c r="O291" s="6" t="n">
        <f aca="false">K291+N291</f>
        <v>559744.64</v>
      </c>
      <c r="P291" s="166" t="n">
        <f aca="false">O291/J291</f>
        <v>9179.15119711381</v>
      </c>
      <c r="Q291" s="295"/>
      <c r="R291" s="2" t="s">
        <v>5225</v>
      </c>
      <c r="S291" s="5" t="s">
        <v>29</v>
      </c>
      <c r="T291" s="5" t="s">
        <v>1915</v>
      </c>
      <c r="U291" s="294" t="s">
        <v>31</v>
      </c>
      <c r="V291" s="203" t="n">
        <v>43709</v>
      </c>
      <c r="W291" s="1" t="s">
        <v>5229</v>
      </c>
      <c r="X291" s="1"/>
    </row>
    <row r="292" s="151" customFormat="true" ht="12.8" hidden="false" customHeight="false" outlineLevel="0" collapsed="false">
      <c r="A292" s="1"/>
      <c r="B292" s="1" t="n">
        <v>5908</v>
      </c>
      <c r="C292" s="3" t="n">
        <v>43447</v>
      </c>
      <c r="D292" s="171" t="s">
        <v>22</v>
      </c>
      <c r="E292" s="8" t="s">
        <v>203</v>
      </c>
      <c r="F292" s="1" t="s">
        <v>1209</v>
      </c>
      <c r="G292" s="2" t="s">
        <v>5227</v>
      </c>
      <c r="H292" s="2" t="n">
        <v>42</v>
      </c>
      <c r="I292" s="2" t="n">
        <v>2</v>
      </c>
      <c r="J292" s="276" t="n">
        <v>52.46</v>
      </c>
      <c r="K292" s="6" t="n">
        <v>514555.37</v>
      </c>
      <c r="L292" s="6" t="n">
        <f aca="false">K292/J292</f>
        <v>9808.52783072817</v>
      </c>
      <c r="M292" s="264" t="s">
        <v>5261</v>
      </c>
      <c r="N292" s="6"/>
      <c r="O292" s="6" t="n">
        <f aca="false">K292+N292</f>
        <v>514555.37</v>
      </c>
      <c r="P292" s="166" t="n">
        <f aca="false">O292/J292</f>
        <v>9808.52783072817</v>
      </c>
      <c r="Q292" s="295"/>
      <c r="R292" s="2" t="s">
        <v>5262</v>
      </c>
      <c r="S292" s="5" t="s">
        <v>29</v>
      </c>
      <c r="T292" s="5" t="s">
        <v>1915</v>
      </c>
      <c r="U292" s="294" t="s">
        <v>31</v>
      </c>
      <c r="V292" s="203" t="n">
        <v>43709</v>
      </c>
      <c r="W292" s="1" t="s">
        <v>5229</v>
      </c>
      <c r="X292" s="1"/>
    </row>
    <row r="293" s="151" customFormat="true" ht="12.8" hidden="false" customHeight="false" outlineLevel="0" collapsed="false">
      <c r="A293" s="1"/>
      <c r="B293" s="1" t="n">
        <v>5932</v>
      </c>
      <c r="C293" s="3" t="n">
        <v>43447</v>
      </c>
      <c r="D293" s="171" t="s">
        <v>22</v>
      </c>
      <c r="E293" s="8" t="s">
        <v>203</v>
      </c>
      <c r="F293" s="1" t="s">
        <v>1209</v>
      </c>
      <c r="G293" s="2" t="s">
        <v>5227</v>
      </c>
      <c r="H293" s="2" t="n">
        <v>105</v>
      </c>
      <c r="I293" s="2" t="n">
        <v>7</v>
      </c>
      <c r="J293" s="276" t="n">
        <v>101.27</v>
      </c>
      <c r="K293" s="300" t="n">
        <v>0</v>
      </c>
      <c r="L293" s="6" t="n">
        <f aca="false">K293/J293</f>
        <v>0</v>
      </c>
      <c r="M293" s="264" t="s">
        <v>5263</v>
      </c>
      <c r="N293" s="6"/>
      <c r="O293" s="6" t="n">
        <f aca="false">K293+N293</f>
        <v>0</v>
      </c>
      <c r="P293" s="166" t="n">
        <f aca="false">O293/J293</f>
        <v>0</v>
      </c>
      <c r="Q293" s="295"/>
      <c r="R293" s="2" t="s">
        <v>5264</v>
      </c>
      <c r="S293" s="5" t="s">
        <v>29</v>
      </c>
      <c r="T293" s="5" t="s">
        <v>1915</v>
      </c>
      <c r="U293" s="294" t="s">
        <v>31</v>
      </c>
      <c r="V293" s="203" t="n">
        <v>43709</v>
      </c>
      <c r="W293" s="1" t="s">
        <v>5229</v>
      </c>
      <c r="X293" s="1" t="s">
        <v>5226</v>
      </c>
    </row>
    <row r="294" s="151" customFormat="true" ht="12.8" hidden="false" customHeight="false" outlineLevel="0" collapsed="false">
      <c r="A294" s="1"/>
      <c r="B294" s="1" t="n">
        <v>5916</v>
      </c>
      <c r="C294" s="3" t="n">
        <v>43447</v>
      </c>
      <c r="D294" s="171" t="s">
        <v>22</v>
      </c>
      <c r="E294" s="8" t="s">
        <v>203</v>
      </c>
      <c r="F294" s="1" t="s">
        <v>1209</v>
      </c>
      <c r="G294" s="2" t="s">
        <v>5227</v>
      </c>
      <c r="H294" s="2" t="n">
        <v>187</v>
      </c>
      <c r="I294" s="2" t="n">
        <v>6</v>
      </c>
      <c r="J294" s="276" t="n">
        <v>80.21</v>
      </c>
      <c r="K294" s="6" t="n">
        <v>827159.24</v>
      </c>
      <c r="L294" s="6" t="n">
        <f aca="false">K294/J294</f>
        <v>10312.4203964593</v>
      </c>
      <c r="M294" s="264" t="s">
        <v>5236</v>
      </c>
      <c r="N294" s="6" t="n">
        <v>28746</v>
      </c>
      <c r="O294" s="6" t="n">
        <f aca="false">K294+N294</f>
        <v>855905.24</v>
      </c>
      <c r="P294" s="166" t="n">
        <f aca="false">O294/J294</f>
        <v>10670.8046378257</v>
      </c>
      <c r="Q294" s="295"/>
      <c r="R294" s="2" t="s">
        <v>5265</v>
      </c>
      <c r="S294" s="5" t="s">
        <v>29</v>
      </c>
      <c r="T294" s="5" t="s">
        <v>1915</v>
      </c>
      <c r="U294" s="294" t="s">
        <v>31</v>
      </c>
      <c r="V294" s="203" t="n">
        <v>43709</v>
      </c>
      <c r="W294" s="1" t="s">
        <v>5229</v>
      </c>
      <c r="X294" s="1"/>
    </row>
    <row r="295" s="151" customFormat="true" ht="12.8" hidden="false" customHeight="false" outlineLevel="0" collapsed="false">
      <c r="A295" s="1"/>
      <c r="B295" s="1" t="n">
        <v>5892</v>
      </c>
      <c r="C295" s="3" t="n">
        <v>43447</v>
      </c>
      <c r="D295" s="171" t="s">
        <v>22</v>
      </c>
      <c r="E295" s="8" t="s">
        <v>203</v>
      </c>
      <c r="F295" s="1" t="s">
        <v>1209</v>
      </c>
      <c r="G295" s="2" t="s">
        <v>5227</v>
      </c>
      <c r="H295" s="2" t="n">
        <v>182</v>
      </c>
      <c r="I295" s="2" t="n">
        <v>5</v>
      </c>
      <c r="J295" s="276" t="n">
        <v>86.91</v>
      </c>
      <c r="K295" s="6" t="n">
        <v>830442.1</v>
      </c>
      <c r="L295" s="6" t="n">
        <f aca="false">K295/J295</f>
        <v>9555.19617995628</v>
      </c>
      <c r="M295" s="264" t="s">
        <v>5266</v>
      </c>
      <c r="N295" s="6" t="n">
        <v>49234</v>
      </c>
      <c r="O295" s="6" t="n">
        <f aca="false">K295+N295</f>
        <v>879676.1</v>
      </c>
      <c r="P295" s="166" t="n">
        <f aca="false">O295/J295</f>
        <v>10121.690254286</v>
      </c>
      <c r="Q295" s="295"/>
      <c r="R295" s="2" t="s">
        <v>5237</v>
      </c>
      <c r="S295" s="5" t="s">
        <v>29</v>
      </c>
      <c r="T295" s="5" t="s">
        <v>1915</v>
      </c>
      <c r="U295" s="294" t="s">
        <v>31</v>
      </c>
      <c r="V295" s="203" t="n">
        <v>43709</v>
      </c>
      <c r="W295" s="1" t="s">
        <v>5229</v>
      </c>
      <c r="X295" s="1"/>
    </row>
    <row r="296" s="151" customFormat="true" ht="12.8" hidden="false" customHeight="false" outlineLevel="0" collapsed="false">
      <c r="A296" s="1"/>
      <c r="B296" s="1" t="n">
        <v>5900</v>
      </c>
      <c r="C296" s="3" t="n">
        <v>43447</v>
      </c>
      <c r="D296" s="171" t="s">
        <v>22</v>
      </c>
      <c r="E296" s="8" t="s">
        <v>203</v>
      </c>
      <c r="F296" s="1" t="s">
        <v>1209</v>
      </c>
      <c r="G296" s="2" t="s">
        <v>5227</v>
      </c>
      <c r="H296" s="2" t="n">
        <v>173</v>
      </c>
      <c r="I296" s="2" t="n">
        <v>2</v>
      </c>
      <c r="J296" s="276" t="n">
        <v>86.91</v>
      </c>
      <c r="K296" s="6" t="n">
        <v>820190.28</v>
      </c>
      <c r="L296" s="6" t="n">
        <f aca="false">K296/J296</f>
        <v>9437.2371418709</v>
      </c>
      <c r="M296" s="264" t="s">
        <v>5267</v>
      </c>
      <c r="N296" s="6" t="n">
        <v>64892</v>
      </c>
      <c r="O296" s="6" t="n">
        <f aca="false">K296+N296</f>
        <v>885082.28</v>
      </c>
      <c r="P296" s="166" t="n">
        <f aca="false">O296/J296</f>
        <v>10183.8946036129</v>
      </c>
      <c r="Q296" s="295"/>
      <c r="R296" s="2" t="s">
        <v>5237</v>
      </c>
      <c r="S296" s="5" t="s">
        <v>29</v>
      </c>
      <c r="T296" s="5" t="s">
        <v>1915</v>
      </c>
      <c r="U296" s="294" t="s">
        <v>31</v>
      </c>
      <c r="V296" s="203" t="n">
        <v>43709</v>
      </c>
      <c r="W296" s="1" t="s">
        <v>5229</v>
      </c>
      <c r="X296" s="1"/>
    </row>
    <row r="297" s="151" customFormat="true" ht="12.8" hidden="false" customHeight="false" outlineLevel="0" collapsed="false">
      <c r="A297" s="1"/>
      <c r="B297" s="1" t="n">
        <v>5948</v>
      </c>
      <c r="C297" s="3" t="n">
        <v>43447</v>
      </c>
      <c r="D297" s="171" t="s">
        <v>22</v>
      </c>
      <c r="E297" s="8" t="s">
        <v>203</v>
      </c>
      <c r="F297" s="1" t="s">
        <v>1209</v>
      </c>
      <c r="G297" s="2" t="s">
        <v>5227</v>
      </c>
      <c r="H297" s="2" t="n">
        <v>111</v>
      </c>
      <c r="I297" s="2" t="n">
        <v>3</v>
      </c>
      <c r="J297" s="276" t="n">
        <v>74.63</v>
      </c>
      <c r="K297" s="6" t="n">
        <v>680684.8</v>
      </c>
      <c r="L297" s="6" t="n">
        <f aca="false">K297/J297</f>
        <v>9120.79324668364</v>
      </c>
      <c r="M297" s="264" t="s">
        <v>5236</v>
      </c>
      <c r="N297" s="6" t="n">
        <v>28246</v>
      </c>
      <c r="O297" s="6" t="n">
        <f aca="false">K297+N297</f>
        <v>708930.8</v>
      </c>
      <c r="P297" s="166" t="n">
        <f aca="false">O297/J297</f>
        <v>9499.27375050248</v>
      </c>
      <c r="Q297" s="295"/>
      <c r="R297" s="2" t="s">
        <v>5259</v>
      </c>
      <c r="S297" s="5" t="s">
        <v>29</v>
      </c>
      <c r="T297" s="5" t="s">
        <v>1915</v>
      </c>
      <c r="U297" s="294" t="s">
        <v>31</v>
      </c>
      <c r="V297" s="203" t="n">
        <v>43709</v>
      </c>
      <c r="W297" s="1" t="s">
        <v>5229</v>
      </c>
      <c r="X297" s="1"/>
    </row>
    <row r="298" s="151" customFormat="true" ht="12.8" hidden="false" customHeight="false" outlineLevel="0" collapsed="false">
      <c r="A298" s="1"/>
      <c r="B298" s="1" t="n">
        <v>9984</v>
      </c>
      <c r="C298" s="3" t="n">
        <v>43447</v>
      </c>
      <c r="D298" s="171" t="s">
        <v>22</v>
      </c>
      <c r="E298" s="8" t="s">
        <v>623</v>
      </c>
      <c r="F298" s="1" t="s">
        <v>272</v>
      </c>
      <c r="G298" s="2" t="s">
        <v>3113</v>
      </c>
      <c r="H298" s="2" t="n">
        <v>11</v>
      </c>
      <c r="I298" s="2" t="n">
        <v>4</v>
      </c>
      <c r="J298" s="276" t="n">
        <v>115.8</v>
      </c>
      <c r="K298" s="6" t="n">
        <v>801120</v>
      </c>
      <c r="L298" s="6" t="n">
        <f aca="false">K298/J298</f>
        <v>6918.13471502591</v>
      </c>
      <c r="M298" s="264" t="s">
        <v>5236</v>
      </c>
      <c r="N298" s="6"/>
      <c r="O298" s="6" t="n">
        <f aca="false">K298+N298</f>
        <v>801120</v>
      </c>
      <c r="P298" s="166" t="n">
        <f aca="false">O298/J298</f>
        <v>6918.13471502591</v>
      </c>
      <c r="Q298" s="295"/>
      <c r="R298" s="2" t="s">
        <v>5268</v>
      </c>
      <c r="S298" s="5" t="s">
        <v>29</v>
      </c>
      <c r="T298" s="5" t="s">
        <v>1915</v>
      </c>
      <c r="U298" s="294" t="s">
        <v>31</v>
      </c>
      <c r="V298" s="203" t="n">
        <v>43709</v>
      </c>
      <c r="W298" s="1" t="s">
        <v>4944</v>
      </c>
      <c r="X298" s="1"/>
    </row>
    <row r="299" s="151" customFormat="true" ht="12.8" hidden="false" customHeight="false" outlineLevel="0" collapsed="false">
      <c r="A299" s="1"/>
      <c r="B299" s="1" t="n">
        <v>4328</v>
      </c>
      <c r="C299" s="3" t="n">
        <v>43448</v>
      </c>
      <c r="D299" s="171" t="s">
        <v>22</v>
      </c>
      <c r="E299" s="5" t="s">
        <v>140</v>
      </c>
      <c r="F299" s="1" t="s">
        <v>138</v>
      </c>
      <c r="G299" s="2" t="s">
        <v>2218</v>
      </c>
      <c r="H299" s="2" t="n">
        <v>7</v>
      </c>
      <c r="I299" s="2" t="n">
        <v>5</v>
      </c>
      <c r="J299" s="276" t="n">
        <v>82.44</v>
      </c>
      <c r="K299" s="6" t="n">
        <v>655352.37</v>
      </c>
      <c r="L299" s="6" t="n">
        <f aca="false">K299/J299</f>
        <v>7949.44650655022</v>
      </c>
      <c r="M299" s="264" t="s">
        <v>5269</v>
      </c>
      <c r="N299" s="6" t="n">
        <v>63235</v>
      </c>
      <c r="O299" s="6" t="n">
        <f aca="false">K299+N299</f>
        <v>718587.37</v>
      </c>
      <c r="P299" s="166" t="n">
        <f aca="false">O299/J299</f>
        <v>8716.48920426977</v>
      </c>
      <c r="Q299" s="295"/>
      <c r="R299" s="2" t="s">
        <v>1932</v>
      </c>
      <c r="S299" s="5" t="s">
        <v>29</v>
      </c>
      <c r="T299" s="5" t="s">
        <v>1915</v>
      </c>
      <c r="U299" s="294" t="s">
        <v>31</v>
      </c>
      <c r="V299" s="203" t="n">
        <v>43709</v>
      </c>
      <c r="W299" s="1" t="s">
        <v>5195</v>
      </c>
      <c r="X299" s="1"/>
    </row>
    <row r="300" s="151" customFormat="true" ht="12.8" hidden="false" customHeight="false" outlineLevel="0" collapsed="false">
      <c r="A300" s="1"/>
      <c r="B300" s="1" t="n">
        <v>6817</v>
      </c>
      <c r="C300" s="3" t="n">
        <v>43448</v>
      </c>
      <c r="D300" s="171" t="s">
        <v>22</v>
      </c>
      <c r="E300" s="5" t="s">
        <v>140</v>
      </c>
      <c r="F300" s="1" t="s">
        <v>138</v>
      </c>
      <c r="G300" s="2" t="s">
        <v>4239</v>
      </c>
      <c r="H300" s="2" t="n">
        <v>21</v>
      </c>
      <c r="I300" s="2" t="n">
        <v>5</v>
      </c>
      <c r="J300" s="276" t="n">
        <v>47.85</v>
      </c>
      <c r="K300" s="6" t="n">
        <v>491359.51</v>
      </c>
      <c r="L300" s="6" t="n">
        <f aca="false">K300/J300</f>
        <v>10268.7462904911</v>
      </c>
      <c r="M300" s="264" t="s">
        <v>5236</v>
      </c>
      <c r="N300" s="6" t="n">
        <v>56350</v>
      </c>
      <c r="O300" s="6" t="n">
        <f aca="false">K300+N300</f>
        <v>547709.51</v>
      </c>
      <c r="P300" s="166" t="n">
        <f aca="false">O300/J300</f>
        <v>11446.3847439916</v>
      </c>
      <c r="Q300" s="295"/>
      <c r="R300" s="2" t="s">
        <v>5270</v>
      </c>
      <c r="S300" s="5" t="s">
        <v>29</v>
      </c>
      <c r="T300" s="5" t="s">
        <v>1915</v>
      </c>
      <c r="U300" s="294" t="s">
        <v>31</v>
      </c>
      <c r="V300" s="203" t="n">
        <v>43709</v>
      </c>
      <c r="W300" s="1" t="s">
        <v>5195</v>
      </c>
      <c r="X300" s="1"/>
    </row>
    <row r="301" s="151" customFormat="true" ht="12.8" hidden="false" customHeight="false" outlineLevel="0" collapsed="false">
      <c r="A301" s="1"/>
      <c r="B301" s="1" t="n">
        <v>6824</v>
      </c>
      <c r="C301" s="3" t="n">
        <v>43448</v>
      </c>
      <c r="D301" s="171" t="s">
        <v>22</v>
      </c>
      <c r="E301" s="5" t="s">
        <v>140</v>
      </c>
      <c r="F301" s="1" t="s">
        <v>138</v>
      </c>
      <c r="G301" s="2" t="s">
        <v>4239</v>
      </c>
      <c r="H301" s="2" t="n">
        <v>18</v>
      </c>
      <c r="I301" s="2" t="n">
        <v>4</v>
      </c>
      <c r="J301" s="276" t="n">
        <v>50.02</v>
      </c>
      <c r="K301" s="6" t="n">
        <v>501344</v>
      </c>
      <c r="L301" s="6" t="n">
        <f aca="false">K301/J301</f>
        <v>10022.8708516593</v>
      </c>
      <c r="M301" s="264" t="s">
        <v>5236</v>
      </c>
      <c r="N301" s="6" t="n">
        <v>35000</v>
      </c>
      <c r="O301" s="6" t="n">
        <f aca="false">K301+N301</f>
        <v>536344</v>
      </c>
      <c r="P301" s="166" t="n">
        <f aca="false">O301/J301</f>
        <v>10722.5909636146</v>
      </c>
      <c r="Q301" s="295"/>
      <c r="R301" s="2" t="s">
        <v>5228</v>
      </c>
      <c r="S301" s="5" t="s">
        <v>29</v>
      </c>
      <c r="T301" s="5" t="s">
        <v>1915</v>
      </c>
      <c r="U301" s="294" t="s">
        <v>31</v>
      </c>
      <c r="V301" s="203" t="n">
        <v>43709</v>
      </c>
      <c r="W301" s="1" t="s">
        <v>5243</v>
      </c>
      <c r="X301" s="1"/>
    </row>
    <row r="302" s="151" customFormat="true" ht="12.8" hidden="false" customHeight="false" outlineLevel="0" collapsed="false">
      <c r="A302" s="1"/>
      <c r="B302" s="1" t="n">
        <v>10035</v>
      </c>
      <c r="C302" s="3" t="n">
        <v>43448</v>
      </c>
      <c r="D302" s="171" t="s">
        <v>22</v>
      </c>
      <c r="E302" s="8" t="s">
        <v>433</v>
      </c>
      <c r="F302" s="1" t="s">
        <v>434</v>
      </c>
      <c r="G302" s="2" t="n">
        <v>7</v>
      </c>
      <c r="H302" s="2" t="n">
        <v>4</v>
      </c>
      <c r="I302" s="2" t="n">
        <v>2</v>
      </c>
      <c r="J302" s="276" t="n">
        <v>57.27</v>
      </c>
      <c r="K302" s="6" t="n">
        <v>406939.43</v>
      </c>
      <c r="L302" s="6" t="n">
        <f aca="false">K302/J302</f>
        <v>7105.62999825389</v>
      </c>
      <c r="M302" s="264" t="s">
        <v>5271</v>
      </c>
      <c r="N302" s="6" t="n">
        <v>33000</v>
      </c>
      <c r="O302" s="6" t="n">
        <f aca="false">K302+N302</f>
        <v>439939.43</v>
      </c>
      <c r="P302" s="166" t="n">
        <f aca="false">O302/J302</f>
        <v>7681.8479133927</v>
      </c>
      <c r="Q302" s="295" t="s">
        <v>1140</v>
      </c>
      <c r="R302" s="2" t="s">
        <v>5272</v>
      </c>
      <c r="S302" s="5" t="s">
        <v>29</v>
      </c>
      <c r="T302" s="5" t="s">
        <v>1915</v>
      </c>
      <c r="U302" s="294" t="s">
        <v>31</v>
      </c>
      <c r="V302" s="203" t="n">
        <v>43709</v>
      </c>
      <c r="W302" s="1" t="s">
        <v>4933</v>
      </c>
      <c r="X302" s="1"/>
    </row>
    <row r="303" s="151" customFormat="true" ht="12.8" hidden="false" customHeight="false" outlineLevel="0" collapsed="false">
      <c r="A303" s="1"/>
      <c r="B303" s="1" t="n">
        <v>9750</v>
      </c>
      <c r="C303" s="3" t="n">
        <v>43448</v>
      </c>
      <c r="D303" s="171" t="s">
        <v>22</v>
      </c>
      <c r="E303" s="8" t="s">
        <v>2258</v>
      </c>
      <c r="F303" s="1" t="s">
        <v>5254</v>
      </c>
      <c r="G303" s="2" t="n">
        <v>2</v>
      </c>
      <c r="H303" s="2" t="n">
        <v>16</v>
      </c>
      <c r="I303" s="2" t="n">
        <v>2</v>
      </c>
      <c r="J303" s="276" t="n">
        <v>63.76</v>
      </c>
      <c r="K303" s="6" t="n">
        <v>613000</v>
      </c>
      <c r="L303" s="6" t="n">
        <f aca="false">K303/J303</f>
        <v>9614.17816813049</v>
      </c>
      <c r="M303" s="264"/>
      <c r="N303" s="6"/>
      <c r="O303" s="6" t="n">
        <f aca="false">K303+N303</f>
        <v>613000</v>
      </c>
      <c r="P303" s="166" t="n">
        <f aca="false">O303/J303</f>
        <v>9614.17816813049</v>
      </c>
      <c r="Q303" s="295"/>
      <c r="R303" s="2" t="s">
        <v>5225</v>
      </c>
      <c r="S303" s="5" t="s">
        <v>29</v>
      </c>
      <c r="T303" s="5" t="s">
        <v>1915</v>
      </c>
      <c r="U303" s="294" t="s">
        <v>31</v>
      </c>
      <c r="V303" s="203" t="n">
        <v>43709</v>
      </c>
      <c r="W303" s="1" t="s">
        <v>5257</v>
      </c>
      <c r="X303" s="1"/>
    </row>
    <row r="304" s="151" customFormat="true" ht="12.8" hidden="false" customHeight="false" outlineLevel="0" collapsed="false">
      <c r="A304" s="1"/>
      <c r="B304" s="1" t="n">
        <v>9736</v>
      </c>
      <c r="C304" s="3" t="n">
        <v>43448</v>
      </c>
      <c r="D304" s="171" t="s">
        <v>22</v>
      </c>
      <c r="E304" s="8" t="s">
        <v>2258</v>
      </c>
      <c r="F304" s="1" t="s">
        <v>5254</v>
      </c>
      <c r="G304" s="2" t="n">
        <v>2</v>
      </c>
      <c r="H304" s="2" t="n">
        <v>15</v>
      </c>
      <c r="I304" s="2" t="n">
        <v>2</v>
      </c>
      <c r="J304" s="276" t="n">
        <v>64.32</v>
      </c>
      <c r="K304" s="6" t="n">
        <v>630962</v>
      </c>
      <c r="L304" s="6" t="n">
        <f aca="false">K304/J304</f>
        <v>9809.73258706468</v>
      </c>
      <c r="M304" s="264" t="s">
        <v>5236</v>
      </c>
      <c r="N304" s="6"/>
      <c r="O304" s="6" t="n">
        <f aca="false">K304+N304</f>
        <v>630962</v>
      </c>
      <c r="P304" s="166" t="n">
        <f aca="false">O304/J304</f>
        <v>9809.73258706468</v>
      </c>
      <c r="Q304" s="295"/>
      <c r="R304" s="2" t="s">
        <v>5273</v>
      </c>
      <c r="S304" s="5" t="s">
        <v>29</v>
      </c>
      <c r="T304" s="5" t="s">
        <v>1915</v>
      </c>
      <c r="U304" s="294" t="s">
        <v>31</v>
      </c>
      <c r="V304" s="203" t="n">
        <v>43709</v>
      </c>
      <c r="W304" s="1" t="s">
        <v>5257</v>
      </c>
      <c r="X304" s="1"/>
    </row>
    <row r="305" s="151" customFormat="true" ht="12.8" hidden="false" customHeight="false" outlineLevel="0" collapsed="false">
      <c r="A305" s="1"/>
      <c r="B305" s="1" t="n">
        <v>9762</v>
      </c>
      <c r="C305" s="3" t="n">
        <v>43448</v>
      </c>
      <c r="D305" s="171" t="s">
        <v>22</v>
      </c>
      <c r="E305" s="222" t="s">
        <v>407</v>
      </c>
      <c r="F305" s="1" t="s">
        <v>4919</v>
      </c>
      <c r="G305" s="2" t="n">
        <v>6</v>
      </c>
      <c r="H305" s="301" t="s">
        <v>5274</v>
      </c>
      <c r="I305" s="2" t="s">
        <v>3899</v>
      </c>
      <c r="J305" s="276" t="n">
        <v>168.05</v>
      </c>
      <c r="K305" s="6" t="n">
        <v>1595447</v>
      </c>
      <c r="L305" s="6" t="n">
        <f aca="false">K305/J305</f>
        <v>9493.88277298423</v>
      </c>
      <c r="M305" s="264" t="s">
        <v>5275</v>
      </c>
      <c r="N305" s="6"/>
      <c r="O305" s="6" t="n">
        <f aca="false">K305+N305</f>
        <v>1595447</v>
      </c>
      <c r="P305" s="166" t="n">
        <f aca="false">O305/J305</f>
        <v>9493.88277298423</v>
      </c>
      <c r="Q305" s="295"/>
      <c r="R305" s="2" t="s">
        <v>5276</v>
      </c>
      <c r="S305" s="5" t="s">
        <v>29</v>
      </c>
      <c r="T305" s="5" t="s">
        <v>1915</v>
      </c>
      <c r="U305" s="294" t="s">
        <v>31</v>
      </c>
      <c r="V305" s="203" t="n">
        <v>43709</v>
      </c>
      <c r="W305" s="1" t="s">
        <v>5017</v>
      </c>
      <c r="X305" s="1" t="s">
        <v>5277</v>
      </c>
    </row>
    <row r="306" s="151" customFormat="true" ht="12.8" hidden="false" customHeight="false" outlineLevel="0" collapsed="false">
      <c r="A306" s="1"/>
      <c r="B306" s="1" t="n">
        <v>5965</v>
      </c>
      <c r="C306" s="3" t="n">
        <v>43448</v>
      </c>
      <c r="D306" s="171" t="s">
        <v>22</v>
      </c>
      <c r="E306" s="8" t="s">
        <v>203</v>
      </c>
      <c r="F306" s="1" t="s">
        <v>1209</v>
      </c>
      <c r="G306" s="2" t="s">
        <v>5227</v>
      </c>
      <c r="H306" s="2" t="n">
        <v>161</v>
      </c>
      <c r="I306" s="2" t="n">
        <v>3</v>
      </c>
      <c r="J306" s="276" t="n">
        <v>123.1</v>
      </c>
      <c r="K306" s="6" t="n">
        <v>1220880</v>
      </c>
      <c r="L306" s="6" t="n">
        <f aca="false">K306/J306</f>
        <v>9917.79041429732</v>
      </c>
      <c r="M306" s="264" t="s">
        <v>5233</v>
      </c>
      <c r="N306" s="6" t="n">
        <v>31600</v>
      </c>
      <c r="O306" s="6" t="n">
        <f aca="false">K306+N306</f>
        <v>1252480</v>
      </c>
      <c r="P306" s="166" t="n">
        <f aca="false">O306/J306</f>
        <v>10174.492282697</v>
      </c>
      <c r="Q306" s="295"/>
      <c r="R306" s="2" t="s">
        <v>5278</v>
      </c>
      <c r="S306" s="5" t="s">
        <v>29</v>
      </c>
      <c r="T306" s="5" t="s">
        <v>1915</v>
      </c>
      <c r="U306" s="294" t="s">
        <v>31</v>
      </c>
      <c r="V306" s="203" t="n">
        <v>43709</v>
      </c>
      <c r="W306" s="1" t="s">
        <v>5229</v>
      </c>
      <c r="X306" s="1"/>
    </row>
    <row r="307" s="151" customFormat="true" ht="12.8" hidden="false" customHeight="false" outlineLevel="0" collapsed="false">
      <c r="A307" s="1"/>
      <c r="B307" s="1" t="n">
        <v>5981</v>
      </c>
      <c r="C307" s="3" t="n">
        <v>43448</v>
      </c>
      <c r="D307" s="171" t="s">
        <v>22</v>
      </c>
      <c r="E307" s="8" t="s">
        <v>203</v>
      </c>
      <c r="F307" s="1" t="s">
        <v>1209</v>
      </c>
      <c r="G307" s="2" t="s">
        <v>5227</v>
      </c>
      <c r="H307" s="2" t="n">
        <v>22</v>
      </c>
      <c r="I307" s="2" t="n">
        <v>6</v>
      </c>
      <c r="J307" s="276" t="n">
        <v>77.05</v>
      </c>
      <c r="K307" s="6" t="n">
        <v>550000</v>
      </c>
      <c r="L307" s="6" t="n">
        <f aca="false">K307/J307</f>
        <v>7138.22193380922</v>
      </c>
      <c r="M307" s="264" t="s">
        <v>5236</v>
      </c>
      <c r="N307" s="6"/>
      <c r="O307" s="6" t="n">
        <f aca="false">K307+N307</f>
        <v>550000</v>
      </c>
      <c r="P307" s="166" t="n">
        <f aca="false">O307/J307</f>
        <v>7138.22193380922</v>
      </c>
      <c r="Q307" s="295"/>
      <c r="R307" s="2" t="s">
        <v>5279</v>
      </c>
      <c r="S307" s="5" t="s">
        <v>29</v>
      </c>
      <c r="T307" s="5" t="s">
        <v>1915</v>
      </c>
      <c r="U307" s="294" t="s">
        <v>31</v>
      </c>
      <c r="V307" s="203" t="n">
        <v>43709</v>
      </c>
      <c r="W307" s="1" t="s">
        <v>5229</v>
      </c>
      <c r="X307" s="1"/>
    </row>
    <row r="308" s="151" customFormat="true" ht="12.8" hidden="false" customHeight="false" outlineLevel="0" collapsed="false">
      <c r="A308" s="1"/>
      <c r="B308" s="1" t="n">
        <v>5973</v>
      </c>
      <c r="C308" s="3" t="n">
        <v>43448</v>
      </c>
      <c r="D308" s="171" t="s">
        <v>22</v>
      </c>
      <c r="E308" s="8" t="s">
        <v>203</v>
      </c>
      <c r="F308" s="1" t="s">
        <v>1209</v>
      </c>
      <c r="G308" s="2" t="s">
        <v>5227</v>
      </c>
      <c r="H308" s="2" t="n">
        <v>36</v>
      </c>
      <c r="I308" s="2" t="n">
        <v>1</v>
      </c>
      <c r="J308" s="276" t="n">
        <v>52.47</v>
      </c>
      <c r="K308" s="6" t="n">
        <v>524354</v>
      </c>
      <c r="L308" s="6" t="n">
        <f aca="false">K308/J308</f>
        <v>9993.40575566991</v>
      </c>
      <c r="M308" s="264" t="s">
        <v>5236</v>
      </c>
      <c r="N308" s="6" t="n">
        <v>37000</v>
      </c>
      <c r="O308" s="6" t="n">
        <f aca="false">K308+N308</f>
        <v>561354</v>
      </c>
      <c r="P308" s="166" t="n">
        <f aca="false">O308/J308</f>
        <v>10698.5706117782</v>
      </c>
      <c r="Q308" s="295"/>
      <c r="R308" s="2" t="s">
        <v>5280</v>
      </c>
      <c r="S308" s="5" t="s">
        <v>29</v>
      </c>
      <c r="T308" s="5" t="s">
        <v>1915</v>
      </c>
      <c r="U308" s="294" t="s">
        <v>31</v>
      </c>
      <c r="V308" s="203" t="n">
        <v>43709</v>
      </c>
      <c r="W308" s="1" t="s">
        <v>5229</v>
      </c>
      <c r="X308" s="1"/>
    </row>
    <row r="309" s="151" customFormat="true" ht="12.8" hidden="false" customHeight="false" outlineLevel="0" collapsed="false">
      <c r="A309" s="1"/>
      <c r="B309" s="1" t="n">
        <v>10058</v>
      </c>
      <c r="C309" s="3" t="n">
        <v>43451</v>
      </c>
      <c r="D309" s="171" t="s">
        <v>22</v>
      </c>
      <c r="E309" s="8" t="s">
        <v>433</v>
      </c>
      <c r="F309" s="1" t="s">
        <v>434</v>
      </c>
      <c r="G309" s="2" t="n">
        <v>7</v>
      </c>
      <c r="H309" s="2" t="n">
        <v>63</v>
      </c>
      <c r="I309" s="2" t="n">
        <v>2</v>
      </c>
      <c r="J309" s="276" t="n">
        <v>69.22</v>
      </c>
      <c r="K309" s="6" t="n">
        <v>585000</v>
      </c>
      <c r="L309" s="6" t="n">
        <f aca="false">K309/J309</f>
        <v>8451.31464894539</v>
      </c>
      <c r="M309" s="264" t="s">
        <v>987</v>
      </c>
      <c r="N309" s="6" t="n">
        <v>28000</v>
      </c>
      <c r="O309" s="6" t="n">
        <f aca="false">K309+N309</f>
        <v>613000</v>
      </c>
      <c r="P309" s="166" t="n">
        <f aca="false">O309/J309</f>
        <v>8855.82201675816</v>
      </c>
      <c r="Q309" s="295"/>
      <c r="R309" s="2" t="s">
        <v>5281</v>
      </c>
      <c r="S309" s="5" t="s">
        <v>29</v>
      </c>
      <c r="T309" s="5" t="s">
        <v>1915</v>
      </c>
      <c r="U309" s="294" t="s">
        <v>31</v>
      </c>
      <c r="V309" s="203" t="n">
        <v>43709</v>
      </c>
      <c r="W309" s="1" t="s">
        <v>4933</v>
      </c>
      <c r="X309" s="1"/>
    </row>
    <row r="310" s="151" customFormat="true" ht="12.8" hidden="false" customHeight="false" outlineLevel="0" collapsed="false">
      <c r="A310" s="1"/>
      <c r="B310" s="1" t="n">
        <v>9805</v>
      </c>
      <c r="C310" s="3" t="n">
        <v>43451</v>
      </c>
      <c r="D310" s="171" t="s">
        <v>22</v>
      </c>
      <c r="E310" s="8" t="s">
        <v>2258</v>
      </c>
      <c r="F310" s="1" t="s">
        <v>5254</v>
      </c>
      <c r="G310" s="2" t="n">
        <v>2</v>
      </c>
      <c r="H310" s="2" t="n">
        <v>3</v>
      </c>
      <c r="I310" s="2" t="n">
        <v>1</v>
      </c>
      <c r="J310" s="276" t="n">
        <v>56.75</v>
      </c>
      <c r="K310" s="6" t="n">
        <v>574877</v>
      </c>
      <c r="L310" s="6" t="n">
        <f aca="false">K310/J310</f>
        <v>10129.9911894273</v>
      </c>
      <c r="M310" s="264" t="s">
        <v>5282</v>
      </c>
      <c r="N310" s="6"/>
      <c r="O310" s="6" t="n">
        <f aca="false">K310+N310</f>
        <v>574877</v>
      </c>
      <c r="P310" s="166" t="n">
        <f aca="false">O310/J310</f>
        <v>10129.9911894273</v>
      </c>
      <c r="Q310" s="295"/>
      <c r="R310" s="2" t="s">
        <v>5283</v>
      </c>
      <c r="S310" s="5" t="s">
        <v>29</v>
      </c>
      <c r="T310" s="5" t="s">
        <v>1915</v>
      </c>
      <c r="U310" s="294" t="s">
        <v>31</v>
      </c>
      <c r="V310" s="203" t="n">
        <v>43709</v>
      </c>
      <c r="W310" s="1" t="s">
        <v>5257</v>
      </c>
      <c r="X310" s="1"/>
    </row>
    <row r="311" s="151" customFormat="true" ht="12.8" hidden="false" customHeight="false" outlineLevel="0" collapsed="false">
      <c r="A311" s="1"/>
      <c r="B311" s="1" t="n">
        <v>9838</v>
      </c>
      <c r="C311" s="3" t="n">
        <v>43451</v>
      </c>
      <c r="D311" s="171" t="s">
        <v>22</v>
      </c>
      <c r="E311" s="8" t="s">
        <v>2258</v>
      </c>
      <c r="F311" s="1" t="s">
        <v>5254</v>
      </c>
      <c r="G311" s="2" t="n">
        <v>2</v>
      </c>
      <c r="H311" s="2" t="n">
        <v>21</v>
      </c>
      <c r="I311" s="2" t="n">
        <v>3</v>
      </c>
      <c r="J311" s="276" t="n">
        <v>115.67</v>
      </c>
      <c r="K311" s="6" t="n">
        <v>1197986.22</v>
      </c>
      <c r="L311" s="6" t="n">
        <f aca="false">K311/J311</f>
        <v>10356.9310970865</v>
      </c>
      <c r="M311" s="264" t="s">
        <v>5233</v>
      </c>
      <c r="N311" s="6"/>
      <c r="O311" s="6" t="n">
        <f aca="false">K311+N311</f>
        <v>1197986.22</v>
      </c>
      <c r="P311" s="166" t="n">
        <f aca="false">O311/J311</f>
        <v>10356.9310970865</v>
      </c>
      <c r="Q311" s="295"/>
      <c r="R311" s="2" t="s">
        <v>5284</v>
      </c>
      <c r="S311" s="5" t="s">
        <v>29</v>
      </c>
      <c r="T311" s="5" t="s">
        <v>1915</v>
      </c>
      <c r="U311" s="294" t="s">
        <v>31</v>
      </c>
      <c r="V311" s="203" t="n">
        <v>43709</v>
      </c>
      <c r="W311" s="1" t="s">
        <v>5257</v>
      </c>
      <c r="X311" s="1"/>
    </row>
    <row r="312" s="151" customFormat="true" ht="12.8" hidden="false" customHeight="false" outlineLevel="0" collapsed="false">
      <c r="A312" s="1"/>
      <c r="B312" s="1" t="n">
        <v>9828</v>
      </c>
      <c r="C312" s="3" t="n">
        <v>43451</v>
      </c>
      <c r="D312" s="171" t="s">
        <v>22</v>
      </c>
      <c r="E312" s="8" t="s">
        <v>2258</v>
      </c>
      <c r="F312" s="1" t="s">
        <v>5254</v>
      </c>
      <c r="G312" s="2" t="n">
        <v>2</v>
      </c>
      <c r="H312" s="2" t="n">
        <v>13</v>
      </c>
      <c r="I312" s="2" t="n">
        <v>2</v>
      </c>
      <c r="J312" s="276" t="n">
        <v>59.01</v>
      </c>
      <c r="K312" s="300" t="n">
        <v>0</v>
      </c>
      <c r="L312" s="6" t="n">
        <f aca="false">K312/J312</f>
        <v>0</v>
      </c>
      <c r="M312" s="264" t="s">
        <v>987</v>
      </c>
      <c r="N312" s="6"/>
      <c r="O312" s="6" t="n">
        <f aca="false">K312+N312</f>
        <v>0</v>
      </c>
      <c r="P312" s="166" t="n">
        <f aca="false">O312/J312</f>
        <v>0</v>
      </c>
      <c r="Q312" s="295"/>
      <c r="R312" s="2" t="s">
        <v>5228</v>
      </c>
      <c r="S312" s="5" t="s">
        <v>29</v>
      </c>
      <c r="T312" s="5" t="s">
        <v>1915</v>
      </c>
      <c r="U312" s="294" t="s">
        <v>31</v>
      </c>
      <c r="V312" s="203" t="n">
        <v>43709</v>
      </c>
      <c r="W312" s="1" t="s">
        <v>5257</v>
      </c>
      <c r="X312" s="1" t="s">
        <v>5226</v>
      </c>
    </row>
    <row r="313" s="151" customFormat="true" ht="12.8" hidden="false" customHeight="false" outlineLevel="0" collapsed="false">
      <c r="A313" s="1"/>
      <c r="B313" s="1" t="n">
        <v>10096</v>
      </c>
      <c r="C313" s="3" t="n">
        <v>43452</v>
      </c>
      <c r="D313" s="171" t="s">
        <v>22</v>
      </c>
      <c r="E313" s="8" t="s">
        <v>65</v>
      </c>
      <c r="F313" s="1" t="s">
        <v>764</v>
      </c>
      <c r="G313" s="2" t="n">
        <v>19</v>
      </c>
      <c r="H313" s="2" t="n">
        <v>23</v>
      </c>
      <c r="I313" s="2" t="n">
        <v>2</v>
      </c>
      <c r="J313" s="276" t="n">
        <v>39.81</v>
      </c>
      <c r="K313" s="6" t="n">
        <v>334404</v>
      </c>
      <c r="L313" s="6" t="n">
        <f aca="false">K313/J313</f>
        <v>8400</v>
      </c>
      <c r="M313" s="264" t="s">
        <v>5236</v>
      </c>
      <c r="N313" s="6" t="n">
        <v>52888</v>
      </c>
      <c r="O313" s="6" t="n">
        <f aca="false">K313+N313</f>
        <v>387292</v>
      </c>
      <c r="P313" s="166" t="n">
        <f aca="false">O313/J313</f>
        <v>9728.51042451645</v>
      </c>
      <c r="Q313" s="295"/>
      <c r="R313" s="2" t="s">
        <v>5228</v>
      </c>
      <c r="S313" s="5" t="s">
        <v>29</v>
      </c>
      <c r="T313" s="5" t="s">
        <v>1915</v>
      </c>
      <c r="U313" s="294" t="s">
        <v>31</v>
      </c>
      <c r="V313" s="203" t="n">
        <v>43709</v>
      </c>
      <c r="W313" s="1" t="s">
        <v>4933</v>
      </c>
      <c r="X313" s="1" t="s">
        <v>5226</v>
      </c>
    </row>
    <row r="314" s="151" customFormat="true" ht="12.8" hidden="false" customHeight="false" outlineLevel="0" collapsed="false">
      <c r="A314" s="1"/>
      <c r="B314" s="1" t="n">
        <v>10103</v>
      </c>
      <c r="C314" s="3" t="n">
        <v>43452</v>
      </c>
      <c r="D314" s="171" t="s">
        <v>22</v>
      </c>
      <c r="E314" s="8" t="s">
        <v>65</v>
      </c>
      <c r="F314" s="1" t="s">
        <v>764</v>
      </c>
      <c r="G314" s="2" t="n">
        <v>19</v>
      </c>
      <c r="H314" s="2" t="n">
        <v>17</v>
      </c>
      <c r="I314" s="2" t="n">
        <v>7</v>
      </c>
      <c r="J314" s="276" t="n">
        <v>39.52</v>
      </c>
      <c r="K314" s="6" t="n">
        <v>355680</v>
      </c>
      <c r="L314" s="6" t="n">
        <f aca="false">K314/J314</f>
        <v>9000</v>
      </c>
      <c r="M314" s="264" t="s">
        <v>987</v>
      </c>
      <c r="N314" s="6" t="n">
        <v>36900</v>
      </c>
      <c r="O314" s="6" t="n">
        <f aca="false">K314+N314</f>
        <v>392580</v>
      </c>
      <c r="P314" s="166" t="n">
        <f aca="false">O314/J314</f>
        <v>9933.70445344129</v>
      </c>
      <c r="Q314" s="295"/>
      <c r="R314" s="2" t="s">
        <v>1224</v>
      </c>
      <c r="S314" s="5" t="s">
        <v>29</v>
      </c>
      <c r="T314" s="5" t="s">
        <v>1915</v>
      </c>
      <c r="U314" s="294" t="s">
        <v>31</v>
      </c>
      <c r="V314" s="203" t="n">
        <v>43709</v>
      </c>
      <c r="W314" s="1" t="s">
        <v>4933</v>
      </c>
      <c r="X314" s="1"/>
    </row>
    <row r="315" s="151" customFormat="true" ht="12.8" hidden="false" customHeight="false" outlineLevel="0" collapsed="false">
      <c r="A315" s="1"/>
      <c r="B315" s="1" t="n">
        <v>10120</v>
      </c>
      <c r="C315" s="3" t="n">
        <v>43452</v>
      </c>
      <c r="D315" s="171" t="s">
        <v>22</v>
      </c>
      <c r="E315" s="8" t="s">
        <v>65</v>
      </c>
      <c r="F315" s="1" t="s">
        <v>764</v>
      </c>
      <c r="G315" s="2" t="n">
        <v>19</v>
      </c>
      <c r="H315" s="2" t="n">
        <v>48</v>
      </c>
      <c r="I315" s="2" t="n">
        <v>2</v>
      </c>
      <c r="J315" s="276" t="n">
        <v>39.72</v>
      </c>
      <c r="K315" s="6" t="n">
        <v>325210.65</v>
      </c>
      <c r="L315" s="6" t="n">
        <f aca="false">K315/J315</f>
        <v>8187.57930513595</v>
      </c>
      <c r="M315" s="264" t="s">
        <v>987</v>
      </c>
      <c r="N315" s="6" t="n">
        <v>35000</v>
      </c>
      <c r="O315" s="6" t="n">
        <f aca="false">K315+N315</f>
        <v>360210.65</v>
      </c>
      <c r="P315" s="166" t="n">
        <f aca="false">O315/J315</f>
        <v>9068.74748237664</v>
      </c>
      <c r="Q315" s="295"/>
      <c r="R315" s="2" t="s">
        <v>5228</v>
      </c>
      <c r="S315" s="5" t="s">
        <v>29</v>
      </c>
      <c r="T315" s="5" t="s">
        <v>1915</v>
      </c>
      <c r="U315" s="294" t="s">
        <v>31</v>
      </c>
      <c r="V315" s="203" t="n">
        <v>43709</v>
      </c>
      <c r="W315" s="1" t="s">
        <v>4933</v>
      </c>
      <c r="X315" s="1"/>
    </row>
    <row r="316" s="151" customFormat="true" ht="12.8" hidden="false" customHeight="false" outlineLevel="0" collapsed="false">
      <c r="A316" s="1"/>
      <c r="B316" s="1" t="n">
        <v>9893</v>
      </c>
      <c r="C316" s="3" t="n">
        <v>43452</v>
      </c>
      <c r="D316" s="171" t="s">
        <v>22</v>
      </c>
      <c r="E316" s="8" t="s">
        <v>2258</v>
      </c>
      <c r="F316" s="1" t="s">
        <v>5254</v>
      </c>
      <c r="G316" s="2" t="n">
        <v>2</v>
      </c>
      <c r="H316" s="2" t="n">
        <v>17</v>
      </c>
      <c r="I316" s="2" t="n">
        <v>2</v>
      </c>
      <c r="J316" s="276" t="n">
        <v>56.26</v>
      </c>
      <c r="K316" s="6" t="n">
        <v>557877</v>
      </c>
      <c r="L316" s="6" t="n">
        <f aca="false">K316/J316</f>
        <v>9916.05047991468</v>
      </c>
      <c r="M316" s="264" t="s">
        <v>3302</v>
      </c>
      <c r="N316" s="6"/>
      <c r="O316" s="6" t="n">
        <f aca="false">K316+N316</f>
        <v>557877</v>
      </c>
      <c r="P316" s="166" t="n">
        <f aca="false">O316/J316</f>
        <v>9916.05047991468</v>
      </c>
      <c r="Q316" s="295"/>
      <c r="R316" s="2" t="s">
        <v>5228</v>
      </c>
      <c r="S316" s="5" t="s">
        <v>29</v>
      </c>
      <c r="T316" s="5" t="s">
        <v>1915</v>
      </c>
      <c r="U316" s="294" t="s">
        <v>31</v>
      </c>
      <c r="V316" s="203" t="n">
        <v>43709</v>
      </c>
      <c r="W316" s="1" t="s">
        <v>5257</v>
      </c>
      <c r="X316" s="1"/>
    </row>
    <row r="317" s="151" customFormat="true" ht="12.8" hidden="false" customHeight="false" outlineLevel="0" collapsed="false">
      <c r="A317" s="1"/>
      <c r="B317" s="1" t="n">
        <v>16729</v>
      </c>
      <c r="C317" s="3" t="n">
        <v>43453</v>
      </c>
      <c r="D317" s="171" t="s">
        <v>22</v>
      </c>
      <c r="E317" s="8" t="s">
        <v>5285</v>
      </c>
      <c r="F317" s="1" t="s">
        <v>5123</v>
      </c>
      <c r="G317" s="2" t="n">
        <v>15</v>
      </c>
      <c r="H317" s="2" t="n">
        <v>3</v>
      </c>
      <c r="I317" s="2" t="n">
        <v>1</v>
      </c>
      <c r="J317" s="276" t="n">
        <v>99.99</v>
      </c>
      <c r="K317" s="6" t="n">
        <v>1100000</v>
      </c>
      <c r="L317" s="6" t="n">
        <f aca="false">K317/J317</f>
        <v>11001.100110011</v>
      </c>
      <c r="M317" s="264" t="s">
        <v>987</v>
      </c>
      <c r="N317" s="6"/>
      <c r="O317" s="6" t="n">
        <f aca="false">K317+N317</f>
        <v>1100000</v>
      </c>
      <c r="P317" s="166" t="n">
        <f aca="false">O317/J317</f>
        <v>11001.100110011</v>
      </c>
      <c r="Q317" s="295"/>
      <c r="R317" s="2" t="s">
        <v>5286</v>
      </c>
      <c r="S317" s="5" t="s">
        <v>29</v>
      </c>
      <c r="T317" s="5" t="s">
        <v>1915</v>
      </c>
      <c r="U317" s="294" t="s">
        <v>31</v>
      </c>
      <c r="V317" s="203" t="n">
        <v>43709</v>
      </c>
      <c r="W317" s="1" t="s">
        <v>5125</v>
      </c>
      <c r="X317" s="1"/>
    </row>
    <row r="318" s="151" customFormat="true" ht="12.8" hidden="false" customHeight="false" outlineLevel="0" collapsed="false">
      <c r="A318" s="1"/>
      <c r="B318" s="1" t="n">
        <v>10237</v>
      </c>
      <c r="C318" s="3" t="n">
        <v>43453</v>
      </c>
      <c r="D318" s="171" t="s">
        <v>22</v>
      </c>
      <c r="E318" s="8" t="s">
        <v>65</v>
      </c>
      <c r="F318" s="1" t="s">
        <v>764</v>
      </c>
      <c r="G318" s="2" t="n">
        <v>19</v>
      </c>
      <c r="H318" s="2" t="n">
        <v>8</v>
      </c>
      <c r="I318" s="2" t="n">
        <v>4</v>
      </c>
      <c r="J318" s="276" t="n">
        <v>39.81</v>
      </c>
      <c r="K318" s="6" t="n">
        <v>335325</v>
      </c>
      <c r="L318" s="6" t="n">
        <f aca="false">K318/J318</f>
        <v>8423.13489073097</v>
      </c>
      <c r="M318" s="264" t="s">
        <v>5236</v>
      </c>
      <c r="N318" s="6" t="n">
        <v>35000</v>
      </c>
      <c r="O318" s="6" t="n">
        <f aca="false">K318+N318</f>
        <v>370325</v>
      </c>
      <c r="P318" s="166" t="n">
        <f aca="false">O318/J318</f>
        <v>9302.31097714142</v>
      </c>
      <c r="Q318" s="295"/>
      <c r="R318" s="2" t="s">
        <v>5228</v>
      </c>
      <c r="S318" s="5" t="s">
        <v>29</v>
      </c>
      <c r="T318" s="5" t="s">
        <v>1915</v>
      </c>
      <c r="U318" s="294" t="s">
        <v>31</v>
      </c>
      <c r="V318" s="203" t="n">
        <v>43709</v>
      </c>
      <c r="W318" s="1" t="s">
        <v>5287</v>
      </c>
      <c r="X318" s="1"/>
    </row>
    <row r="319" s="151" customFormat="true" ht="12.8" hidden="false" customHeight="false" outlineLevel="0" collapsed="false">
      <c r="A319" s="1"/>
      <c r="B319" s="1" t="n">
        <v>10236</v>
      </c>
      <c r="C319" s="3" t="n">
        <v>43453</v>
      </c>
      <c r="D319" s="171" t="s">
        <v>22</v>
      </c>
      <c r="E319" s="8" t="s">
        <v>65</v>
      </c>
      <c r="F319" s="1" t="s">
        <v>764</v>
      </c>
      <c r="G319" s="2" t="n">
        <v>19</v>
      </c>
      <c r="H319" s="2" t="n">
        <v>52</v>
      </c>
      <c r="I319" s="2" t="n">
        <v>3</v>
      </c>
      <c r="J319" s="276" t="n">
        <v>39.56</v>
      </c>
      <c r="K319" s="6" t="n">
        <v>330325.93</v>
      </c>
      <c r="L319" s="6" t="n">
        <f aca="false">K319/J319</f>
        <v>8349.99823053589</v>
      </c>
      <c r="M319" s="264" t="s">
        <v>5236</v>
      </c>
      <c r="N319" s="6" t="n">
        <v>41944</v>
      </c>
      <c r="O319" s="6" t="n">
        <f aca="false">K319+N319</f>
        <v>372269.93</v>
      </c>
      <c r="P319" s="166" t="n">
        <f aca="false">O319/J319</f>
        <v>9410.2611223458</v>
      </c>
      <c r="Q319" s="295"/>
      <c r="R319" s="2" t="s">
        <v>5228</v>
      </c>
      <c r="S319" s="5" t="s">
        <v>29</v>
      </c>
      <c r="T319" s="5" t="s">
        <v>1915</v>
      </c>
      <c r="U319" s="294" t="s">
        <v>31</v>
      </c>
      <c r="V319" s="203" t="n">
        <v>43709</v>
      </c>
      <c r="W319" s="1" t="s">
        <v>5287</v>
      </c>
      <c r="X319" s="1"/>
    </row>
    <row r="320" s="151" customFormat="true" ht="12.8" hidden="false" customHeight="false" outlineLevel="0" collapsed="false">
      <c r="A320" s="1"/>
      <c r="B320" s="1" t="n">
        <v>10243</v>
      </c>
      <c r="C320" s="3" t="n">
        <v>43453</v>
      </c>
      <c r="D320" s="171" t="s">
        <v>22</v>
      </c>
      <c r="E320" s="8" t="s">
        <v>65</v>
      </c>
      <c r="F320" s="1" t="s">
        <v>764</v>
      </c>
      <c r="G320" s="2" t="n">
        <v>19</v>
      </c>
      <c r="H320" s="2" t="n">
        <v>38</v>
      </c>
      <c r="I320" s="2" t="n">
        <v>6</v>
      </c>
      <c r="J320" s="276" t="n">
        <v>50.7</v>
      </c>
      <c r="K320" s="6" t="n">
        <v>434229.18</v>
      </c>
      <c r="L320" s="6" t="n">
        <f aca="false">K320/J320</f>
        <v>8564.67810650888</v>
      </c>
      <c r="M320" s="264" t="s">
        <v>3302</v>
      </c>
      <c r="N320" s="6" t="n">
        <v>15980</v>
      </c>
      <c r="O320" s="6" t="n">
        <f aca="false">K320+N320</f>
        <v>450209.18</v>
      </c>
      <c r="P320" s="166" t="n">
        <f aca="false">O320/J320</f>
        <v>8879.86548323471</v>
      </c>
      <c r="Q320" s="295"/>
      <c r="R320" s="2" t="s">
        <v>5283</v>
      </c>
      <c r="S320" s="5" t="s">
        <v>29</v>
      </c>
      <c r="T320" s="5" t="s">
        <v>1915</v>
      </c>
      <c r="U320" s="294" t="s">
        <v>31</v>
      </c>
      <c r="V320" s="203" t="n">
        <v>43709</v>
      </c>
      <c r="W320" s="1" t="s">
        <v>5287</v>
      </c>
      <c r="X320" s="1"/>
    </row>
    <row r="321" s="151" customFormat="true" ht="12.8" hidden="false" customHeight="false" outlineLevel="0" collapsed="false">
      <c r="A321" s="1"/>
      <c r="B321" s="1" t="n">
        <v>7818</v>
      </c>
      <c r="C321" s="3" t="n">
        <v>43453</v>
      </c>
      <c r="D321" s="171" t="s">
        <v>22</v>
      </c>
      <c r="E321" s="8" t="s">
        <v>4292</v>
      </c>
      <c r="F321" s="1" t="s">
        <v>5288</v>
      </c>
      <c r="G321" s="2" t="n">
        <v>16</v>
      </c>
      <c r="H321" s="2" t="n">
        <v>1</v>
      </c>
      <c r="I321" s="2" t="n">
        <v>1</v>
      </c>
      <c r="J321" s="276" t="n">
        <v>225.95</v>
      </c>
      <c r="K321" s="6" t="n">
        <v>3576042.33</v>
      </c>
      <c r="L321" s="6" t="n">
        <f aca="false">K321/J321</f>
        <v>15826.6976322195</v>
      </c>
      <c r="M321" s="264" t="s">
        <v>5236</v>
      </c>
      <c r="N321" s="6"/>
      <c r="O321" s="6" t="n">
        <f aca="false">K321+N321</f>
        <v>3576042.33</v>
      </c>
      <c r="P321" s="166" t="n">
        <f aca="false">O321/J321</f>
        <v>15826.6976322195</v>
      </c>
      <c r="Q321" s="295"/>
      <c r="R321" s="2" t="s">
        <v>5289</v>
      </c>
      <c r="S321" s="5" t="s">
        <v>29</v>
      </c>
      <c r="T321" s="5" t="s">
        <v>1915</v>
      </c>
      <c r="U321" s="294" t="s">
        <v>31</v>
      </c>
      <c r="V321" s="203" t="n">
        <v>43709</v>
      </c>
      <c r="W321" s="1" t="s">
        <v>4761</v>
      </c>
      <c r="X321" s="1" t="s">
        <v>5290</v>
      </c>
    </row>
    <row r="322" s="151" customFormat="true" ht="12.8" hidden="false" customHeight="false" outlineLevel="0" collapsed="false">
      <c r="A322" s="1"/>
      <c r="B322" s="1" t="n">
        <v>6409</v>
      </c>
      <c r="C322" s="3" t="n">
        <v>43453</v>
      </c>
      <c r="D322" s="171" t="s">
        <v>22</v>
      </c>
      <c r="E322" s="8" t="s">
        <v>433</v>
      </c>
      <c r="F322" s="1" t="s">
        <v>434</v>
      </c>
      <c r="G322" s="2" t="n">
        <v>7</v>
      </c>
      <c r="H322" s="2" t="n">
        <v>265</v>
      </c>
      <c r="I322" s="2" t="n">
        <v>1</v>
      </c>
      <c r="J322" s="276" t="n">
        <v>48.61</v>
      </c>
      <c r="K322" s="6" t="n">
        <v>394227.1</v>
      </c>
      <c r="L322" s="6" t="n">
        <f aca="false">K322/J322</f>
        <v>8110</v>
      </c>
      <c r="M322" s="264" t="s">
        <v>5291</v>
      </c>
      <c r="N322" s="6"/>
      <c r="O322" s="6" t="n">
        <f aca="false">K322+N322</f>
        <v>394227.1</v>
      </c>
      <c r="P322" s="166" t="n">
        <f aca="false">O322/J322</f>
        <v>8110</v>
      </c>
      <c r="Q322" s="295"/>
      <c r="R322" s="2" t="s">
        <v>5292</v>
      </c>
      <c r="S322" s="5" t="s">
        <v>29</v>
      </c>
      <c r="T322" s="5" t="s">
        <v>1915</v>
      </c>
      <c r="U322" s="294" t="s">
        <v>31</v>
      </c>
      <c r="V322" s="203" t="n">
        <v>43709</v>
      </c>
      <c r="W322" s="1" t="s">
        <v>4933</v>
      </c>
      <c r="X322" s="1"/>
    </row>
    <row r="323" s="151" customFormat="true" ht="12.8" hidden="false" customHeight="false" outlineLevel="0" collapsed="false">
      <c r="A323" s="1"/>
      <c r="B323" s="1" t="n">
        <v>6387</v>
      </c>
      <c r="C323" s="3" t="n">
        <v>43453</v>
      </c>
      <c r="D323" s="171" t="s">
        <v>22</v>
      </c>
      <c r="E323" s="8" t="s">
        <v>433</v>
      </c>
      <c r="F323" s="1" t="s">
        <v>434</v>
      </c>
      <c r="G323" s="2" t="n">
        <v>7</v>
      </c>
      <c r="H323" s="2" t="n">
        <v>255</v>
      </c>
      <c r="I323" s="2" t="n">
        <v>8</v>
      </c>
      <c r="J323" s="276" t="n">
        <v>69.07</v>
      </c>
      <c r="K323" s="300" t="n">
        <v>0</v>
      </c>
      <c r="L323" s="6" t="n">
        <f aca="false">K323/J323</f>
        <v>0</v>
      </c>
      <c r="M323" s="264"/>
      <c r="N323" s="6"/>
      <c r="O323" s="6" t="n">
        <f aca="false">K323+N323</f>
        <v>0</v>
      </c>
      <c r="P323" s="166" t="n">
        <f aca="false">O323/J323</f>
        <v>0</v>
      </c>
      <c r="Q323" s="295"/>
      <c r="R323" s="2" t="s">
        <v>5293</v>
      </c>
      <c r="S323" s="5" t="s">
        <v>29</v>
      </c>
      <c r="T323" s="5" t="s">
        <v>1915</v>
      </c>
      <c r="U323" s="294" t="s">
        <v>31</v>
      </c>
      <c r="V323" s="203" t="n">
        <v>43709</v>
      </c>
      <c r="W323" s="1" t="s">
        <v>4933</v>
      </c>
      <c r="X323" s="1"/>
    </row>
    <row r="324" s="151" customFormat="true" ht="12.8" hidden="false" customHeight="false" outlineLevel="0" collapsed="false">
      <c r="A324" s="1"/>
      <c r="B324" s="1" t="n">
        <v>18579</v>
      </c>
      <c r="C324" s="3" t="n">
        <v>43453</v>
      </c>
      <c r="D324" s="171" t="s">
        <v>22</v>
      </c>
      <c r="E324" s="5" t="s">
        <v>369</v>
      </c>
      <c r="F324" s="1" t="s">
        <v>46</v>
      </c>
      <c r="G324" s="2" t="n">
        <v>228</v>
      </c>
      <c r="H324" s="301" t="s">
        <v>5294</v>
      </c>
      <c r="I324" s="2" t="n">
        <v>1</v>
      </c>
      <c r="J324" s="276" t="n">
        <v>105.85</v>
      </c>
      <c r="K324" s="6" t="n">
        <v>934800</v>
      </c>
      <c r="L324" s="6" t="n">
        <f aca="false">K324/J324</f>
        <v>8831.36513934814</v>
      </c>
      <c r="M324" s="264" t="s">
        <v>987</v>
      </c>
      <c r="N324" s="6" t="n">
        <v>33210</v>
      </c>
      <c r="O324" s="6" t="n">
        <f aca="false">K324+N324</f>
        <v>968010</v>
      </c>
      <c r="P324" s="166" t="n">
        <f aca="false">O324/J324</f>
        <v>9145.11100614077</v>
      </c>
      <c r="Q324" s="295"/>
      <c r="R324" s="2"/>
      <c r="S324" s="5" t="s">
        <v>29</v>
      </c>
      <c r="T324" s="5" t="s">
        <v>1915</v>
      </c>
      <c r="U324" s="294" t="s">
        <v>31</v>
      </c>
      <c r="V324" s="203" t="n">
        <v>43709</v>
      </c>
      <c r="W324" s="1" t="s">
        <v>4783</v>
      </c>
      <c r="X324" s="1" t="s">
        <v>5251</v>
      </c>
    </row>
    <row r="325" s="151" customFormat="true" ht="12.8" hidden="false" customHeight="false" outlineLevel="0" collapsed="false">
      <c r="A325" s="1"/>
      <c r="B325" s="1" t="n">
        <v>10213</v>
      </c>
      <c r="C325" s="3" t="n">
        <v>43453</v>
      </c>
      <c r="D325" s="171" t="s">
        <v>22</v>
      </c>
      <c r="E325" s="8" t="s">
        <v>623</v>
      </c>
      <c r="F325" s="1" t="s">
        <v>272</v>
      </c>
      <c r="G325" s="2" t="s">
        <v>3113</v>
      </c>
      <c r="H325" s="2" t="n">
        <v>74</v>
      </c>
      <c r="I325" s="2" t="n">
        <v>13</v>
      </c>
      <c r="J325" s="276" t="n">
        <v>121.27</v>
      </c>
      <c r="K325" s="6" t="n">
        <v>1295847.34</v>
      </c>
      <c r="L325" s="6" t="n">
        <f aca="false">K325/J325</f>
        <v>10685.6381627773</v>
      </c>
      <c r="M325" s="264" t="s">
        <v>5295</v>
      </c>
      <c r="N325" s="6"/>
      <c r="O325" s="6" t="n">
        <f aca="false">K325+N325</f>
        <v>1295847.34</v>
      </c>
      <c r="P325" s="166" t="n">
        <f aca="false">O325/J325</f>
        <v>10685.6381627773</v>
      </c>
      <c r="Q325" s="295"/>
      <c r="R325" s="2" t="s">
        <v>5296</v>
      </c>
      <c r="S325" s="5" t="s">
        <v>29</v>
      </c>
      <c r="T325" s="5" t="s">
        <v>1915</v>
      </c>
      <c r="U325" s="294" t="s">
        <v>31</v>
      </c>
      <c r="V325" s="203" t="n">
        <v>43709</v>
      </c>
      <c r="W325" s="1" t="s">
        <v>4944</v>
      </c>
      <c r="X325" s="1"/>
    </row>
    <row r="326" s="151" customFormat="true" ht="12.8" hidden="false" customHeight="false" outlineLevel="0" collapsed="false">
      <c r="A326" s="1"/>
      <c r="B326" s="1" t="n">
        <v>10313</v>
      </c>
      <c r="C326" s="3" t="n">
        <v>43454</v>
      </c>
      <c r="D326" s="171" t="s">
        <v>22</v>
      </c>
      <c r="E326" s="8" t="s">
        <v>65</v>
      </c>
      <c r="F326" s="1" t="s">
        <v>764</v>
      </c>
      <c r="G326" s="2" t="n">
        <v>19</v>
      </c>
      <c r="H326" s="2" t="n">
        <v>2</v>
      </c>
      <c r="I326" s="2" t="n">
        <v>2</v>
      </c>
      <c r="J326" s="276" t="n">
        <v>39.79</v>
      </c>
      <c r="K326" s="6" t="n">
        <v>338215</v>
      </c>
      <c r="L326" s="166" t="n">
        <f aca="false">K326/J326</f>
        <v>8500</v>
      </c>
      <c r="M326" s="264" t="s">
        <v>5297</v>
      </c>
      <c r="N326" s="6" t="n">
        <v>32000</v>
      </c>
      <c r="O326" s="6" t="n">
        <f aca="false">K326+N326</f>
        <v>370215</v>
      </c>
      <c r="P326" s="166" t="n">
        <f aca="false">O326/J326</f>
        <v>9304.22216637346</v>
      </c>
      <c r="Q326" s="295"/>
      <c r="R326" s="2" t="s">
        <v>5228</v>
      </c>
      <c r="S326" s="5" t="s">
        <v>29</v>
      </c>
      <c r="T326" s="5" t="s">
        <v>1915</v>
      </c>
      <c r="U326" s="294" t="s">
        <v>31</v>
      </c>
      <c r="V326" s="203" t="n">
        <v>43709</v>
      </c>
      <c r="W326" s="1" t="s">
        <v>5287</v>
      </c>
      <c r="X326" s="1"/>
    </row>
    <row r="327" s="151" customFormat="true" ht="12.8" hidden="false" customHeight="false" outlineLevel="0" collapsed="false">
      <c r="A327" s="1"/>
      <c r="B327" s="1" t="n">
        <v>10328</v>
      </c>
      <c r="C327" s="3" t="n">
        <v>43454</v>
      </c>
      <c r="D327" s="171" t="s">
        <v>22</v>
      </c>
      <c r="E327" s="8" t="s">
        <v>65</v>
      </c>
      <c r="F327" s="1" t="s">
        <v>764</v>
      </c>
      <c r="G327" s="2" t="n">
        <v>19</v>
      </c>
      <c r="H327" s="2" t="n">
        <v>9</v>
      </c>
      <c r="I327" s="2" t="n">
        <v>4</v>
      </c>
      <c r="J327" s="276" t="n">
        <v>56.96</v>
      </c>
      <c r="K327" s="6" t="n">
        <v>483847.3</v>
      </c>
      <c r="L327" s="6" t="n">
        <f aca="false">K327/J327</f>
        <v>8494.51018258427</v>
      </c>
      <c r="M327" s="264" t="s">
        <v>987</v>
      </c>
      <c r="N327" s="6"/>
      <c r="O327" s="6" t="n">
        <f aca="false">K327+N327</f>
        <v>483847.3</v>
      </c>
      <c r="P327" s="166" t="n">
        <f aca="false">O327/J327</f>
        <v>8494.51018258427</v>
      </c>
      <c r="Q327" s="295"/>
      <c r="R327" s="301" t="s">
        <v>5239</v>
      </c>
      <c r="S327" s="5" t="s">
        <v>29</v>
      </c>
      <c r="T327" s="5" t="s">
        <v>1915</v>
      </c>
      <c r="U327" s="294" t="s">
        <v>31</v>
      </c>
      <c r="V327" s="203" t="n">
        <v>43709</v>
      </c>
      <c r="W327" s="1" t="s">
        <v>5287</v>
      </c>
      <c r="X327" s="1" t="s">
        <v>5298</v>
      </c>
    </row>
    <row r="328" s="151" customFormat="true" ht="12.8" hidden="false" customHeight="false" outlineLevel="0" collapsed="false">
      <c r="A328" s="1"/>
      <c r="B328" s="1" t="n">
        <v>10319</v>
      </c>
      <c r="C328" s="3" t="n">
        <v>43454</v>
      </c>
      <c r="D328" s="171" t="s">
        <v>22</v>
      </c>
      <c r="E328" s="8" t="s">
        <v>65</v>
      </c>
      <c r="F328" s="1" t="s">
        <v>764</v>
      </c>
      <c r="G328" s="2" t="n">
        <v>19</v>
      </c>
      <c r="H328" s="2" t="n">
        <v>44</v>
      </c>
      <c r="I328" s="2" t="n">
        <v>8</v>
      </c>
      <c r="J328" s="276" t="n">
        <v>39.27</v>
      </c>
      <c r="K328" s="6" t="n">
        <v>348078.97</v>
      </c>
      <c r="L328" s="6" t="n">
        <f aca="false">K328/J328</f>
        <v>8863.73745861981</v>
      </c>
      <c r="M328" s="264" t="s">
        <v>987</v>
      </c>
      <c r="N328" s="6" t="n">
        <v>35000</v>
      </c>
      <c r="O328" s="6" t="n">
        <f aca="false">K328+N328</f>
        <v>383078.97</v>
      </c>
      <c r="P328" s="166" t="n">
        <f aca="false">O328/J328</f>
        <v>9755.00305576776</v>
      </c>
      <c r="Q328" s="295"/>
      <c r="R328" s="2" t="s">
        <v>5228</v>
      </c>
      <c r="S328" s="5" t="s">
        <v>29</v>
      </c>
      <c r="T328" s="5" t="s">
        <v>1915</v>
      </c>
      <c r="U328" s="294" t="s">
        <v>31</v>
      </c>
      <c r="V328" s="203" t="n">
        <v>43709</v>
      </c>
      <c r="W328" s="1" t="s">
        <v>5287</v>
      </c>
      <c r="X328" s="1"/>
    </row>
    <row r="329" s="151" customFormat="true" ht="12.8" hidden="false" customHeight="false" outlineLevel="0" collapsed="false">
      <c r="A329" s="1"/>
      <c r="B329" s="1" t="n">
        <v>10273</v>
      </c>
      <c r="C329" s="3" t="n">
        <v>43454</v>
      </c>
      <c r="D329" s="171" t="s">
        <v>22</v>
      </c>
      <c r="E329" s="8" t="s">
        <v>65</v>
      </c>
      <c r="F329" s="1" t="s">
        <v>764</v>
      </c>
      <c r="G329" s="2" t="n">
        <v>19</v>
      </c>
      <c r="H329" s="2" t="n">
        <v>11</v>
      </c>
      <c r="I329" s="2" t="n">
        <v>5</v>
      </c>
      <c r="J329" s="276" t="n">
        <v>39.4</v>
      </c>
      <c r="K329" s="6" t="n">
        <v>342780</v>
      </c>
      <c r="L329" s="6" t="n">
        <f aca="false">K329/J329</f>
        <v>8700</v>
      </c>
      <c r="M329" s="264" t="s">
        <v>5236</v>
      </c>
      <c r="N329" s="6" t="n">
        <v>42040</v>
      </c>
      <c r="O329" s="6" t="n">
        <f aca="false">K329+N329</f>
        <v>384820</v>
      </c>
      <c r="P329" s="166" t="n">
        <f aca="false">O329/J329</f>
        <v>9767.00507614213</v>
      </c>
      <c r="Q329" s="295"/>
      <c r="R329" s="2" t="s">
        <v>5228</v>
      </c>
      <c r="S329" s="5" t="s">
        <v>29</v>
      </c>
      <c r="T329" s="5" t="s">
        <v>1915</v>
      </c>
      <c r="U329" s="294" t="s">
        <v>31</v>
      </c>
      <c r="V329" s="203" t="n">
        <v>43709</v>
      </c>
      <c r="W329" s="1" t="s">
        <v>4933</v>
      </c>
      <c r="X329" s="1"/>
    </row>
    <row r="330" s="151" customFormat="true" ht="12.8" hidden="false" customHeight="false" outlineLevel="0" collapsed="false">
      <c r="A330" s="1"/>
      <c r="B330" s="1" t="n">
        <v>10296</v>
      </c>
      <c r="C330" s="3" t="n">
        <v>43454</v>
      </c>
      <c r="D330" s="171" t="s">
        <v>22</v>
      </c>
      <c r="E330" s="8" t="s">
        <v>65</v>
      </c>
      <c r="F330" s="1" t="s">
        <v>764</v>
      </c>
      <c r="G330" s="2" t="n">
        <v>19</v>
      </c>
      <c r="H330" s="2" t="n">
        <v>56</v>
      </c>
      <c r="I330" s="2" t="n">
        <v>4</v>
      </c>
      <c r="J330" s="276" t="n">
        <v>39.42</v>
      </c>
      <c r="K330" s="6" t="n">
        <v>337041.14</v>
      </c>
      <c r="L330" s="6" t="n">
        <f aca="false">K330/J330</f>
        <v>8550.0035514967</v>
      </c>
      <c r="M330" s="264" t="s">
        <v>987</v>
      </c>
      <c r="N330" s="6" t="n">
        <v>35000</v>
      </c>
      <c r="O330" s="6" t="n">
        <f aca="false">K330+N330</f>
        <v>372041.14</v>
      </c>
      <c r="P330" s="166" t="n">
        <f aca="false">O330/J330</f>
        <v>9437.87772704211</v>
      </c>
      <c r="Q330" s="295"/>
      <c r="R330" s="2" t="s">
        <v>5228</v>
      </c>
      <c r="S330" s="5" t="s">
        <v>29</v>
      </c>
      <c r="T330" s="5" t="s">
        <v>1915</v>
      </c>
      <c r="U330" s="294" t="s">
        <v>31</v>
      </c>
      <c r="V330" s="203" t="n">
        <v>43709</v>
      </c>
      <c r="W330" s="1" t="s">
        <v>4933</v>
      </c>
      <c r="X330" s="1"/>
    </row>
    <row r="331" s="151" customFormat="true" ht="12.8" hidden="false" customHeight="false" outlineLevel="0" collapsed="false">
      <c r="A331" s="1"/>
      <c r="B331" s="1" t="n">
        <v>39658</v>
      </c>
      <c r="C331" s="3" t="n">
        <v>43454</v>
      </c>
      <c r="D331" s="171" t="s">
        <v>22</v>
      </c>
      <c r="E331" s="8" t="s">
        <v>3085</v>
      </c>
      <c r="F331" s="1" t="s">
        <v>3086</v>
      </c>
      <c r="G331" s="2" t="n">
        <v>7</v>
      </c>
      <c r="H331" s="2" t="n">
        <v>136</v>
      </c>
      <c r="I331" s="2" t="n">
        <v>7</v>
      </c>
      <c r="J331" s="276" t="n">
        <v>93.58</v>
      </c>
      <c r="K331" s="6" t="n">
        <v>803883.72</v>
      </c>
      <c r="L331" s="6" t="n">
        <f aca="false">K331/J331</f>
        <v>8590.33682410771</v>
      </c>
      <c r="M331" s="264" t="s">
        <v>5233</v>
      </c>
      <c r="N331" s="6" t="n">
        <v>51976.76</v>
      </c>
      <c r="O331" s="6" t="n">
        <f aca="false">K331+N331</f>
        <v>855860.48</v>
      </c>
      <c r="P331" s="166" t="n">
        <f aca="false">O331/J331</f>
        <v>9145.76276982261</v>
      </c>
      <c r="Q331" s="295"/>
      <c r="R331" s="2" t="s">
        <v>5299</v>
      </c>
      <c r="S331" s="5" t="s">
        <v>29</v>
      </c>
      <c r="T331" s="5" t="s">
        <v>1915</v>
      </c>
      <c r="U331" s="294" t="s">
        <v>31</v>
      </c>
      <c r="V331" s="203" t="n">
        <v>43709</v>
      </c>
      <c r="W331" s="1" t="s">
        <v>5201</v>
      </c>
      <c r="X331" s="1"/>
    </row>
    <row r="332" s="151" customFormat="true" ht="12.8" hidden="false" customHeight="false" outlineLevel="0" collapsed="false">
      <c r="A332" s="1"/>
      <c r="B332" s="1" t="n">
        <v>39676</v>
      </c>
      <c r="C332" s="3" t="n">
        <v>43454</v>
      </c>
      <c r="D332" s="171" t="s">
        <v>22</v>
      </c>
      <c r="E332" s="8" t="s">
        <v>3085</v>
      </c>
      <c r="F332" s="1" t="s">
        <v>3086</v>
      </c>
      <c r="G332" s="2" t="n">
        <v>7</v>
      </c>
      <c r="H332" s="2" t="n">
        <v>57</v>
      </c>
      <c r="I332" s="2" t="n">
        <v>8</v>
      </c>
      <c r="J332" s="276" t="n">
        <v>83.17</v>
      </c>
      <c r="K332" s="6" t="n">
        <v>728434.19</v>
      </c>
      <c r="L332" s="6" t="n">
        <f aca="false">K332/J332</f>
        <v>8758.37669832873</v>
      </c>
      <c r="M332" s="264" t="s">
        <v>5266</v>
      </c>
      <c r="N332" s="6"/>
      <c r="O332" s="6" t="n">
        <f aca="false">K332+N332</f>
        <v>728434.19</v>
      </c>
      <c r="P332" s="166" t="n">
        <f aca="false">O332/J332</f>
        <v>8758.37669832873</v>
      </c>
      <c r="Q332" s="295"/>
      <c r="R332" s="2" t="s">
        <v>5300</v>
      </c>
      <c r="S332" s="5" t="s">
        <v>29</v>
      </c>
      <c r="T332" s="5" t="s">
        <v>1915</v>
      </c>
      <c r="U332" s="294" t="s">
        <v>31</v>
      </c>
      <c r="V332" s="203" t="n">
        <v>43709</v>
      </c>
      <c r="W332" s="1" t="s">
        <v>5201</v>
      </c>
      <c r="X332" s="1"/>
    </row>
    <row r="333" s="151" customFormat="true" ht="12.8" hidden="false" customHeight="false" outlineLevel="0" collapsed="false">
      <c r="A333" s="1"/>
      <c r="B333" s="1" t="n">
        <v>9459</v>
      </c>
      <c r="C333" s="3" t="n">
        <v>43454</v>
      </c>
      <c r="D333" s="171" t="s">
        <v>22</v>
      </c>
      <c r="E333" s="8" t="s">
        <v>433</v>
      </c>
      <c r="F333" s="1" t="s">
        <v>434</v>
      </c>
      <c r="G333" s="2" t="s">
        <v>1567</v>
      </c>
      <c r="H333" s="2" t="n">
        <v>252</v>
      </c>
      <c r="I333" s="2" t="n">
        <v>2</v>
      </c>
      <c r="J333" s="276" t="n">
        <v>44.79</v>
      </c>
      <c r="K333" s="6" t="n">
        <v>377742.5</v>
      </c>
      <c r="L333" s="166" t="n">
        <f aca="false">K333/J333</f>
        <v>8433.6347398973</v>
      </c>
      <c r="M333" s="264" t="s">
        <v>5301</v>
      </c>
      <c r="N333" s="6"/>
      <c r="O333" s="6"/>
      <c r="P333" s="166" t="n">
        <f aca="false">O333/J333</f>
        <v>0</v>
      </c>
      <c r="Q333" s="295"/>
      <c r="R333" s="2" t="s">
        <v>1224</v>
      </c>
      <c r="S333" s="5" t="s">
        <v>29</v>
      </c>
      <c r="T333" s="5" t="s">
        <v>1915</v>
      </c>
      <c r="U333" s="294" t="s">
        <v>31</v>
      </c>
      <c r="V333" s="203" t="n">
        <v>43709</v>
      </c>
      <c r="W333" s="1" t="s">
        <v>4927</v>
      </c>
      <c r="X333" s="1"/>
    </row>
    <row r="334" s="151" customFormat="true" ht="12.8" hidden="false" customHeight="false" outlineLevel="0" collapsed="false">
      <c r="A334" s="1"/>
      <c r="B334" s="1" t="n">
        <v>9467</v>
      </c>
      <c r="C334" s="3" t="n">
        <v>43454</v>
      </c>
      <c r="D334" s="171" t="s">
        <v>22</v>
      </c>
      <c r="E334" s="8" t="s">
        <v>433</v>
      </c>
      <c r="F334" s="1" t="s">
        <v>434</v>
      </c>
      <c r="G334" s="2" t="s">
        <v>1567</v>
      </c>
      <c r="H334" s="2" t="n">
        <v>216</v>
      </c>
      <c r="I334" s="2" t="n">
        <v>5</v>
      </c>
      <c r="J334" s="276" t="n">
        <v>78.85</v>
      </c>
      <c r="K334" s="6" t="n">
        <v>682720.25</v>
      </c>
      <c r="L334" s="166" t="n">
        <f aca="false">K334/J334</f>
        <v>8658.46861128725</v>
      </c>
      <c r="M334" s="264" t="s">
        <v>5302</v>
      </c>
      <c r="N334" s="6"/>
      <c r="O334" s="6"/>
      <c r="P334" s="166" t="n">
        <f aca="false">O334/J334</f>
        <v>0</v>
      </c>
      <c r="Q334" s="295"/>
      <c r="R334" s="2" t="s">
        <v>5303</v>
      </c>
      <c r="S334" s="5" t="s">
        <v>29</v>
      </c>
      <c r="T334" s="5" t="s">
        <v>1915</v>
      </c>
      <c r="U334" s="294" t="s">
        <v>31</v>
      </c>
      <c r="V334" s="203" t="n">
        <v>43709</v>
      </c>
      <c r="W334" s="1" t="s">
        <v>4927</v>
      </c>
      <c r="X334" s="1"/>
    </row>
    <row r="335" s="151" customFormat="true" ht="12.8" hidden="false" customHeight="false" outlineLevel="0" collapsed="false">
      <c r="A335" s="1"/>
      <c r="B335" s="1" t="n">
        <v>9483</v>
      </c>
      <c r="C335" s="3" t="n">
        <v>43454</v>
      </c>
      <c r="D335" s="171" t="s">
        <v>22</v>
      </c>
      <c r="E335" s="8" t="s">
        <v>433</v>
      </c>
      <c r="F335" s="1" t="s">
        <v>434</v>
      </c>
      <c r="G335" s="2" t="s">
        <v>1567</v>
      </c>
      <c r="H335" s="2" t="n">
        <v>290</v>
      </c>
      <c r="I335" s="2" t="n">
        <v>1</v>
      </c>
      <c r="J335" s="276" t="n">
        <v>32.7</v>
      </c>
      <c r="K335" s="6" t="n">
        <v>286668.68</v>
      </c>
      <c r="L335" s="6" t="n">
        <f aca="false">K335/J335</f>
        <v>8766.62629969419</v>
      </c>
      <c r="M335" s="264" t="s">
        <v>3302</v>
      </c>
      <c r="N335" s="6"/>
      <c r="O335" s="6" t="n">
        <f aca="false">K335+N335</f>
        <v>286668.68</v>
      </c>
      <c r="P335" s="166" t="n">
        <f aca="false">O335/J335</f>
        <v>8766.62629969419</v>
      </c>
      <c r="Q335" s="295"/>
      <c r="R335" s="2" t="s">
        <v>5304</v>
      </c>
      <c r="S335" s="5" t="s">
        <v>29</v>
      </c>
      <c r="T335" s="5" t="s">
        <v>1915</v>
      </c>
      <c r="U335" s="294" t="s">
        <v>31</v>
      </c>
      <c r="V335" s="203" t="n">
        <v>43709</v>
      </c>
      <c r="W335" s="1" t="s">
        <v>4927</v>
      </c>
      <c r="X335" s="1"/>
    </row>
    <row r="336" s="151" customFormat="true" ht="12.8" hidden="false" customHeight="false" outlineLevel="0" collapsed="false">
      <c r="A336" s="1"/>
      <c r="B336" s="1" t="n">
        <v>9475</v>
      </c>
      <c r="C336" s="3" t="n">
        <v>43454</v>
      </c>
      <c r="D336" s="171" t="s">
        <v>22</v>
      </c>
      <c r="E336" s="8" t="s">
        <v>433</v>
      </c>
      <c r="F336" s="1" t="s">
        <v>434</v>
      </c>
      <c r="G336" s="2" t="s">
        <v>1567</v>
      </c>
      <c r="H336" s="2" t="n">
        <v>215</v>
      </c>
      <c r="I336" s="2" t="n">
        <v>5</v>
      </c>
      <c r="J336" s="276" t="n">
        <v>69.36</v>
      </c>
      <c r="K336" s="6" t="n">
        <v>552071.29</v>
      </c>
      <c r="L336" s="6" t="n">
        <f aca="false">K336/J336</f>
        <v>7959.50533448674</v>
      </c>
      <c r="M336" s="264"/>
      <c r="N336" s="6"/>
      <c r="O336" s="6" t="n">
        <f aca="false">K336+N336</f>
        <v>552071.29</v>
      </c>
      <c r="P336" s="166" t="n">
        <f aca="false">O336/J336</f>
        <v>7959.50533448674</v>
      </c>
      <c r="Q336" s="295"/>
      <c r="R336" s="2" t="s">
        <v>5305</v>
      </c>
      <c r="S336" s="5" t="s">
        <v>29</v>
      </c>
      <c r="T336" s="5" t="s">
        <v>1915</v>
      </c>
      <c r="U336" s="294" t="s">
        <v>31</v>
      </c>
      <c r="V336" s="203" t="n">
        <v>43709</v>
      </c>
      <c r="W336" s="1" t="s">
        <v>4927</v>
      </c>
      <c r="X336" s="1"/>
    </row>
    <row r="337" s="151" customFormat="true" ht="12.8" hidden="false" customHeight="false" outlineLevel="0" collapsed="false">
      <c r="A337" s="1"/>
      <c r="B337" s="1" t="n">
        <v>9451</v>
      </c>
      <c r="C337" s="3" t="n">
        <v>43454</v>
      </c>
      <c r="D337" s="171" t="s">
        <v>22</v>
      </c>
      <c r="E337" s="8" t="s">
        <v>433</v>
      </c>
      <c r="F337" s="1" t="s">
        <v>434</v>
      </c>
      <c r="G337" s="2" t="s">
        <v>1567</v>
      </c>
      <c r="H337" s="2" t="n">
        <v>222</v>
      </c>
      <c r="I337" s="2" t="n">
        <v>6</v>
      </c>
      <c r="J337" s="276" t="n">
        <v>40.54</v>
      </c>
      <c r="K337" s="6" t="n">
        <v>375492.52</v>
      </c>
      <c r="L337" s="6" t="n">
        <f aca="false">K337/J337</f>
        <v>9262.27232363098</v>
      </c>
      <c r="M337" s="264" t="s">
        <v>987</v>
      </c>
      <c r="N337" s="6"/>
      <c r="O337" s="6" t="n">
        <f aca="false">K337+N337</f>
        <v>375492.52</v>
      </c>
      <c r="P337" s="166" t="n">
        <f aca="false">O337/J337</f>
        <v>9262.27232363098</v>
      </c>
      <c r="Q337" s="295"/>
      <c r="R337" s="2" t="s">
        <v>5228</v>
      </c>
      <c r="S337" s="5" t="s">
        <v>29</v>
      </c>
      <c r="T337" s="5" t="s">
        <v>1915</v>
      </c>
      <c r="U337" s="294" t="s">
        <v>31</v>
      </c>
      <c r="V337" s="203" t="n">
        <v>43709</v>
      </c>
      <c r="W337" s="1" t="s">
        <v>4927</v>
      </c>
      <c r="X337" s="1"/>
    </row>
    <row r="338" s="151" customFormat="true" ht="12.8" hidden="false" customHeight="false" outlineLevel="0" collapsed="false">
      <c r="A338" s="1"/>
      <c r="B338" s="1" t="n">
        <v>10016</v>
      </c>
      <c r="C338" s="3" t="n">
        <v>43454</v>
      </c>
      <c r="D338" s="171" t="s">
        <v>22</v>
      </c>
      <c r="E338" s="222" t="s">
        <v>522</v>
      </c>
      <c r="F338" s="1" t="s">
        <v>523</v>
      </c>
      <c r="G338" s="2" t="s">
        <v>1567</v>
      </c>
      <c r="H338" s="2" t="n">
        <v>50</v>
      </c>
      <c r="I338" s="2" t="n">
        <v>1</v>
      </c>
      <c r="J338" s="276" t="n">
        <v>140.03</v>
      </c>
      <c r="K338" s="6" t="n">
        <v>1080000</v>
      </c>
      <c r="L338" s="6" t="n">
        <f aca="false">K338/J338</f>
        <v>7712.63300721274</v>
      </c>
      <c r="M338" s="264" t="s">
        <v>5306</v>
      </c>
      <c r="N338" s="6"/>
      <c r="O338" s="6" t="n">
        <f aca="false">K338+N338</f>
        <v>1080000</v>
      </c>
      <c r="P338" s="166" t="n">
        <f aca="false">O338/J338</f>
        <v>7712.63300721274</v>
      </c>
      <c r="Q338" s="295"/>
      <c r="R338" s="2" t="s">
        <v>5307</v>
      </c>
      <c r="S338" s="5" t="s">
        <v>29</v>
      </c>
      <c r="T338" s="5" t="s">
        <v>1915</v>
      </c>
      <c r="U338" s="294" t="s">
        <v>31</v>
      </c>
      <c r="V338" s="203" t="n">
        <v>43709</v>
      </c>
      <c r="W338" s="1" t="s">
        <v>5308</v>
      </c>
      <c r="X338" s="1"/>
    </row>
    <row r="339" s="151" customFormat="true" ht="12.8" hidden="false" customHeight="false" outlineLevel="0" collapsed="false">
      <c r="A339" s="1"/>
      <c r="B339" s="1" t="n">
        <v>10023</v>
      </c>
      <c r="C339" s="3" t="n">
        <v>43454</v>
      </c>
      <c r="D339" s="171" t="s">
        <v>22</v>
      </c>
      <c r="E339" s="8" t="s">
        <v>2258</v>
      </c>
      <c r="F339" s="1" t="s">
        <v>5254</v>
      </c>
      <c r="G339" s="2" t="n">
        <v>2</v>
      </c>
      <c r="H339" s="2" t="n">
        <v>25</v>
      </c>
      <c r="I339" s="2" t="n">
        <v>3</v>
      </c>
      <c r="J339" s="276" t="n">
        <v>63.66</v>
      </c>
      <c r="K339" s="6" t="n">
        <v>638308.84</v>
      </c>
      <c r="L339" s="6" t="n">
        <f aca="false">K339/J339</f>
        <v>10026.8432296576</v>
      </c>
      <c r="M339" s="264" t="s">
        <v>5236</v>
      </c>
      <c r="N339" s="6"/>
      <c r="O339" s="6" t="n">
        <f aca="false">K339+N339</f>
        <v>638308.84</v>
      </c>
      <c r="P339" s="166" t="n">
        <f aca="false">O339/J339</f>
        <v>10026.8432296576</v>
      </c>
      <c r="Q339" s="295"/>
      <c r="R339" s="2" t="s">
        <v>5309</v>
      </c>
      <c r="S339" s="5" t="s">
        <v>29</v>
      </c>
      <c r="T339" s="5" t="s">
        <v>1915</v>
      </c>
      <c r="U339" s="294" t="s">
        <v>31</v>
      </c>
      <c r="V339" s="203" t="n">
        <v>43709</v>
      </c>
      <c r="W339" s="1" t="s">
        <v>5257</v>
      </c>
      <c r="X339" s="1"/>
    </row>
    <row r="340" s="151" customFormat="true" ht="12.8" hidden="false" customHeight="false" outlineLevel="0" collapsed="false">
      <c r="A340" s="1"/>
      <c r="B340" s="1" t="n">
        <v>10004</v>
      </c>
      <c r="C340" s="3" t="n">
        <v>43454</v>
      </c>
      <c r="D340" s="171" t="s">
        <v>22</v>
      </c>
      <c r="E340" s="8" t="s">
        <v>2258</v>
      </c>
      <c r="F340" s="1" t="s">
        <v>5254</v>
      </c>
      <c r="G340" s="2" t="n">
        <v>2</v>
      </c>
      <c r="H340" s="2" t="n">
        <v>18</v>
      </c>
      <c r="I340" s="2" t="n">
        <v>3</v>
      </c>
      <c r="J340" s="276" t="n">
        <v>59.75</v>
      </c>
      <c r="K340" s="6" t="n">
        <v>621652.08</v>
      </c>
      <c r="L340" s="6" t="n">
        <f aca="false">K340/J340</f>
        <v>10404.2189121339</v>
      </c>
      <c r="M340" s="264" t="s">
        <v>987</v>
      </c>
      <c r="N340" s="6"/>
      <c r="O340" s="6" t="n">
        <f aca="false">K340+N340</f>
        <v>621652.08</v>
      </c>
      <c r="P340" s="166" t="n">
        <f aca="false">O340/J340</f>
        <v>10404.2189121339</v>
      </c>
      <c r="Q340" s="295"/>
      <c r="R340" s="2" t="s">
        <v>5310</v>
      </c>
      <c r="S340" s="5" t="s">
        <v>29</v>
      </c>
      <c r="T340" s="5" t="s">
        <v>1915</v>
      </c>
      <c r="U340" s="294" t="s">
        <v>31</v>
      </c>
      <c r="V340" s="203" t="n">
        <v>43709</v>
      </c>
      <c r="W340" s="1" t="s">
        <v>5257</v>
      </c>
      <c r="X340" s="1"/>
    </row>
    <row r="341" s="151" customFormat="true" ht="12.8" hidden="false" customHeight="false" outlineLevel="0" collapsed="false">
      <c r="A341" s="1"/>
      <c r="B341" s="1" t="n">
        <v>10067</v>
      </c>
      <c r="C341" s="3" t="n">
        <v>43454</v>
      </c>
      <c r="D341" s="171" t="s">
        <v>22</v>
      </c>
      <c r="E341" s="222" t="s">
        <v>407</v>
      </c>
      <c r="F341" s="1" t="s">
        <v>4919</v>
      </c>
      <c r="G341" s="2" t="n">
        <v>5</v>
      </c>
      <c r="H341" s="301" t="s">
        <v>5274</v>
      </c>
      <c r="I341" s="2" t="s">
        <v>4913</v>
      </c>
      <c r="J341" s="276" t="n">
        <v>167.42</v>
      </c>
      <c r="K341" s="6" t="n">
        <v>1699877</v>
      </c>
      <c r="L341" s="6" t="n">
        <f aca="false">K341/J341</f>
        <v>10153.3687731454</v>
      </c>
      <c r="M341" s="264" t="s">
        <v>5311</v>
      </c>
      <c r="N341" s="6"/>
      <c r="O341" s="6" t="n">
        <f aca="false">K341+N341</f>
        <v>1699877</v>
      </c>
      <c r="P341" s="166" t="n">
        <f aca="false">O341/J341</f>
        <v>10153.3687731454</v>
      </c>
      <c r="Q341" s="295"/>
      <c r="R341" s="2" t="s">
        <v>5312</v>
      </c>
      <c r="S341" s="5" t="s">
        <v>29</v>
      </c>
      <c r="T341" s="5" t="s">
        <v>1915</v>
      </c>
      <c r="U341" s="294" t="s">
        <v>31</v>
      </c>
      <c r="V341" s="203" t="n">
        <v>43709</v>
      </c>
      <c r="W341" s="1" t="s">
        <v>5017</v>
      </c>
      <c r="X341" s="1" t="s">
        <v>5277</v>
      </c>
    </row>
    <row r="342" s="151" customFormat="true" ht="12.8" hidden="false" customHeight="false" outlineLevel="0" collapsed="false">
      <c r="A342" s="1"/>
      <c r="B342" s="1" t="n">
        <v>6065</v>
      </c>
      <c r="C342" s="3" t="n">
        <v>43454</v>
      </c>
      <c r="D342" s="171" t="s">
        <v>22</v>
      </c>
      <c r="E342" s="8" t="s">
        <v>203</v>
      </c>
      <c r="F342" s="1" t="s">
        <v>1209</v>
      </c>
      <c r="G342" s="2" t="s">
        <v>5227</v>
      </c>
      <c r="H342" s="2" t="n">
        <v>100</v>
      </c>
      <c r="I342" s="2" t="n">
        <v>5</v>
      </c>
      <c r="J342" s="276" t="n">
        <v>101.05</v>
      </c>
      <c r="K342" s="300" t="n">
        <v>0</v>
      </c>
      <c r="L342" s="6" t="n">
        <f aca="false">K342/J342</f>
        <v>0</v>
      </c>
      <c r="M342" s="264" t="s">
        <v>5313</v>
      </c>
      <c r="N342" s="6"/>
      <c r="O342" s="6" t="n">
        <f aca="false">K342+N342</f>
        <v>0</v>
      </c>
      <c r="P342" s="166" t="n">
        <f aca="false">O342/J342</f>
        <v>0</v>
      </c>
      <c r="Q342" s="295"/>
      <c r="R342" s="2" t="s">
        <v>5260</v>
      </c>
      <c r="S342" s="5" t="s">
        <v>29</v>
      </c>
      <c r="T342" s="5" t="s">
        <v>1915</v>
      </c>
      <c r="U342" s="294" t="s">
        <v>31</v>
      </c>
      <c r="V342" s="203" t="n">
        <v>43709</v>
      </c>
      <c r="W342" s="1" t="s">
        <v>5229</v>
      </c>
      <c r="X342" s="1" t="s">
        <v>5226</v>
      </c>
    </row>
    <row r="343" s="151" customFormat="true" ht="12.8" hidden="false" customHeight="false" outlineLevel="0" collapsed="false">
      <c r="A343" s="1"/>
      <c r="B343" s="1" t="n">
        <v>6073</v>
      </c>
      <c r="C343" s="3" t="n">
        <v>43454</v>
      </c>
      <c r="D343" s="171" t="s">
        <v>22</v>
      </c>
      <c r="E343" s="8" t="s">
        <v>203</v>
      </c>
      <c r="F343" s="1" t="s">
        <v>1209</v>
      </c>
      <c r="G343" s="2" t="s">
        <v>5227</v>
      </c>
      <c r="H343" s="2" t="n">
        <v>144</v>
      </c>
      <c r="I343" s="2" t="n">
        <v>4</v>
      </c>
      <c r="J343" s="276" t="n">
        <v>74.07</v>
      </c>
      <c r="K343" s="6" t="n">
        <v>726365.69</v>
      </c>
      <c r="L343" s="6" t="n">
        <f aca="false">K343/J343</f>
        <v>9806.47617118941</v>
      </c>
      <c r="M343" s="264" t="s">
        <v>5233</v>
      </c>
      <c r="N343" s="6" t="n">
        <v>64170</v>
      </c>
      <c r="O343" s="6" t="n">
        <f aca="false">K343+N343</f>
        <v>790535.69</v>
      </c>
      <c r="P343" s="166" t="n">
        <f aca="false">O343/J343</f>
        <v>10672.8188200351</v>
      </c>
      <c r="Q343" s="295"/>
      <c r="R343" s="2" t="s">
        <v>5279</v>
      </c>
      <c r="S343" s="5" t="s">
        <v>29</v>
      </c>
      <c r="T343" s="5" t="s">
        <v>1915</v>
      </c>
      <c r="U343" s="294" t="s">
        <v>31</v>
      </c>
      <c r="V343" s="203" t="n">
        <v>43709</v>
      </c>
      <c r="W343" s="1" t="s">
        <v>5229</v>
      </c>
      <c r="X343" s="1"/>
    </row>
    <row r="344" s="151" customFormat="true" ht="12.8" hidden="false" customHeight="false" outlineLevel="0" collapsed="false">
      <c r="A344" s="1"/>
      <c r="B344" s="1" t="n">
        <v>6081</v>
      </c>
      <c r="C344" s="3" t="n">
        <v>43454</v>
      </c>
      <c r="D344" s="171" t="s">
        <v>22</v>
      </c>
      <c r="E344" s="8" t="s">
        <v>203</v>
      </c>
      <c r="F344" s="1" t="s">
        <v>1209</v>
      </c>
      <c r="G344" s="2" t="s">
        <v>5227</v>
      </c>
      <c r="H344" s="2" t="n">
        <v>89</v>
      </c>
      <c r="I344" s="2" t="n">
        <v>2</v>
      </c>
      <c r="J344" s="276" t="n">
        <v>62.08</v>
      </c>
      <c r="K344" s="6" t="n">
        <v>549700.62</v>
      </c>
      <c r="L344" s="6" t="n">
        <f aca="false">K344/J344</f>
        <v>8854.71359536082</v>
      </c>
      <c r="M344" s="264" t="s">
        <v>987</v>
      </c>
      <c r="N344" s="6" t="n">
        <v>37000</v>
      </c>
      <c r="O344" s="6" t="n">
        <f aca="false">K344+N344</f>
        <v>586700.62</v>
      </c>
      <c r="P344" s="166" t="n">
        <f aca="false">O344/J344</f>
        <v>9450.71875</v>
      </c>
      <c r="Q344" s="295"/>
      <c r="R344" s="2" t="s">
        <v>5034</v>
      </c>
      <c r="S344" s="5" t="s">
        <v>29</v>
      </c>
      <c r="T344" s="5" t="s">
        <v>1915</v>
      </c>
      <c r="U344" s="294" t="s">
        <v>31</v>
      </c>
      <c r="V344" s="203" t="n">
        <v>43709</v>
      </c>
      <c r="W344" s="1" t="s">
        <v>5229</v>
      </c>
      <c r="X344" s="1"/>
    </row>
    <row r="345" s="151" customFormat="true" ht="12.8" hidden="false" customHeight="false" outlineLevel="0" collapsed="false">
      <c r="A345" s="1"/>
      <c r="B345" s="1" t="n">
        <v>6089</v>
      </c>
      <c r="C345" s="3" t="n">
        <v>43454</v>
      </c>
      <c r="D345" s="171" t="s">
        <v>22</v>
      </c>
      <c r="E345" s="8" t="s">
        <v>203</v>
      </c>
      <c r="F345" s="1" t="s">
        <v>1209</v>
      </c>
      <c r="G345" s="2" t="s">
        <v>5227</v>
      </c>
      <c r="H345" s="2" t="n">
        <v>155</v>
      </c>
      <c r="I345" s="2" t="n">
        <v>7</v>
      </c>
      <c r="J345" s="276" t="n">
        <v>68.44</v>
      </c>
      <c r="K345" s="6" t="n">
        <v>610318.88</v>
      </c>
      <c r="L345" s="6" t="n">
        <f aca="false">K345/J345</f>
        <v>8917.57568673291</v>
      </c>
      <c r="M345" s="264" t="s">
        <v>5314</v>
      </c>
      <c r="N345" s="6" t="n">
        <v>35814</v>
      </c>
      <c r="O345" s="6" t="n">
        <f aca="false">K345+N345</f>
        <v>646132.88</v>
      </c>
      <c r="P345" s="166" t="n">
        <f aca="false">O345/J345</f>
        <v>9440.86616014027</v>
      </c>
      <c r="Q345" s="295"/>
      <c r="R345" s="2" t="s">
        <v>5225</v>
      </c>
      <c r="S345" s="5" t="s">
        <v>29</v>
      </c>
      <c r="T345" s="5" t="s">
        <v>1915</v>
      </c>
      <c r="U345" s="294" t="s">
        <v>31</v>
      </c>
      <c r="V345" s="203" t="n">
        <v>43709</v>
      </c>
      <c r="W345" s="1" t="s">
        <v>5229</v>
      </c>
      <c r="X345" s="1"/>
    </row>
    <row r="346" s="151" customFormat="true" ht="12.8" hidden="false" customHeight="false" outlineLevel="0" collapsed="false">
      <c r="A346" s="1"/>
      <c r="B346" s="1" t="n">
        <v>10350</v>
      </c>
      <c r="C346" s="3" t="n">
        <v>43455</v>
      </c>
      <c r="D346" s="171" t="s">
        <v>22</v>
      </c>
      <c r="E346" s="8" t="s">
        <v>65</v>
      </c>
      <c r="F346" s="1" t="s">
        <v>764</v>
      </c>
      <c r="G346" s="2" t="n">
        <v>19</v>
      </c>
      <c r="H346" s="2" t="n">
        <v>42</v>
      </c>
      <c r="I346" s="2" t="n">
        <v>7</v>
      </c>
      <c r="J346" s="276" t="n">
        <v>50.63</v>
      </c>
      <c r="K346" s="6" t="n">
        <v>419863</v>
      </c>
      <c r="L346" s="6" t="n">
        <f aca="false">K346/J346</f>
        <v>8292.77108433735</v>
      </c>
      <c r="M346" s="264" t="s">
        <v>5236</v>
      </c>
      <c r="N346" s="6" t="n">
        <v>49800</v>
      </c>
      <c r="O346" s="6" t="n">
        <f aca="false">K346+N346</f>
        <v>469663</v>
      </c>
      <c r="P346" s="166" t="n">
        <f aca="false">O346/J346</f>
        <v>9276.3776417144</v>
      </c>
      <c r="Q346" s="295"/>
      <c r="R346" s="2" t="s">
        <v>5283</v>
      </c>
      <c r="S346" s="5" t="s">
        <v>29</v>
      </c>
      <c r="T346" s="5" t="s">
        <v>1915</v>
      </c>
      <c r="U346" s="294" t="s">
        <v>31</v>
      </c>
      <c r="V346" s="203" t="n">
        <v>43709</v>
      </c>
      <c r="W346" s="1" t="s">
        <v>5287</v>
      </c>
      <c r="X346" s="1"/>
    </row>
    <row r="347" s="151" customFormat="true" ht="12.8" hidden="false" customHeight="false" outlineLevel="0" collapsed="false">
      <c r="A347" s="1"/>
      <c r="B347" s="1" t="n">
        <v>10344</v>
      </c>
      <c r="C347" s="3" t="n">
        <v>43455</v>
      </c>
      <c r="D347" s="171" t="s">
        <v>22</v>
      </c>
      <c r="E347" s="8" t="s">
        <v>65</v>
      </c>
      <c r="F347" s="1" t="s">
        <v>764</v>
      </c>
      <c r="G347" s="2" t="n">
        <v>19</v>
      </c>
      <c r="H347" s="2" t="n">
        <v>22</v>
      </c>
      <c r="I347" s="2" t="n">
        <v>2</v>
      </c>
      <c r="J347" s="276" t="n">
        <v>56.5</v>
      </c>
      <c r="K347" s="6" t="n">
        <v>457650</v>
      </c>
      <c r="L347" s="6" t="n">
        <f aca="false">K347/J347</f>
        <v>8100</v>
      </c>
      <c r="M347" s="264"/>
      <c r="N347" s="6"/>
      <c r="O347" s="6" t="n">
        <f aca="false">K347+N347</f>
        <v>457650</v>
      </c>
      <c r="P347" s="166" t="n">
        <f aca="false">O347/J347</f>
        <v>8100</v>
      </c>
      <c r="Q347" s="295"/>
      <c r="R347" s="2" t="s">
        <v>5034</v>
      </c>
      <c r="S347" s="5" t="s">
        <v>29</v>
      </c>
      <c r="T347" s="5" t="s">
        <v>1915</v>
      </c>
      <c r="U347" s="294" t="s">
        <v>31</v>
      </c>
      <c r="V347" s="203" t="n">
        <v>43709</v>
      </c>
      <c r="W347" s="1" t="s">
        <v>5287</v>
      </c>
      <c r="X347" s="1"/>
    </row>
    <row r="348" s="151" customFormat="true" ht="12.8" hidden="false" customHeight="false" outlineLevel="0" collapsed="false">
      <c r="A348" s="1"/>
      <c r="B348" s="1" t="n">
        <v>10374</v>
      </c>
      <c r="C348" s="3" t="n">
        <v>43455</v>
      </c>
      <c r="D348" s="171" t="s">
        <v>22</v>
      </c>
      <c r="E348" s="8" t="s">
        <v>65</v>
      </c>
      <c r="F348" s="1" t="s">
        <v>764</v>
      </c>
      <c r="G348" s="2" t="n">
        <v>19</v>
      </c>
      <c r="H348" s="2" t="n">
        <v>37</v>
      </c>
      <c r="I348" s="2" t="n">
        <v>6</v>
      </c>
      <c r="J348" s="276" t="n">
        <v>58.91</v>
      </c>
      <c r="K348" s="6" t="n">
        <v>524299</v>
      </c>
      <c r="L348" s="6" t="n">
        <f aca="false">K348/J348</f>
        <v>8900</v>
      </c>
      <c r="M348" s="264" t="s">
        <v>5236</v>
      </c>
      <c r="N348" s="6" t="n">
        <v>35000</v>
      </c>
      <c r="O348" s="6" t="n">
        <f aca="false">K348+N348</f>
        <v>559299</v>
      </c>
      <c r="P348" s="166" t="n">
        <f aca="false">O348/J348</f>
        <v>9494.12663384824</v>
      </c>
      <c r="Q348" s="295"/>
      <c r="R348" s="2" t="s">
        <v>5034</v>
      </c>
      <c r="S348" s="5" t="s">
        <v>29</v>
      </c>
      <c r="T348" s="5" t="s">
        <v>1915</v>
      </c>
      <c r="U348" s="294" t="s">
        <v>31</v>
      </c>
      <c r="V348" s="203" t="n">
        <v>43709</v>
      </c>
      <c r="W348" s="1" t="s">
        <v>5287</v>
      </c>
      <c r="X348" s="1"/>
    </row>
    <row r="349" s="151" customFormat="true" ht="12.8" hidden="false" customHeight="false" outlineLevel="0" collapsed="false">
      <c r="A349" s="1"/>
      <c r="B349" s="1" t="n">
        <v>10368</v>
      </c>
      <c r="C349" s="3" t="n">
        <v>43455</v>
      </c>
      <c r="D349" s="171" t="s">
        <v>22</v>
      </c>
      <c r="E349" s="8" t="s">
        <v>65</v>
      </c>
      <c r="F349" s="1" t="s">
        <v>764</v>
      </c>
      <c r="G349" s="2" t="n">
        <v>19</v>
      </c>
      <c r="H349" s="2" t="n">
        <v>40</v>
      </c>
      <c r="I349" s="2" t="n">
        <v>7</v>
      </c>
      <c r="J349" s="276" t="n">
        <v>39.65</v>
      </c>
      <c r="K349" s="6" t="n">
        <v>360815.18</v>
      </c>
      <c r="L349" s="6" t="n">
        <f aca="false">K349/J349</f>
        <v>9100.00453972257</v>
      </c>
      <c r="M349" s="264" t="s">
        <v>987</v>
      </c>
      <c r="N349" s="6" t="n">
        <v>36900</v>
      </c>
      <c r="O349" s="6" t="n">
        <f aca="false">K349+N349</f>
        <v>397715.18</v>
      </c>
      <c r="P349" s="166" t="n">
        <f aca="false">O349/J349</f>
        <v>10030.647667087</v>
      </c>
      <c r="Q349" s="295"/>
      <c r="R349" s="2" t="s">
        <v>5228</v>
      </c>
      <c r="S349" s="5" t="s">
        <v>29</v>
      </c>
      <c r="T349" s="5" t="s">
        <v>1915</v>
      </c>
      <c r="U349" s="294" t="s">
        <v>31</v>
      </c>
      <c r="V349" s="203" t="n">
        <v>43709</v>
      </c>
      <c r="W349" s="1" t="s">
        <v>4933</v>
      </c>
      <c r="X349" s="1"/>
    </row>
    <row r="350" s="151" customFormat="true" ht="12.8" hidden="false" customHeight="false" outlineLevel="0" collapsed="false">
      <c r="A350" s="1"/>
      <c r="B350" s="1" t="n">
        <v>7892</v>
      </c>
      <c r="C350" s="3" t="n">
        <v>43455</v>
      </c>
      <c r="D350" s="171" t="s">
        <v>22</v>
      </c>
      <c r="E350" s="8" t="s">
        <v>4292</v>
      </c>
      <c r="F350" s="1" t="s">
        <v>5288</v>
      </c>
      <c r="G350" s="2" t="n">
        <v>6</v>
      </c>
      <c r="H350" s="2" t="n">
        <v>4</v>
      </c>
      <c r="I350" s="2" t="n">
        <v>3</v>
      </c>
      <c r="J350" s="276" t="n">
        <v>168.18</v>
      </c>
      <c r="K350" s="300" t="n">
        <v>0</v>
      </c>
      <c r="L350" s="6" t="n">
        <f aca="false">K350/J350</f>
        <v>0</v>
      </c>
      <c r="M350" s="264"/>
      <c r="N350" s="6"/>
      <c r="O350" s="6" t="n">
        <f aca="false">K350+N350</f>
        <v>0</v>
      </c>
      <c r="P350" s="166" t="n">
        <f aca="false">O350/J350</f>
        <v>0</v>
      </c>
      <c r="Q350" s="295"/>
      <c r="R350" s="2" t="s">
        <v>5315</v>
      </c>
      <c r="S350" s="5" t="s">
        <v>29</v>
      </c>
      <c r="T350" s="5" t="s">
        <v>1915</v>
      </c>
      <c r="U350" s="294" t="s">
        <v>31</v>
      </c>
      <c r="V350" s="203" t="n">
        <v>43709</v>
      </c>
      <c r="W350" s="1" t="s">
        <v>4761</v>
      </c>
      <c r="X350" s="1" t="s">
        <v>5316</v>
      </c>
    </row>
    <row r="351" s="151" customFormat="true" ht="12.8" hidden="false" customHeight="false" outlineLevel="0" collapsed="false">
      <c r="A351" s="1"/>
      <c r="B351" s="1" t="n">
        <v>7904</v>
      </c>
      <c r="C351" s="3" t="n">
        <v>43455</v>
      </c>
      <c r="D351" s="171" t="s">
        <v>22</v>
      </c>
      <c r="E351" s="8" t="s">
        <v>4292</v>
      </c>
      <c r="F351" s="1" t="s">
        <v>5288</v>
      </c>
      <c r="G351" s="2" t="n">
        <v>14</v>
      </c>
      <c r="H351" s="2" t="n">
        <v>3</v>
      </c>
      <c r="I351" s="300" t="s">
        <v>1214</v>
      </c>
      <c r="J351" s="276" t="n">
        <v>168.89</v>
      </c>
      <c r="K351" s="6" t="n">
        <v>2232413.1</v>
      </c>
      <c r="L351" s="6" t="n">
        <f aca="false">K351/J351</f>
        <v>13218.148499023</v>
      </c>
      <c r="M351" s="264" t="s">
        <v>3302</v>
      </c>
      <c r="N351" s="6"/>
      <c r="O351" s="6" t="n">
        <f aca="false">K351+N351</f>
        <v>2232413.1</v>
      </c>
      <c r="P351" s="166" t="n">
        <f aca="false">O351/J351</f>
        <v>13218.148499023</v>
      </c>
      <c r="Q351" s="295"/>
      <c r="R351" s="2"/>
      <c r="S351" s="5" t="s">
        <v>29</v>
      </c>
      <c r="T351" s="5" t="s">
        <v>1915</v>
      </c>
      <c r="U351" s="294" t="s">
        <v>31</v>
      </c>
      <c r="V351" s="203" t="n">
        <v>43709</v>
      </c>
      <c r="W351" s="1" t="s">
        <v>4761</v>
      </c>
      <c r="X351" s="1" t="s">
        <v>5317</v>
      </c>
    </row>
    <row r="352" s="151" customFormat="true" ht="12.8" hidden="false" customHeight="false" outlineLevel="0" collapsed="false">
      <c r="A352" s="1"/>
      <c r="B352" s="1" t="n">
        <v>6651</v>
      </c>
      <c r="C352" s="3" t="n">
        <v>43455</v>
      </c>
      <c r="D352" s="171" t="s">
        <v>22</v>
      </c>
      <c r="E352" s="8" t="s">
        <v>229</v>
      </c>
      <c r="F352" s="1" t="s">
        <v>1722</v>
      </c>
      <c r="G352" s="2" t="s">
        <v>1069</v>
      </c>
      <c r="H352" s="2" t="n">
        <v>47</v>
      </c>
      <c r="I352" s="2" t="n">
        <v>7</v>
      </c>
      <c r="J352" s="276" t="n">
        <v>106.59</v>
      </c>
      <c r="K352" s="6" t="n">
        <v>964567.56</v>
      </c>
      <c r="L352" s="6" t="n">
        <f aca="false">K352/J352</f>
        <v>9049.32507739938</v>
      </c>
      <c r="M352" s="264" t="s">
        <v>5244</v>
      </c>
      <c r="N352" s="6" t="n">
        <v>16000</v>
      </c>
      <c r="O352" s="6" t="n">
        <f aca="false">K352+N352</f>
        <v>980567.56</v>
      </c>
      <c r="P352" s="166" t="n">
        <f aca="false">O352/J352</f>
        <v>9199.43296744535</v>
      </c>
      <c r="Q352" s="295"/>
      <c r="R352" s="2" t="s">
        <v>5318</v>
      </c>
      <c r="S352" s="5" t="s">
        <v>29</v>
      </c>
      <c r="T352" s="5" t="s">
        <v>1915</v>
      </c>
      <c r="U352" s="294" t="s">
        <v>31</v>
      </c>
      <c r="V352" s="203" t="n">
        <v>43709</v>
      </c>
      <c r="W352" s="1" t="s">
        <v>5048</v>
      </c>
      <c r="X352" s="1"/>
    </row>
    <row r="353" s="151" customFormat="true" ht="12.8" hidden="false" customHeight="false" outlineLevel="0" collapsed="false">
      <c r="A353" s="1"/>
      <c r="B353" s="1" t="n">
        <v>10218</v>
      </c>
      <c r="C353" s="3" t="n">
        <v>43455</v>
      </c>
      <c r="D353" s="171" t="s">
        <v>22</v>
      </c>
      <c r="E353" s="8" t="s">
        <v>623</v>
      </c>
      <c r="F353" s="1" t="s">
        <v>272</v>
      </c>
      <c r="G353" s="2" t="s">
        <v>1063</v>
      </c>
      <c r="H353" s="2" t="n">
        <v>115</v>
      </c>
      <c r="I353" s="2" t="n">
        <v>1</v>
      </c>
      <c r="J353" s="276" t="n">
        <v>50.36</v>
      </c>
      <c r="K353" s="6" t="n">
        <v>423024</v>
      </c>
      <c r="L353" s="6" t="n">
        <f aca="false">K353/J353</f>
        <v>8400</v>
      </c>
      <c r="M353" s="264" t="s">
        <v>5282</v>
      </c>
      <c r="N353" s="6" t="n">
        <v>35000</v>
      </c>
      <c r="O353" s="6" t="n">
        <f aca="false">K353+N353</f>
        <v>458024</v>
      </c>
      <c r="P353" s="166" t="n">
        <f aca="false">O353/J353</f>
        <v>9094.99602859412</v>
      </c>
      <c r="Q353" s="295"/>
      <c r="R353" s="2" t="s">
        <v>5319</v>
      </c>
      <c r="S353" s="5" t="s">
        <v>29</v>
      </c>
      <c r="T353" s="5" t="s">
        <v>1915</v>
      </c>
      <c r="U353" s="294" t="s">
        <v>31</v>
      </c>
      <c r="V353" s="203" t="n">
        <v>43709</v>
      </c>
      <c r="W353" s="1" t="s">
        <v>5320</v>
      </c>
      <c r="X353" s="1"/>
    </row>
    <row r="354" s="151" customFormat="true" ht="12.8" hidden="false" customHeight="false" outlineLevel="0" collapsed="false">
      <c r="A354" s="1"/>
      <c r="B354" s="1" t="n">
        <v>7891</v>
      </c>
      <c r="C354" s="3" t="n">
        <v>43461</v>
      </c>
      <c r="D354" s="171" t="s">
        <v>22</v>
      </c>
      <c r="E354" s="222" t="s">
        <v>156</v>
      </c>
      <c r="F354" s="1" t="s">
        <v>2225</v>
      </c>
      <c r="G354" s="2" t="n">
        <v>31</v>
      </c>
      <c r="H354" s="2" t="s">
        <v>5321</v>
      </c>
      <c r="I354" s="2" t="n">
        <v>1</v>
      </c>
      <c r="J354" s="276" t="n">
        <v>56.38</v>
      </c>
      <c r="K354" s="6" t="n">
        <v>411574</v>
      </c>
      <c r="L354" s="6" t="n">
        <f aca="false">K354/J354</f>
        <v>7300</v>
      </c>
      <c r="M354" s="264" t="s">
        <v>987</v>
      </c>
      <c r="N354" s="6" t="n">
        <v>20900</v>
      </c>
      <c r="O354" s="6" t="n">
        <f aca="false">K354+N354</f>
        <v>432474</v>
      </c>
      <c r="P354" s="166" t="n">
        <f aca="false">O354/J354</f>
        <v>7670.69882937212</v>
      </c>
      <c r="Q354" s="295"/>
      <c r="R354" s="2"/>
      <c r="S354" s="5" t="s">
        <v>29</v>
      </c>
      <c r="T354" s="5" t="s">
        <v>1915</v>
      </c>
      <c r="U354" s="294" t="s">
        <v>31</v>
      </c>
      <c r="V354" s="203" t="n">
        <v>43709</v>
      </c>
      <c r="W354" s="1" t="s">
        <v>4752</v>
      </c>
      <c r="X354" s="1" t="s">
        <v>5251</v>
      </c>
    </row>
    <row r="355" s="151" customFormat="true" ht="12.8" hidden="false" customHeight="false" outlineLevel="0" collapsed="false">
      <c r="A355" s="1"/>
      <c r="B355" s="1" t="n">
        <v>40193</v>
      </c>
      <c r="C355" s="3" t="n">
        <v>43461</v>
      </c>
      <c r="D355" s="171" t="s">
        <v>22</v>
      </c>
      <c r="E355" s="8" t="s">
        <v>3085</v>
      </c>
      <c r="F355" s="1" t="s">
        <v>3086</v>
      </c>
      <c r="G355" s="2" t="n">
        <v>7</v>
      </c>
      <c r="H355" s="2" t="n">
        <v>111</v>
      </c>
      <c r="I355" s="2" t="n">
        <v>4</v>
      </c>
      <c r="J355" s="276" t="n">
        <v>41.1</v>
      </c>
      <c r="K355" s="6" t="n">
        <v>466921.81</v>
      </c>
      <c r="L355" s="6" t="n">
        <f aca="false">K355/J355</f>
        <v>11360.6279805353</v>
      </c>
      <c r="M355" s="264" t="s">
        <v>987</v>
      </c>
      <c r="N355" s="6"/>
      <c r="O355" s="6" t="n">
        <f aca="false">K355+N355</f>
        <v>466921.81</v>
      </c>
      <c r="P355" s="166" t="n">
        <f aca="false">O355/J355</f>
        <v>11360.6279805353</v>
      </c>
      <c r="Q355" s="295"/>
      <c r="R355" s="2" t="s">
        <v>5322</v>
      </c>
      <c r="S355" s="5" t="s">
        <v>29</v>
      </c>
      <c r="T355" s="5" t="s">
        <v>1915</v>
      </c>
      <c r="U355" s="294" t="s">
        <v>31</v>
      </c>
      <c r="V355" s="203" t="n">
        <v>43709</v>
      </c>
      <c r="W355" s="1" t="s">
        <v>5201</v>
      </c>
      <c r="X355" s="1"/>
    </row>
    <row r="356" s="151" customFormat="true" ht="12.8" hidden="false" customHeight="false" outlineLevel="0" collapsed="false">
      <c r="A356" s="1"/>
      <c r="B356" s="1" t="n">
        <v>10429</v>
      </c>
      <c r="C356" s="3" t="n">
        <v>43461</v>
      </c>
      <c r="D356" s="171" t="s">
        <v>22</v>
      </c>
      <c r="E356" s="8" t="s">
        <v>433</v>
      </c>
      <c r="F356" s="1" t="s">
        <v>434</v>
      </c>
      <c r="G356" s="2" t="n">
        <v>7</v>
      </c>
      <c r="H356" s="2" t="n">
        <v>206</v>
      </c>
      <c r="I356" s="2" t="n">
        <v>8</v>
      </c>
      <c r="J356" s="276" t="n">
        <v>41.64</v>
      </c>
      <c r="K356" s="6" t="n">
        <v>366218.32</v>
      </c>
      <c r="L356" s="6" t="n">
        <f aca="false">K356/J356</f>
        <v>8794.8683957733</v>
      </c>
      <c r="M356" s="264" t="s">
        <v>5323</v>
      </c>
      <c r="N356" s="6" t="n">
        <v>63000</v>
      </c>
      <c r="O356" s="6" t="n">
        <f aca="false">K356+N356</f>
        <v>429218.32</v>
      </c>
      <c r="P356" s="166" t="n">
        <f aca="false">O356/J356</f>
        <v>10307.8366954851</v>
      </c>
      <c r="Q356" s="295"/>
      <c r="R356" s="2" t="s">
        <v>5228</v>
      </c>
      <c r="S356" s="5" t="s">
        <v>29</v>
      </c>
      <c r="T356" s="5" t="s">
        <v>1915</v>
      </c>
      <c r="U356" s="294" t="s">
        <v>31</v>
      </c>
      <c r="V356" s="203" t="n">
        <v>43709</v>
      </c>
      <c r="W356" s="1" t="s">
        <v>4933</v>
      </c>
      <c r="X356" s="1"/>
    </row>
    <row r="357" s="151" customFormat="true" ht="12.8" hidden="false" customHeight="false" outlineLevel="0" collapsed="false">
      <c r="A357" s="1"/>
      <c r="B357" s="1" t="n">
        <v>9526</v>
      </c>
      <c r="C357" s="3" t="n">
        <v>43461</v>
      </c>
      <c r="D357" s="171" t="s">
        <v>22</v>
      </c>
      <c r="E357" s="8" t="s">
        <v>433</v>
      </c>
      <c r="F357" s="1" t="s">
        <v>434</v>
      </c>
      <c r="G357" s="2" t="s">
        <v>1567</v>
      </c>
      <c r="H357" s="2" t="n">
        <v>254</v>
      </c>
      <c r="I357" s="2" t="n">
        <v>2</v>
      </c>
      <c r="J357" s="276" t="n">
        <v>59.9</v>
      </c>
      <c r="K357" s="6" t="n">
        <v>492000</v>
      </c>
      <c r="L357" s="6" t="n">
        <f aca="false">K357/J357</f>
        <v>8213.68948247079</v>
      </c>
      <c r="M357" s="264"/>
      <c r="N357" s="6"/>
      <c r="O357" s="6" t="n">
        <f aca="false">K357+N357</f>
        <v>492000</v>
      </c>
      <c r="P357" s="166" t="n">
        <f aca="false">O357/J357</f>
        <v>8213.68948247079</v>
      </c>
      <c r="Q357" s="295"/>
      <c r="R357" s="2" t="s">
        <v>5324</v>
      </c>
      <c r="S357" s="5" t="s">
        <v>29</v>
      </c>
      <c r="T357" s="5" t="s">
        <v>1915</v>
      </c>
      <c r="U357" s="294" t="s">
        <v>31</v>
      </c>
      <c r="V357" s="203" t="n">
        <v>43709</v>
      </c>
      <c r="W357" s="1" t="s">
        <v>4927</v>
      </c>
      <c r="X357" s="1"/>
    </row>
    <row r="358" s="151" customFormat="true" ht="12.8" hidden="false" customHeight="false" outlineLevel="0" collapsed="false">
      <c r="A358" s="1"/>
      <c r="B358" s="1" t="n">
        <v>10412</v>
      </c>
      <c r="C358" s="3" t="n">
        <v>43461</v>
      </c>
      <c r="D358" s="171" t="s">
        <v>22</v>
      </c>
      <c r="E358" s="8" t="s">
        <v>623</v>
      </c>
      <c r="F358" s="1" t="s">
        <v>272</v>
      </c>
      <c r="G358" s="2" t="s">
        <v>3113</v>
      </c>
      <c r="H358" s="2" t="n">
        <v>83</v>
      </c>
      <c r="I358" s="2" t="n">
        <v>3</v>
      </c>
      <c r="J358" s="276" t="n">
        <v>69.48</v>
      </c>
      <c r="K358" s="6" t="n">
        <v>620917</v>
      </c>
      <c r="L358" s="6" t="n">
        <f aca="false">K358/J358</f>
        <v>8936.62924582614</v>
      </c>
      <c r="M358" s="264" t="s">
        <v>5236</v>
      </c>
      <c r="N358" s="6" t="n">
        <v>17700</v>
      </c>
      <c r="O358" s="6" t="n">
        <f aca="false">K358+N358</f>
        <v>638617</v>
      </c>
      <c r="P358" s="166" t="n">
        <f aca="false">O358/J358</f>
        <v>9191.37881404721</v>
      </c>
      <c r="Q358" s="295"/>
      <c r="R358" s="2" t="s">
        <v>5034</v>
      </c>
      <c r="S358" s="5" t="s">
        <v>29</v>
      </c>
      <c r="T358" s="5" t="s">
        <v>1915</v>
      </c>
      <c r="U358" s="294" t="s">
        <v>31</v>
      </c>
      <c r="V358" s="203" t="n">
        <v>43709</v>
      </c>
      <c r="W358" s="1" t="s">
        <v>4944</v>
      </c>
      <c r="X358" s="1"/>
    </row>
    <row r="359" s="151" customFormat="true" ht="12.8" hidden="false" customHeight="false" outlineLevel="0" collapsed="false">
      <c r="A359" s="1"/>
      <c r="B359" s="1" t="n">
        <v>6369</v>
      </c>
      <c r="C359" s="3" t="n">
        <v>43461</v>
      </c>
      <c r="D359" s="171" t="s">
        <v>22</v>
      </c>
      <c r="E359" s="8" t="s">
        <v>276</v>
      </c>
      <c r="F359" s="1" t="s">
        <v>2535</v>
      </c>
      <c r="G359" s="2" t="n">
        <v>6</v>
      </c>
      <c r="H359" s="2" t="n">
        <v>115</v>
      </c>
      <c r="I359" s="2" t="n">
        <v>5</v>
      </c>
      <c r="J359" s="276" t="n">
        <v>55.29</v>
      </c>
      <c r="K359" s="6" t="n">
        <v>395077.5</v>
      </c>
      <c r="L359" s="6" t="n">
        <f aca="false">K359/J359</f>
        <v>7145.55073250136</v>
      </c>
      <c r="M359" s="264" t="s">
        <v>5236</v>
      </c>
      <c r="N359" s="6" t="n">
        <v>29520</v>
      </c>
      <c r="O359" s="6" t="n">
        <f aca="false">K359+N359</f>
        <v>424597.5</v>
      </c>
      <c r="P359" s="166" t="n">
        <f aca="false">O359/J359</f>
        <v>7679.46283233858</v>
      </c>
      <c r="Q359" s="295"/>
      <c r="R359" s="2" t="s">
        <v>5212</v>
      </c>
      <c r="S359" s="5" t="s">
        <v>29</v>
      </c>
      <c r="T359" s="5" t="s">
        <v>1915</v>
      </c>
      <c r="U359" s="294" t="s">
        <v>31</v>
      </c>
      <c r="V359" s="203" t="n">
        <v>43709</v>
      </c>
      <c r="W359" s="1" t="s">
        <v>5213</v>
      </c>
      <c r="X359" s="1"/>
    </row>
    <row r="360" s="151" customFormat="true" ht="12.8" hidden="false" customHeight="false" outlineLevel="0" collapsed="false">
      <c r="A360" s="1"/>
      <c r="B360" s="1" t="n">
        <v>6380</v>
      </c>
      <c r="C360" s="3" t="n">
        <v>43461</v>
      </c>
      <c r="D360" s="171" t="s">
        <v>22</v>
      </c>
      <c r="E360" s="8" t="s">
        <v>276</v>
      </c>
      <c r="F360" s="1" t="s">
        <v>2535</v>
      </c>
      <c r="G360" s="2" t="n">
        <v>6</v>
      </c>
      <c r="H360" s="2" t="n">
        <v>74</v>
      </c>
      <c r="I360" s="2" t="n">
        <v>6</v>
      </c>
      <c r="J360" s="276" t="n">
        <v>53.53</v>
      </c>
      <c r="K360" s="6" t="n">
        <v>372889.98</v>
      </c>
      <c r="L360" s="6" t="n">
        <f aca="false">K360/J360</f>
        <v>6966</v>
      </c>
      <c r="M360" s="264" t="s">
        <v>987</v>
      </c>
      <c r="N360" s="6" t="n">
        <v>29520</v>
      </c>
      <c r="O360" s="6" t="n">
        <f aca="false">K360+N360</f>
        <v>402409.98</v>
      </c>
      <c r="P360" s="166" t="n">
        <f aca="false">O360/J360</f>
        <v>7517.46646740146</v>
      </c>
      <c r="Q360" s="295"/>
      <c r="R360" s="2" t="s">
        <v>5212</v>
      </c>
      <c r="S360" s="5" t="s">
        <v>29</v>
      </c>
      <c r="T360" s="5" t="s">
        <v>1915</v>
      </c>
      <c r="U360" s="294" t="s">
        <v>31</v>
      </c>
      <c r="V360" s="203" t="n">
        <v>43709</v>
      </c>
      <c r="W360" s="1" t="s">
        <v>5213</v>
      </c>
      <c r="X360" s="1"/>
    </row>
    <row r="361" s="151" customFormat="true" ht="12.8" hidden="false" customHeight="false" outlineLevel="0" collapsed="false">
      <c r="A361" s="1"/>
      <c r="B361" s="1" t="n">
        <v>6392</v>
      </c>
      <c r="C361" s="3" t="n">
        <v>43461</v>
      </c>
      <c r="D361" s="171" t="s">
        <v>22</v>
      </c>
      <c r="E361" s="8" t="s">
        <v>276</v>
      </c>
      <c r="F361" s="1" t="s">
        <v>2535</v>
      </c>
      <c r="G361" s="2" t="n">
        <v>6</v>
      </c>
      <c r="H361" s="2" t="n">
        <v>84</v>
      </c>
      <c r="I361" s="2" t="n">
        <v>8</v>
      </c>
      <c r="J361" s="276" t="n">
        <v>53.84</v>
      </c>
      <c r="K361" s="6" t="n">
        <v>375049.44</v>
      </c>
      <c r="L361" s="6" t="n">
        <f aca="false">K361/J361</f>
        <v>6966</v>
      </c>
      <c r="M361" s="264" t="s">
        <v>987</v>
      </c>
      <c r="N361" s="6" t="n">
        <v>29520</v>
      </c>
      <c r="O361" s="6" t="n">
        <f aca="false">K361+N361</f>
        <v>404569.44</v>
      </c>
      <c r="P361" s="166" t="n">
        <f aca="false">O361/J361</f>
        <v>7514.2912332838</v>
      </c>
      <c r="Q361" s="295"/>
      <c r="R361" s="2" t="s">
        <v>5212</v>
      </c>
      <c r="S361" s="5" t="s">
        <v>29</v>
      </c>
      <c r="T361" s="5" t="s">
        <v>1915</v>
      </c>
      <c r="U361" s="294" t="s">
        <v>31</v>
      </c>
      <c r="V361" s="203" t="n">
        <v>43709</v>
      </c>
      <c r="W361" s="1" t="s">
        <v>5213</v>
      </c>
      <c r="X361" s="1"/>
    </row>
    <row r="362" s="151" customFormat="true" ht="12.8" hidden="false" customHeight="false" outlineLevel="0" collapsed="false">
      <c r="A362" s="1"/>
      <c r="B362" s="1" t="n">
        <v>6358</v>
      </c>
      <c r="C362" s="3" t="n">
        <v>43461</v>
      </c>
      <c r="D362" s="171" t="s">
        <v>22</v>
      </c>
      <c r="E362" s="8" t="s">
        <v>276</v>
      </c>
      <c r="F362" s="1" t="s">
        <v>2535</v>
      </c>
      <c r="G362" s="2" t="n">
        <v>6</v>
      </c>
      <c r="H362" s="2" t="n">
        <v>25</v>
      </c>
      <c r="I362" s="2" t="n">
        <v>5</v>
      </c>
      <c r="J362" s="276" t="n">
        <v>55.17</v>
      </c>
      <c r="K362" s="6" t="n">
        <v>384314.22</v>
      </c>
      <c r="L362" s="6" t="n">
        <f aca="false">K362/J362</f>
        <v>6966</v>
      </c>
      <c r="M362" s="264"/>
      <c r="N362" s="6"/>
      <c r="O362" s="6" t="n">
        <f aca="false">K362+N362</f>
        <v>384314.22</v>
      </c>
      <c r="P362" s="166" t="n">
        <f aca="false">O362/J362</f>
        <v>6966</v>
      </c>
      <c r="Q362" s="295"/>
      <c r="R362" s="2" t="s">
        <v>5212</v>
      </c>
      <c r="S362" s="5" t="s">
        <v>29</v>
      </c>
      <c r="T362" s="5" t="s">
        <v>1915</v>
      </c>
      <c r="U362" s="294" t="s">
        <v>31</v>
      </c>
      <c r="V362" s="203" t="n">
        <v>43709</v>
      </c>
      <c r="W362" s="1" t="s">
        <v>5213</v>
      </c>
      <c r="X362" s="1"/>
    </row>
    <row r="363" s="151" customFormat="true" ht="12.8" hidden="false" customHeight="false" outlineLevel="0" collapsed="false">
      <c r="A363" s="1"/>
      <c r="B363" s="1" t="n">
        <v>6312</v>
      </c>
      <c r="C363" s="3" t="n">
        <v>43461</v>
      </c>
      <c r="D363" s="171" t="s">
        <v>22</v>
      </c>
      <c r="E363" s="8" t="s">
        <v>276</v>
      </c>
      <c r="F363" s="1" t="s">
        <v>2535</v>
      </c>
      <c r="G363" s="2" t="n">
        <v>6</v>
      </c>
      <c r="H363" s="2" t="n">
        <v>12</v>
      </c>
      <c r="I363" s="2" t="n">
        <v>3</v>
      </c>
      <c r="J363" s="276" t="n">
        <v>43.7</v>
      </c>
      <c r="K363" s="6" t="n">
        <v>304414.2</v>
      </c>
      <c r="L363" s="6" t="n">
        <f aca="false">K363/J363</f>
        <v>6966</v>
      </c>
      <c r="M363" s="264" t="s">
        <v>987</v>
      </c>
      <c r="N363" s="6" t="n">
        <v>29520</v>
      </c>
      <c r="O363" s="6" t="n">
        <f aca="false">K363+N363</f>
        <v>333934.2</v>
      </c>
      <c r="P363" s="166" t="n">
        <f aca="false">O363/J363</f>
        <v>7641.51487414188</v>
      </c>
      <c r="Q363" s="295"/>
      <c r="R363" s="2" t="s">
        <v>5212</v>
      </c>
      <c r="S363" s="5" t="s">
        <v>29</v>
      </c>
      <c r="T363" s="5" t="s">
        <v>1915</v>
      </c>
      <c r="U363" s="294" t="s">
        <v>31</v>
      </c>
      <c r="V363" s="203" t="n">
        <v>43709</v>
      </c>
      <c r="W363" s="1" t="s">
        <v>5213</v>
      </c>
      <c r="X363" s="1"/>
    </row>
    <row r="364" s="151" customFormat="true" ht="12.8" hidden="false" customHeight="false" outlineLevel="0" collapsed="false">
      <c r="A364" s="1"/>
      <c r="B364" s="1" t="n">
        <v>6346</v>
      </c>
      <c r="C364" s="3" t="n">
        <v>43461</v>
      </c>
      <c r="D364" s="171" t="s">
        <v>22</v>
      </c>
      <c r="E364" s="8" t="s">
        <v>276</v>
      </c>
      <c r="F364" s="1" t="s">
        <v>2535</v>
      </c>
      <c r="G364" s="2" t="n">
        <v>6</v>
      </c>
      <c r="H364" s="2" t="n">
        <v>92</v>
      </c>
      <c r="I364" s="2" t="n">
        <v>9</v>
      </c>
      <c r="J364" s="276" t="n">
        <v>98.55</v>
      </c>
      <c r="K364" s="6" t="n">
        <v>698370.66</v>
      </c>
      <c r="L364" s="6" t="n">
        <f aca="false">K364/J364</f>
        <v>7086.4602739726</v>
      </c>
      <c r="M364" s="264" t="s">
        <v>3302</v>
      </c>
      <c r="N364" s="6"/>
      <c r="O364" s="6" t="n">
        <f aca="false">K364+N364</f>
        <v>698370.66</v>
      </c>
      <c r="P364" s="166" t="n">
        <f aca="false">O364/J364</f>
        <v>7086.4602739726</v>
      </c>
      <c r="Q364" s="295"/>
      <c r="R364" s="2" t="s">
        <v>5325</v>
      </c>
      <c r="S364" s="5" t="s">
        <v>29</v>
      </c>
      <c r="T364" s="5" t="s">
        <v>1915</v>
      </c>
      <c r="U364" s="294" t="s">
        <v>31</v>
      </c>
      <c r="V364" s="203" t="n">
        <v>43709</v>
      </c>
      <c r="W364" s="1" t="s">
        <v>5213</v>
      </c>
      <c r="X364" s="1"/>
    </row>
    <row r="365" s="151" customFormat="true" ht="12.8" hidden="false" customHeight="false" outlineLevel="0" collapsed="false">
      <c r="A365" s="1"/>
      <c r="B365" s="1" t="n">
        <v>6405</v>
      </c>
      <c r="C365" s="3" t="n">
        <v>43461</v>
      </c>
      <c r="D365" s="171" t="s">
        <v>22</v>
      </c>
      <c r="E365" s="8" t="s">
        <v>276</v>
      </c>
      <c r="F365" s="1" t="s">
        <v>2535</v>
      </c>
      <c r="G365" s="2" t="n">
        <v>6</v>
      </c>
      <c r="H365" s="2" t="n">
        <v>31</v>
      </c>
      <c r="I365" s="2" t="n">
        <v>6</v>
      </c>
      <c r="J365" s="276" t="n">
        <v>56.08</v>
      </c>
      <c r="K365" s="6" t="n">
        <v>402213.6</v>
      </c>
      <c r="L365" s="6" t="n">
        <f aca="false">K365/J365</f>
        <v>7172.13980028531</v>
      </c>
      <c r="M365" s="264" t="s">
        <v>5236</v>
      </c>
      <c r="N365" s="6" t="n">
        <v>29520</v>
      </c>
      <c r="O365" s="6" t="n">
        <f aca="false">K365+N365</f>
        <v>431733.6</v>
      </c>
      <c r="P365" s="166" t="n">
        <f aca="false">O365/J365</f>
        <v>7698.53067047076</v>
      </c>
      <c r="Q365" s="295"/>
      <c r="R365" s="2" t="s">
        <v>5212</v>
      </c>
      <c r="S365" s="5" t="s">
        <v>29</v>
      </c>
      <c r="T365" s="5" t="s">
        <v>1915</v>
      </c>
      <c r="U365" s="294" t="s">
        <v>31</v>
      </c>
      <c r="V365" s="203" t="n">
        <v>43709</v>
      </c>
      <c r="W365" s="1" t="s">
        <v>5213</v>
      </c>
      <c r="X365" s="1"/>
    </row>
    <row r="366" s="151" customFormat="true" ht="12.8" hidden="false" customHeight="false" outlineLevel="0" collapsed="false">
      <c r="A366" s="1"/>
      <c r="B366" s="1" t="n">
        <v>12823</v>
      </c>
      <c r="C366" s="3" t="n">
        <v>43462</v>
      </c>
      <c r="D366" s="171" t="s">
        <v>22</v>
      </c>
      <c r="E366" s="8" t="s">
        <v>962</v>
      </c>
      <c r="F366" s="1" t="s">
        <v>5326</v>
      </c>
      <c r="G366" s="2" t="n">
        <v>2</v>
      </c>
      <c r="H366" s="2" t="n">
        <v>11</v>
      </c>
      <c r="I366" s="2" t="n">
        <v>2</v>
      </c>
      <c r="J366" s="276" t="n">
        <v>108.46</v>
      </c>
      <c r="K366" s="300" t="n">
        <v>0</v>
      </c>
      <c r="L366" s="6" t="n">
        <f aca="false">K366/J366</f>
        <v>0</v>
      </c>
      <c r="M366" s="264" t="s">
        <v>987</v>
      </c>
      <c r="N366" s="6"/>
      <c r="O366" s="6" t="n">
        <f aca="false">K366+N366</f>
        <v>0</v>
      </c>
      <c r="P366" s="166" t="n">
        <f aca="false">O366/J366</f>
        <v>0</v>
      </c>
      <c r="Q366" s="295"/>
      <c r="R366" s="301" t="s">
        <v>5239</v>
      </c>
      <c r="S366" s="5" t="s">
        <v>29</v>
      </c>
      <c r="T366" s="5" t="s">
        <v>1915</v>
      </c>
      <c r="U366" s="294" t="s">
        <v>31</v>
      </c>
      <c r="V366" s="203" t="n">
        <v>43709</v>
      </c>
      <c r="W366" s="1" t="s">
        <v>5327</v>
      </c>
      <c r="X366" s="1" t="s">
        <v>5226</v>
      </c>
    </row>
    <row r="367" s="151" customFormat="true" ht="12.8" hidden="false" customHeight="false" outlineLevel="0" collapsed="false">
      <c r="A367" s="1"/>
      <c r="B367" s="1" t="n">
        <v>41461</v>
      </c>
      <c r="C367" s="3" t="n">
        <v>43462</v>
      </c>
      <c r="D367" s="171" t="s">
        <v>22</v>
      </c>
      <c r="E367" s="8" t="s">
        <v>433</v>
      </c>
      <c r="F367" s="1" t="s">
        <v>434</v>
      </c>
      <c r="G367" s="2" t="s">
        <v>752</v>
      </c>
      <c r="H367" s="2" t="n">
        <v>149</v>
      </c>
      <c r="I367" s="2" t="n">
        <v>6</v>
      </c>
      <c r="J367" s="276" t="n">
        <v>107.04</v>
      </c>
      <c r="K367" s="6" t="n">
        <v>1101506</v>
      </c>
      <c r="L367" s="6" t="n">
        <f aca="false">K367/J367</f>
        <v>10290.6016442451</v>
      </c>
      <c r="M367" s="264" t="s">
        <v>5244</v>
      </c>
      <c r="N367" s="6"/>
      <c r="O367" s="6" t="n">
        <f aca="false">K367+N367</f>
        <v>1101506</v>
      </c>
      <c r="P367" s="166" t="n">
        <f aca="false">O367/J367</f>
        <v>10290.6016442451</v>
      </c>
      <c r="Q367" s="295"/>
      <c r="R367" s="2" t="s">
        <v>5328</v>
      </c>
      <c r="S367" s="5" t="s">
        <v>29</v>
      </c>
      <c r="T367" s="5" t="s">
        <v>1915</v>
      </c>
      <c r="U367" s="294" t="s">
        <v>31</v>
      </c>
      <c r="V367" s="203" t="n">
        <v>43709</v>
      </c>
      <c r="W367" s="1" t="s">
        <v>4927</v>
      </c>
      <c r="X367" s="1"/>
    </row>
    <row r="368" s="151" customFormat="true" ht="12.8" hidden="false" customHeight="false" outlineLevel="0" collapsed="false">
      <c r="A368" s="1"/>
      <c r="B368" s="1" t="n">
        <v>6729</v>
      </c>
      <c r="C368" s="3" t="n">
        <v>43462</v>
      </c>
      <c r="D368" s="171" t="s">
        <v>22</v>
      </c>
      <c r="E368" s="8" t="s">
        <v>229</v>
      </c>
      <c r="F368" s="1" t="s">
        <v>1722</v>
      </c>
      <c r="G368" s="2" t="s">
        <v>358</v>
      </c>
      <c r="H368" s="2" t="s">
        <v>5329</v>
      </c>
      <c r="I368" s="2" t="n">
        <v>1</v>
      </c>
      <c r="J368" s="276" t="n">
        <v>57.2</v>
      </c>
      <c r="K368" s="6" t="n">
        <v>395000</v>
      </c>
      <c r="L368" s="6" t="n">
        <f aca="false">K368/J368</f>
        <v>6905.59440559441</v>
      </c>
      <c r="M368" s="264" t="s">
        <v>5330</v>
      </c>
      <c r="N368" s="6"/>
      <c r="O368" s="6" t="n">
        <f aca="false">K368+N368</f>
        <v>395000</v>
      </c>
      <c r="P368" s="166" t="n">
        <f aca="false">O368/J368</f>
        <v>6905.59440559441</v>
      </c>
      <c r="Q368" s="295"/>
      <c r="R368" s="2"/>
      <c r="S368" s="5" t="s">
        <v>29</v>
      </c>
      <c r="T368" s="5" t="s">
        <v>1915</v>
      </c>
      <c r="U368" s="294" t="s">
        <v>31</v>
      </c>
      <c r="V368" s="203" t="n">
        <v>43709</v>
      </c>
      <c r="W368" s="1" t="s">
        <v>5331</v>
      </c>
      <c r="X368" s="1" t="s">
        <v>5251</v>
      </c>
    </row>
    <row r="369" s="151" customFormat="true" ht="12.8" hidden="false" customHeight="false" outlineLevel="0" collapsed="false">
      <c r="A369" s="1"/>
      <c r="B369" s="1" t="n">
        <v>6272</v>
      </c>
      <c r="C369" s="3" t="n">
        <v>43462</v>
      </c>
      <c r="D369" s="171" t="s">
        <v>22</v>
      </c>
      <c r="E369" s="8" t="s">
        <v>203</v>
      </c>
      <c r="F369" s="1" t="s">
        <v>1209</v>
      </c>
      <c r="G369" s="2" t="s">
        <v>5227</v>
      </c>
      <c r="H369" s="2" t="n">
        <v>133</v>
      </c>
      <c r="I369" s="2" t="n">
        <v>2</v>
      </c>
      <c r="J369" s="276" t="n">
        <v>44.57</v>
      </c>
      <c r="K369" s="300" t="n">
        <v>0</v>
      </c>
      <c r="L369" s="6" t="n">
        <f aca="false">K369/J369</f>
        <v>0</v>
      </c>
      <c r="M369" s="264" t="s">
        <v>987</v>
      </c>
      <c r="N369" s="6"/>
      <c r="O369" s="6" t="n">
        <f aca="false">K369+N369</f>
        <v>0</v>
      </c>
      <c r="P369" s="166" t="n">
        <f aca="false">O369/J369</f>
        <v>0</v>
      </c>
      <c r="Q369" s="295"/>
      <c r="R369" s="2" t="s">
        <v>5228</v>
      </c>
      <c r="S369" s="5" t="s">
        <v>29</v>
      </c>
      <c r="T369" s="5" t="s">
        <v>1915</v>
      </c>
      <c r="U369" s="294" t="s">
        <v>31</v>
      </c>
      <c r="V369" s="203" t="n">
        <v>43709</v>
      </c>
      <c r="W369" s="1" t="s">
        <v>5229</v>
      </c>
      <c r="X369" s="1" t="s">
        <v>5226</v>
      </c>
    </row>
    <row r="370" s="151" customFormat="true" ht="12.8" hidden="false" customHeight="false" outlineLevel="0" collapsed="false">
      <c r="A370" s="1"/>
      <c r="B370" s="1" t="n">
        <v>6565</v>
      </c>
      <c r="C370" s="3" t="n">
        <v>43462</v>
      </c>
      <c r="D370" s="171" t="s">
        <v>22</v>
      </c>
      <c r="E370" s="8" t="s">
        <v>276</v>
      </c>
      <c r="F370" s="1" t="s">
        <v>2535</v>
      </c>
      <c r="G370" s="2" t="n">
        <v>6</v>
      </c>
      <c r="H370" s="2" t="n">
        <v>44</v>
      </c>
      <c r="I370" s="2" t="n">
        <v>8</v>
      </c>
      <c r="J370" s="276" t="n">
        <v>33.95</v>
      </c>
      <c r="K370" s="6" t="n">
        <v>236495.7</v>
      </c>
      <c r="L370" s="6" t="n">
        <f aca="false">K370/J370</f>
        <v>6966</v>
      </c>
      <c r="M370" s="264"/>
      <c r="N370" s="6"/>
      <c r="O370" s="6" t="n">
        <f aca="false">K370+N370</f>
        <v>236495.7</v>
      </c>
      <c r="P370" s="166" t="n">
        <f aca="false">O370/J370</f>
        <v>6966</v>
      </c>
      <c r="Q370" s="295"/>
      <c r="R370" s="2" t="s">
        <v>5212</v>
      </c>
      <c r="S370" s="5" t="s">
        <v>29</v>
      </c>
      <c r="T370" s="5" t="s">
        <v>1915</v>
      </c>
      <c r="U370" s="294" t="s">
        <v>31</v>
      </c>
      <c r="V370" s="203" t="n">
        <v>43709</v>
      </c>
      <c r="W370" s="1" t="s">
        <v>5213</v>
      </c>
      <c r="X370" s="1"/>
    </row>
    <row r="371" s="151" customFormat="true" ht="12.8" hidden="false" customHeight="false" outlineLevel="0" collapsed="false">
      <c r="A371" s="1"/>
      <c r="B371" s="1" t="n">
        <v>6522</v>
      </c>
      <c r="C371" s="3" t="n">
        <v>43462</v>
      </c>
      <c r="D371" s="171" t="s">
        <v>22</v>
      </c>
      <c r="E371" s="8" t="s">
        <v>276</v>
      </c>
      <c r="F371" s="1" t="s">
        <v>2535</v>
      </c>
      <c r="G371" s="2" t="n">
        <v>6</v>
      </c>
      <c r="H371" s="2" t="n">
        <v>63</v>
      </c>
      <c r="I371" s="2" t="n">
        <v>4</v>
      </c>
      <c r="J371" s="276" t="n">
        <v>76.63</v>
      </c>
      <c r="K371" s="6" t="n">
        <v>533793.78</v>
      </c>
      <c r="L371" s="6" t="n">
        <f aca="false">K371/J371</f>
        <v>6965.85906303015</v>
      </c>
      <c r="M371" s="264" t="s">
        <v>987</v>
      </c>
      <c r="N371" s="6" t="n">
        <v>29520</v>
      </c>
      <c r="O371" s="6" t="n">
        <f aca="false">K371+N371</f>
        <v>563313.78</v>
      </c>
      <c r="P371" s="166" t="n">
        <f aca="false">O371/J371</f>
        <v>7351.08678063422</v>
      </c>
      <c r="Q371" s="295"/>
      <c r="R371" s="2" t="s">
        <v>5332</v>
      </c>
      <c r="S371" s="5" t="s">
        <v>29</v>
      </c>
      <c r="T371" s="5" t="s">
        <v>1915</v>
      </c>
      <c r="U371" s="294" t="s">
        <v>31</v>
      </c>
      <c r="V371" s="203" t="n">
        <v>43709</v>
      </c>
      <c r="W371" s="1" t="s">
        <v>5213</v>
      </c>
      <c r="X371" s="1"/>
    </row>
    <row r="372" s="151" customFormat="true" ht="12.8" hidden="false" customHeight="false" outlineLevel="0" collapsed="false">
      <c r="A372" s="1"/>
      <c r="B372" s="1" t="n">
        <v>6534</v>
      </c>
      <c r="C372" s="3" t="n">
        <v>43462</v>
      </c>
      <c r="D372" s="171" t="s">
        <v>22</v>
      </c>
      <c r="E372" s="8" t="s">
        <v>276</v>
      </c>
      <c r="F372" s="1" t="s">
        <v>2535</v>
      </c>
      <c r="G372" s="2" t="n">
        <v>6</v>
      </c>
      <c r="H372" s="2" t="n">
        <v>71</v>
      </c>
      <c r="I372" s="2" t="n">
        <v>5</v>
      </c>
      <c r="J372" s="276" t="n">
        <v>65.29</v>
      </c>
      <c r="K372" s="6" t="n">
        <v>454810.14</v>
      </c>
      <c r="L372" s="6" t="n">
        <f aca="false">K372/J372</f>
        <v>6966</v>
      </c>
      <c r="M372" s="264" t="s">
        <v>987</v>
      </c>
      <c r="N372" s="6" t="n">
        <v>29520</v>
      </c>
      <c r="O372" s="6" t="n">
        <f aca="false">K372+N372</f>
        <v>484330.14</v>
      </c>
      <c r="P372" s="166" t="n">
        <f aca="false">O372/J372</f>
        <v>7418.13662122837</v>
      </c>
      <c r="Q372" s="295"/>
      <c r="R372" s="2" t="s">
        <v>5333</v>
      </c>
      <c r="S372" s="5" t="s">
        <v>29</v>
      </c>
      <c r="T372" s="5" t="s">
        <v>1915</v>
      </c>
      <c r="U372" s="294" t="s">
        <v>31</v>
      </c>
      <c r="V372" s="203" t="n">
        <v>43709</v>
      </c>
      <c r="W372" s="1" t="s">
        <v>5213</v>
      </c>
      <c r="X372" s="1"/>
    </row>
    <row r="373" s="151" customFormat="true" ht="12.8" hidden="false" customHeight="false" outlineLevel="0" collapsed="false">
      <c r="A373" s="1"/>
      <c r="B373" s="1" t="n">
        <v>6595</v>
      </c>
      <c r="C373" s="3" t="n">
        <v>43462</v>
      </c>
      <c r="D373" s="171" t="s">
        <v>22</v>
      </c>
      <c r="E373" s="8" t="s">
        <v>276</v>
      </c>
      <c r="F373" s="1" t="s">
        <v>2535</v>
      </c>
      <c r="G373" s="2" t="n">
        <v>6</v>
      </c>
      <c r="H373" s="2" t="n">
        <v>124</v>
      </c>
      <c r="I373" s="2" t="n">
        <v>7</v>
      </c>
      <c r="J373" s="276" t="n">
        <v>35.26</v>
      </c>
      <c r="K373" s="6" t="n">
        <v>245621.16</v>
      </c>
      <c r="L373" s="6" t="n">
        <f aca="false">K373/J373</f>
        <v>6966</v>
      </c>
      <c r="M373" s="264"/>
      <c r="N373" s="6"/>
      <c r="O373" s="6" t="n">
        <f aca="false">K373+N373</f>
        <v>245621.16</v>
      </c>
      <c r="P373" s="166" t="n">
        <f aca="false">O373/J373</f>
        <v>6966</v>
      </c>
      <c r="Q373" s="295"/>
      <c r="R373" s="2" t="s">
        <v>5334</v>
      </c>
      <c r="S373" s="5" t="s">
        <v>29</v>
      </c>
      <c r="T373" s="5" t="s">
        <v>1915</v>
      </c>
      <c r="U373" s="294" t="s">
        <v>31</v>
      </c>
      <c r="V373" s="203" t="n">
        <v>43709</v>
      </c>
      <c r="W373" s="1" t="s">
        <v>5213</v>
      </c>
      <c r="X373" s="1"/>
    </row>
    <row r="374" s="151" customFormat="true" ht="12.8" hidden="false" customHeight="false" outlineLevel="0" collapsed="false">
      <c r="A374" s="1"/>
      <c r="B374" s="1" t="n">
        <v>6650</v>
      </c>
      <c r="C374" s="3" t="n">
        <v>43463</v>
      </c>
      <c r="D374" s="171" t="s">
        <v>22</v>
      </c>
      <c r="E374" s="8" t="s">
        <v>276</v>
      </c>
      <c r="F374" s="1" t="s">
        <v>2535</v>
      </c>
      <c r="G374" s="2" t="n">
        <v>6</v>
      </c>
      <c r="H374" s="2" t="n">
        <v>105</v>
      </c>
      <c r="I374" s="2" t="n">
        <v>3</v>
      </c>
      <c r="J374" s="276" t="n">
        <v>55.56</v>
      </c>
      <c r="K374" s="6" t="n">
        <v>398643.12</v>
      </c>
      <c r="L374" s="6" t="n">
        <f aca="false">K374/J374</f>
        <v>7175.00215982721</v>
      </c>
      <c r="M374" s="264" t="s">
        <v>5236</v>
      </c>
      <c r="N374" s="6" t="n">
        <v>29520</v>
      </c>
      <c r="O374" s="6" t="n">
        <f aca="false">K374+N374</f>
        <v>428163.12</v>
      </c>
      <c r="P374" s="166" t="n">
        <f aca="false">O374/J374</f>
        <v>7706.31965442765</v>
      </c>
      <c r="Q374" s="295"/>
      <c r="R374" s="2" t="s">
        <v>5212</v>
      </c>
      <c r="S374" s="5" t="s">
        <v>29</v>
      </c>
      <c r="T374" s="5" t="s">
        <v>1915</v>
      </c>
      <c r="U374" s="294" t="s">
        <v>31</v>
      </c>
      <c r="V374" s="203" t="n">
        <v>43709</v>
      </c>
      <c r="W374" s="1" t="s">
        <v>5213</v>
      </c>
      <c r="X374" s="1"/>
    </row>
    <row r="375" s="151" customFormat="true" ht="12.8" hidden="false" customHeight="false" outlineLevel="0" collapsed="false">
      <c r="A375" s="1"/>
      <c r="B375" s="1" t="n">
        <v>6639</v>
      </c>
      <c r="C375" s="3" t="n">
        <v>43463</v>
      </c>
      <c r="D375" s="171" t="s">
        <v>22</v>
      </c>
      <c r="E375" s="8" t="s">
        <v>276</v>
      </c>
      <c r="F375" s="1" t="s">
        <v>2535</v>
      </c>
      <c r="G375" s="2" t="n">
        <v>6</v>
      </c>
      <c r="H375" s="2" t="n">
        <v>108</v>
      </c>
      <c r="I375" s="2" t="n">
        <v>4</v>
      </c>
      <c r="J375" s="276" t="n">
        <v>52.72</v>
      </c>
      <c r="K375" s="6" t="n">
        <v>367247.52</v>
      </c>
      <c r="L375" s="6" t="n">
        <f aca="false">K375/J375</f>
        <v>6966</v>
      </c>
      <c r="M375" s="264" t="s">
        <v>987</v>
      </c>
      <c r="N375" s="6" t="n">
        <v>29520</v>
      </c>
      <c r="O375" s="6" t="n">
        <f aca="false">K375+N375</f>
        <v>396767.52</v>
      </c>
      <c r="P375" s="166" t="n">
        <f aca="false">O375/J375</f>
        <v>7525.93930197269</v>
      </c>
      <c r="Q375" s="295"/>
      <c r="R375" s="2" t="s">
        <v>5212</v>
      </c>
      <c r="S375" s="5" t="s">
        <v>29</v>
      </c>
      <c r="T375" s="5" t="s">
        <v>1915</v>
      </c>
      <c r="U375" s="294" t="s">
        <v>31</v>
      </c>
      <c r="V375" s="203" t="n">
        <v>43709</v>
      </c>
      <c r="W375" s="1" t="s">
        <v>5213</v>
      </c>
      <c r="X375" s="1"/>
    </row>
    <row r="376" s="151" customFormat="true" ht="12.8" hidden="false" customHeight="false" outlineLevel="0" collapsed="false">
      <c r="A376" s="1"/>
      <c r="B376" s="1" t="n">
        <v>6662</v>
      </c>
      <c r="C376" s="3" t="n">
        <v>43463</v>
      </c>
      <c r="D376" s="171" t="s">
        <v>22</v>
      </c>
      <c r="E376" s="8" t="s">
        <v>276</v>
      </c>
      <c r="F376" s="1" t="s">
        <v>2535</v>
      </c>
      <c r="G376" s="2" t="n">
        <v>6</v>
      </c>
      <c r="H376" s="2" t="n">
        <v>127</v>
      </c>
      <c r="I376" s="2" t="n">
        <v>7</v>
      </c>
      <c r="J376" s="276" t="n">
        <v>55.7</v>
      </c>
      <c r="K376" s="6" t="n">
        <v>395885.88</v>
      </c>
      <c r="L376" s="6" t="n">
        <f aca="false">K376/J376</f>
        <v>7107.46642728905</v>
      </c>
      <c r="M376" s="264" t="s">
        <v>5236</v>
      </c>
      <c r="N376" s="6" t="n">
        <v>29520</v>
      </c>
      <c r="O376" s="6" t="n">
        <f aca="false">K376+N376</f>
        <v>425405.88</v>
      </c>
      <c r="P376" s="166" t="n">
        <f aca="false">O376/J376</f>
        <v>7637.44847396768</v>
      </c>
      <c r="Q376" s="295"/>
      <c r="R376" s="2" t="s">
        <v>5212</v>
      </c>
      <c r="S376" s="5" t="s">
        <v>29</v>
      </c>
      <c r="T376" s="5" t="s">
        <v>1915</v>
      </c>
      <c r="U376" s="294" t="s">
        <v>31</v>
      </c>
      <c r="V376" s="203" t="n">
        <v>43709</v>
      </c>
      <c r="W376" s="1" t="s">
        <v>5213</v>
      </c>
      <c r="X376" s="1"/>
    </row>
    <row r="377" s="151" customFormat="true" ht="12.8" hidden="false" customHeight="false" outlineLevel="0" collapsed="false">
      <c r="A377" s="1"/>
      <c r="B377" s="1" t="n">
        <v>6684</v>
      </c>
      <c r="C377" s="3" t="n">
        <v>43463</v>
      </c>
      <c r="D377" s="171" t="s">
        <v>22</v>
      </c>
      <c r="E377" s="8" t="s">
        <v>276</v>
      </c>
      <c r="F377" s="1" t="s">
        <v>2535</v>
      </c>
      <c r="G377" s="2" t="n">
        <v>6</v>
      </c>
      <c r="H377" s="2" t="n">
        <v>132</v>
      </c>
      <c r="I377" s="2" t="n">
        <v>8</v>
      </c>
      <c r="J377" s="276" t="n">
        <v>52.41</v>
      </c>
      <c r="K377" s="6" t="n">
        <v>371593.98</v>
      </c>
      <c r="L377" s="6" t="n">
        <f aca="false">K377/J377</f>
        <v>7090.13508872353</v>
      </c>
      <c r="M377" s="264" t="s">
        <v>5236</v>
      </c>
      <c r="N377" s="6" t="n">
        <v>29520</v>
      </c>
      <c r="O377" s="6" t="n">
        <f aca="false">K377+N377</f>
        <v>401113.98</v>
      </c>
      <c r="P377" s="166" t="n">
        <f aca="false">O377/J377</f>
        <v>7653.38637664568</v>
      </c>
      <c r="Q377" s="295"/>
      <c r="R377" s="2" t="s">
        <v>5212</v>
      </c>
      <c r="S377" s="5" t="s">
        <v>29</v>
      </c>
      <c r="T377" s="5" t="s">
        <v>1915</v>
      </c>
      <c r="U377" s="294" t="s">
        <v>31</v>
      </c>
      <c r="V377" s="203" t="n">
        <v>43709</v>
      </c>
      <c r="W377" s="1" t="s">
        <v>5213</v>
      </c>
      <c r="X377" s="1"/>
    </row>
    <row r="378" s="151" customFormat="true" ht="12.8" hidden="false" customHeight="false" outlineLevel="0" collapsed="false">
      <c r="A378" s="1"/>
      <c r="B378" s="1" t="n">
        <v>6673</v>
      </c>
      <c r="C378" s="3" t="n">
        <v>43463</v>
      </c>
      <c r="D378" s="171" t="s">
        <v>22</v>
      </c>
      <c r="E378" s="8" t="s">
        <v>276</v>
      </c>
      <c r="F378" s="1" t="s">
        <v>2535</v>
      </c>
      <c r="G378" s="2" t="n">
        <v>6</v>
      </c>
      <c r="H378" s="2" t="n">
        <v>113</v>
      </c>
      <c r="I378" s="2" t="n">
        <v>5</v>
      </c>
      <c r="J378" s="276" t="n">
        <v>52.86</v>
      </c>
      <c r="K378" s="6" t="n">
        <v>368222.76</v>
      </c>
      <c r="L378" s="6" t="n">
        <f aca="false">K378/J378</f>
        <v>6966</v>
      </c>
      <c r="M378" s="264"/>
      <c r="N378" s="6"/>
      <c r="O378" s="6" t="n">
        <f aca="false">K378+N378</f>
        <v>368222.76</v>
      </c>
      <c r="P378" s="166" t="n">
        <f aca="false">O378/J378</f>
        <v>6966</v>
      </c>
      <c r="Q378" s="295"/>
      <c r="R378" s="2" t="s">
        <v>5212</v>
      </c>
      <c r="S378" s="5" t="s">
        <v>29</v>
      </c>
      <c r="T378" s="5" t="s">
        <v>1915</v>
      </c>
      <c r="U378" s="294" t="s">
        <v>31</v>
      </c>
      <c r="V378" s="203" t="n">
        <v>43709</v>
      </c>
      <c r="W378" s="1" t="s">
        <v>5213</v>
      </c>
      <c r="X378" s="1" t="s">
        <v>5298</v>
      </c>
    </row>
    <row r="379" s="151" customFormat="true" ht="12.8" hidden="false" customHeight="false" outlineLevel="0" collapsed="false">
      <c r="A379" s="1"/>
      <c r="B379" s="1" t="n">
        <v>10250</v>
      </c>
      <c r="C379" s="3" t="n">
        <v>43465</v>
      </c>
      <c r="D379" s="171" t="s">
        <v>22</v>
      </c>
      <c r="E379" s="222" t="s">
        <v>522</v>
      </c>
      <c r="F379" s="1" t="s">
        <v>523</v>
      </c>
      <c r="G379" s="2" t="n">
        <v>11</v>
      </c>
      <c r="H379" s="2" t="n">
        <v>80</v>
      </c>
      <c r="I379" s="2" t="n">
        <v>8</v>
      </c>
      <c r="J379" s="276" t="n">
        <v>83.11</v>
      </c>
      <c r="K379" s="6" t="n">
        <v>762000</v>
      </c>
      <c r="L379" s="6" t="n">
        <f aca="false">K379/J379</f>
        <v>9168.5717723499</v>
      </c>
      <c r="M379" s="264" t="s">
        <v>3302</v>
      </c>
      <c r="N379" s="6"/>
      <c r="O379" s="6" t="n">
        <f aca="false">K379+N379</f>
        <v>762000</v>
      </c>
      <c r="P379" s="166" t="n">
        <f aca="false">O379/J379</f>
        <v>9168.5717723499</v>
      </c>
      <c r="Q379" s="295"/>
      <c r="R379" s="2" t="s">
        <v>5260</v>
      </c>
      <c r="S379" s="5" t="s">
        <v>29</v>
      </c>
      <c r="T379" s="5" t="s">
        <v>1915</v>
      </c>
      <c r="U379" s="294" t="s">
        <v>31</v>
      </c>
      <c r="V379" s="203" t="n">
        <v>43709</v>
      </c>
      <c r="W379" s="1" t="s">
        <v>4950</v>
      </c>
      <c r="X379" s="1"/>
    </row>
    <row r="380" s="303" customFormat="true" ht="12.8" hidden="false" customHeight="false" outlineLevel="0" collapsed="false">
      <c r="A380" s="32"/>
      <c r="B380" s="73" t="s">
        <v>5335</v>
      </c>
      <c r="C380" s="185" t="n">
        <v>43467</v>
      </c>
      <c r="D380" s="80" t="s">
        <v>22</v>
      </c>
      <c r="E380" s="73" t="s">
        <v>433</v>
      </c>
      <c r="F380" s="190" t="s">
        <v>434</v>
      </c>
      <c r="G380" s="73" t="s">
        <v>101</v>
      </c>
      <c r="H380" s="73" t="s">
        <v>78</v>
      </c>
      <c r="I380" s="73" t="n">
        <v>4</v>
      </c>
      <c r="J380" s="74" t="n">
        <v>27.61</v>
      </c>
      <c r="K380" s="78" t="n">
        <v>254117.81</v>
      </c>
      <c r="L380" s="302" t="n">
        <f aca="false">K380/J380</f>
        <v>9203.8323071351</v>
      </c>
      <c r="M380" s="32" t="s">
        <v>940</v>
      </c>
      <c r="N380" s="293"/>
      <c r="O380" s="6" t="n">
        <f aca="false">K380+N380</f>
        <v>254117.81</v>
      </c>
      <c r="P380" s="166" t="n">
        <f aca="false">O380/J380</f>
        <v>9203.8323071351</v>
      </c>
      <c r="Q380" s="32"/>
      <c r="R380" s="80"/>
      <c r="S380" s="5" t="s">
        <v>29</v>
      </c>
      <c r="T380" s="5" t="s">
        <v>1915</v>
      </c>
      <c r="U380" s="294" t="s">
        <v>31</v>
      </c>
      <c r="V380" s="203" t="n">
        <v>43709</v>
      </c>
      <c r="W380" s="32"/>
      <c r="X380" s="32"/>
    </row>
    <row r="381" s="151" customFormat="true" ht="12.8" hidden="false" customHeight="false" outlineLevel="0" collapsed="false">
      <c r="A381" s="1"/>
      <c r="B381" s="1" t="n">
        <v>179</v>
      </c>
      <c r="C381" s="3" t="n">
        <v>43468</v>
      </c>
      <c r="D381" s="171" t="s">
        <v>22</v>
      </c>
      <c r="E381" s="8" t="s">
        <v>3085</v>
      </c>
      <c r="F381" s="1" t="s">
        <v>3086</v>
      </c>
      <c r="G381" s="2" t="n">
        <v>7</v>
      </c>
      <c r="H381" s="2" t="n">
        <v>30</v>
      </c>
      <c r="I381" s="2" t="n">
        <v>8</v>
      </c>
      <c r="J381" s="276" t="n">
        <v>43.33</v>
      </c>
      <c r="K381" s="6" t="n">
        <v>391139.77</v>
      </c>
      <c r="L381" s="6" t="n">
        <f aca="false">K381/J381</f>
        <v>9026.99676898223</v>
      </c>
      <c r="M381" s="264" t="s">
        <v>987</v>
      </c>
      <c r="N381" s="6" t="n">
        <v>31000</v>
      </c>
      <c r="O381" s="6" t="n">
        <f aca="false">K381+N381</f>
        <v>422139.77</v>
      </c>
      <c r="P381" s="166" t="n">
        <f aca="false">O381/J381</f>
        <v>9742.43641818602</v>
      </c>
      <c r="Q381" s="295"/>
      <c r="R381" s="2" t="s">
        <v>5228</v>
      </c>
      <c r="S381" s="5" t="s">
        <v>29</v>
      </c>
      <c r="T381" s="5" t="s">
        <v>1915</v>
      </c>
      <c r="U381" s="294" t="s">
        <v>31</v>
      </c>
      <c r="V381" s="203" t="n">
        <v>43709</v>
      </c>
      <c r="W381" s="1" t="s">
        <v>5201</v>
      </c>
      <c r="X381" s="1"/>
    </row>
    <row r="382" s="151" customFormat="true" ht="12.8" hidden="false" customHeight="false" outlineLevel="0" collapsed="false">
      <c r="A382" s="1"/>
      <c r="B382" s="1" t="n">
        <v>221</v>
      </c>
      <c r="C382" s="3" t="n">
        <v>43468</v>
      </c>
      <c r="D382" s="171" t="s">
        <v>22</v>
      </c>
      <c r="E382" s="8" t="s">
        <v>3085</v>
      </c>
      <c r="F382" s="1" t="s">
        <v>3086</v>
      </c>
      <c r="G382" s="2" t="n">
        <v>7</v>
      </c>
      <c r="H382" s="2" t="n">
        <v>105</v>
      </c>
      <c r="I382" s="2" t="n">
        <v>3</v>
      </c>
      <c r="J382" s="276" t="n">
        <v>68.45</v>
      </c>
      <c r="K382" s="6" t="n">
        <v>558099.13</v>
      </c>
      <c r="L382" s="6" t="n">
        <f aca="false">K382/J382</f>
        <v>8153.38392987582</v>
      </c>
      <c r="M382" s="264" t="s">
        <v>987</v>
      </c>
      <c r="N382" s="6" t="n">
        <v>23331.16</v>
      </c>
      <c r="O382" s="6" t="n">
        <f aca="false">K382+N382</f>
        <v>581430.29</v>
      </c>
      <c r="P382" s="166" t="n">
        <f aca="false">O382/J382</f>
        <v>8494.23360116874</v>
      </c>
      <c r="Q382" s="295"/>
      <c r="R382" s="2" t="s">
        <v>5336</v>
      </c>
      <c r="S382" s="5" t="s">
        <v>29</v>
      </c>
      <c r="T382" s="5" t="s">
        <v>1915</v>
      </c>
      <c r="U382" s="294" t="s">
        <v>31</v>
      </c>
      <c r="V382" s="203" t="n">
        <v>43709</v>
      </c>
      <c r="W382" s="1" t="s">
        <v>5201</v>
      </c>
      <c r="X382" s="1"/>
    </row>
    <row r="383" s="151" customFormat="true" ht="12.8" hidden="false" customHeight="false" outlineLevel="0" collapsed="false">
      <c r="A383" s="1"/>
      <c r="B383" s="1" t="s">
        <v>2313</v>
      </c>
      <c r="C383" s="3" t="n">
        <v>43468</v>
      </c>
      <c r="D383" s="2" t="s">
        <v>22</v>
      </c>
      <c r="E383" s="2" t="s">
        <v>5337</v>
      </c>
      <c r="F383" s="1" t="s">
        <v>1209</v>
      </c>
      <c r="G383" s="2" t="s">
        <v>4528</v>
      </c>
      <c r="H383" s="2" t="s">
        <v>116</v>
      </c>
      <c r="I383" s="2" t="n">
        <v>7</v>
      </c>
      <c r="J383" s="276" t="n">
        <v>93.14</v>
      </c>
      <c r="K383" s="7" t="n">
        <v>946086.56</v>
      </c>
      <c r="L383" s="6" t="n">
        <f aca="false">K383/J383</f>
        <v>10157.6826283015</v>
      </c>
      <c r="M383" s="1" t="s">
        <v>1739</v>
      </c>
      <c r="N383" s="7"/>
      <c r="O383" s="6" t="n">
        <f aca="false">K383+N383</f>
        <v>946086.56</v>
      </c>
      <c r="P383" s="166" t="n">
        <f aca="false">O383/J383</f>
        <v>10157.6826283015</v>
      </c>
      <c r="Q383" s="1"/>
      <c r="R383" s="2"/>
      <c r="S383" s="5" t="s">
        <v>29</v>
      </c>
      <c r="T383" s="5" t="s">
        <v>1915</v>
      </c>
      <c r="U383" s="294" t="s">
        <v>31</v>
      </c>
      <c r="V383" s="203" t="n">
        <v>43709</v>
      </c>
      <c r="W383" s="1"/>
      <c r="X383" s="1"/>
    </row>
    <row r="384" s="151" customFormat="true" ht="12.8" hidden="false" customHeight="false" outlineLevel="0" collapsed="false">
      <c r="A384" s="1"/>
      <c r="B384" s="1" t="s">
        <v>5338</v>
      </c>
      <c r="C384" s="3" t="n">
        <v>43468</v>
      </c>
      <c r="D384" s="2" t="s">
        <v>22</v>
      </c>
      <c r="E384" s="2" t="s">
        <v>5337</v>
      </c>
      <c r="F384" s="1" t="s">
        <v>1209</v>
      </c>
      <c r="G384" s="2" t="s">
        <v>4528</v>
      </c>
      <c r="H384" s="2" t="s">
        <v>2815</v>
      </c>
      <c r="I384" s="2" t="n">
        <v>1</v>
      </c>
      <c r="J384" s="276" t="n">
        <v>80.18</v>
      </c>
      <c r="K384" s="7" t="n">
        <v>838961.1</v>
      </c>
      <c r="L384" s="6" t="n">
        <f aca="false">K384/J384</f>
        <v>10463.4709403841</v>
      </c>
      <c r="M384" s="1" t="s">
        <v>1694</v>
      </c>
      <c r="N384" s="7"/>
      <c r="O384" s="6" t="n">
        <f aca="false">K384+N384</f>
        <v>838961.1</v>
      </c>
      <c r="P384" s="166" t="n">
        <f aca="false">O384/J384</f>
        <v>10463.4709403841</v>
      </c>
      <c r="Q384" s="1"/>
      <c r="R384" s="2"/>
      <c r="S384" s="5" t="s">
        <v>29</v>
      </c>
      <c r="T384" s="5" t="s">
        <v>1915</v>
      </c>
      <c r="U384" s="294" t="s">
        <v>31</v>
      </c>
      <c r="V384" s="203" t="n">
        <v>43709</v>
      </c>
      <c r="W384" s="1"/>
      <c r="X384" s="1"/>
    </row>
    <row r="385" s="151" customFormat="true" ht="12.8" hidden="false" customHeight="false" outlineLevel="0" collapsed="false">
      <c r="A385" s="1"/>
      <c r="B385" s="1" t="s">
        <v>5339</v>
      </c>
      <c r="C385" s="3" t="n">
        <v>43468</v>
      </c>
      <c r="D385" s="2" t="s">
        <v>22</v>
      </c>
      <c r="E385" s="2" t="s">
        <v>5337</v>
      </c>
      <c r="F385" s="1" t="s">
        <v>1209</v>
      </c>
      <c r="G385" s="2" t="s">
        <v>4528</v>
      </c>
      <c r="H385" s="2" t="s">
        <v>2186</v>
      </c>
      <c r="I385" s="2" t="n">
        <v>8</v>
      </c>
      <c r="J385" s="276" t="n">
        <v>52.48</v>
      </c>
      <c r="K385" s="7" t="n">
        <v>581226.46</v>
      </c>
      <c r="L385" s="6" t="n">
        <f aca="false">K385/J385</f>
        <v>11075.1993140244</v>
      </c>
      <c r="M385" s="1" t="s">
        <v>1739</v>
      </c>
      <c r="N385" s="7"/>
      <c r="O385" s="6" t="n">
        <f aca="false">K385+N385</f>
        <v>581226.46</v>
      </c>
      <c r="P385" s="166" t="n">
        <f aca="false">O385/J385</f>
        <v>11075.1993140244</v>
      </c>
      <c r="Q385" s="1"/>
      <c r="R385" s="2"/>
      <c r="S385" s="5" t="s">
        <v>29</v>
      </c>
      <c r="T385" s="5" t="s">
        <v>1915</v>
      </c>
      <c r="U385" s="294" t="s">
        <v>31</v>
      </c>
      <c r="V385" s="203" t="n">
        <v>43709</v>
      </c>
      <c r="W385" s="1"/>
      <c r="X385" s="1"/>
    </row>
    <row r="386" s="151" customFormat="true" ht="12.8" hidden="false" customHeight="false" outlineLevel="0" collapsed="false">
      <c r="A386" s="1"/>
      <c r="B386" s="1" t="s">
        <v>2419</v>
      </c>
      <c r="C386" s="3" t="n">
        <v>43468</v>
      </c>
      <c r="D386" s="2" t="s">
        <v>22</v>
      </c>
      <c r="E386" s="2" t="s">
        <v>5337</v>
      </c>
      <c r="F386" s="1" t="s">
        <v>1209</v>
      </c>
      <c r="G386" s="2" t="s">
        <v>4528</v>
      </c>
      <c r="H386" s="2" t="s">
        <v>380</v>
      </c>
      <c r="I386" s="2" t="n">
        <v>4</v>
      </c>
      <c r="J386" s="276" t="n">
        <v>60.94</v>
      </c>
      <c r="K386" s="7" t="n">
        <v>537294.78</v>
      </c>
      <c r="L386" s="6" t="n">
        <f aca="false">K386/J386</f>
        <v>8816.78339350181</v>
      </c>
      <c r="M386" s="1"/>
      <c r="N386" s="7"/>
      <c r="O386" s="6" t="n">
        <f aca="false">K386+N386</f>
        <v>537294.78</v>
      </c>
      <c r="P386" s="166" t="n">
        <f aca="false">O386/J386</f>
        <v>8816.78339350181</v>
      </c>
      <c r="Q386" s="1"/>
      <c r="R386" s="2"/>
      <c r="S386" s="5" t="s">
        <v>29</v>
      </c>
      <c r="T386" s="5" t="s">
        <v>1915</v>
      </c>
      <c r="U386" s="294" t="s">
        <v>31</v>
      </c>
      <c r="V386" s="203" t="n">
        <v>43709</v>
      </c>
      <c r="W386" s="1"/>
      <c r="X386" s="1"/>
    </row>
    <row r="387" s="303" customFormat="true" ht="12.8" hidden="false" customHeight="false" outlineLevel="0" collapsed="false">
      <c r="A387" s="1"/>
      <c r="B387" s="73" t="s">
        <v>5340</v>
      </c>
      <c r="C387" s="185" t="n">
        <v>43468</v>
      </c>
      <c r="D387" s="80" t="s">
        <v>22</v>
      </c>
      <c r="E387" s="73" t="s">
        <v>962</v>
      </c>
      <c r="F387" s="190" t="s">
        <v>5326</v>
      </c>
      <c r="G387" s="73" t="s">
        <v>36</v>
      </c>
      <c r="H387" s="73" t="s">
        <v>154</v>
      </c>
      <c r="I387" s="73" t="n">
        <v>3</v>
      </c>
      <c r="J387" s="74" t="n">
        <v>63.18</v>
      </c>
      <c r="K387" s="78" t="n">
        <v>560000</v>
      </c>
      <c r="L387" s="302" t="n">
        <f aca="false">K387/J387</f>
        <v>8863.56441911997</v>
      </c>
      <c r="M387" s="32" t="s">
        <v>5155</v>
      </c>
      <c r="N387" s="293"/>
      <c r="O387" s="302" t="n">
        <f aca="false">K387+N387</f>
        <v>560000</v>
      </c>
      <c r="P387" s="304" t="n">
        <f aca="false">O387/J387</f>
        <v>8863.56441911997</v>
      </c>
      <c r="Q387" s="32"/>
      <c r="R387" s="80"/>
      <c r="S387" s="5" t="s">
        <v>29</v>
      </c>
      <c r="T387" s="5" t="s">
        <v>1915</v>
      </c>
      <c r="U387" s="294" t="s">
        <v>31</v>
      </c>
      <c r="V387" s="203" t="n">
        <v>43709</v>
      </c>
      <c r="W387" s="32"/>
      <c r="X387" s="32"/>
    </row>
    <row r="388" s="151" customFormat="true" ht="12.8" hidden="false" customHeight="false" outlineLevel="0" collapsed="false">
      <c r="A388" s="1"/>
      <c r="B388" s="1" t="n">
        <v>54</v>
      </c>
      <c r="C388" s="3" t="n">
        <v>43469</v>
      </c>
      <c r="D388" s="171" t="s">
        <v>22</v>
      </c>
      <c r="E388" s="8" t="s">
        <v>5216</v>
      </c>
      <c r="F388" s="1" t="s">
        <v>5217</v>
      </c>
      <c r="G388" s="2" t="n">
        <v>6</v>
      </c>
      <c r="H388" s="2" t="n">
        <v>11</v>
      </c>
      <c r="I388" s="2" t="n">
        <v>2</v>
      </c>
      <c r="J388" s="276" t="n">
        <v>117.58</v>
      </c>
      <c r="K388" s="6" t="n">
        <v>1295433.62</v>
      </c>
      <c r="L388" s="6" t="n">
        <f aca="false">K388/J388</f>
        <v>11017.4657254635</v>
      </c>
      <c r="M388" s="264" t="s">
        <v>5341</v>
      </c>
      <c r="N388" s="6"/>
      <c r="O388" s="6" t="n">
        <f aca="false">K388+N388</f>
        <v>1295433.62</v>
      </c>
      <c r="P388" s="166" t="n">
        <f aca="false">O388/J388</f>
        <v>11017.4657254635</v>
      </c>
      <c r="Q388" s="295"/>
      <c r="R388" s="2" t="s">
        <v>5342</v>
      </c>
      <c r="S388" s="5" t="s">
        <v>29</v>
      </c>
      <c r="T388" s="5" t="s">
        <v>1915</v>
      </c>
      <c r="U388" s="294" t="s">
        <v>31</v>
      </c>
      <c r="V388" s="203" t="n">
        <v>43709</v>
      </c>
      <c r="W388" s="1" t="s">
        <v>5220</v>
      </c>
      <c r="X388" s="1"/>
    </row>
    <row r="389" s="151" customFormat="true" ht="12.8" hidden="false" customHeight="false" outlineLevel="0" collapsed="false">
      <c r="A389" s="1"/>
      <c r="B389" s="1" t="n">
        <v>38</v>
      </c>
      <c r="C389" s="3" t="n">
        <v>43469</v>
      </c>
      <c r="D389" s="171" t="s">
        <v>22</v>
      </c>
      <c r="E389" s="222" t="s">
        <v>1380</v>
      </c>
      <c r="F389" s="1" t="s">
        <v>1381</v>
      </c>
      <c r="G389" s="2" t="s">
        <v>5343</v>
      </c>
      <c r="H389" s="2" t="n">
        <v>9</v>
      </c>
      <c r="I389" s="2" t="n">
        <v>1</v>
      </c>
      <c r="J389" s="276" t="n">
        <v>135.26</v>
      </c>
      <c r="K389" s="6" t="n">
        <v>1466363.63</v>
      </c>
      <c r="L389" s="6" t="n">
        <f aca="false">K389/J389</f>
        <v>10841.0737098921</v>
      </c>
      <c r="M389" s="264" t="s">
        <v>5233</v>
      </c>
      <c r="N389" s="6"/>
      <c r="O389" s="6" t="n">
        <f aca="false">K389+N389</f>
        <v>1466363.63</v>
      </c>
      <c r="P389" s="166" t="n">
        <f aca="false">O389/J389</f>
        <v>10841.0737098921</v>
      </c>
      <c r="Q389" s="295"/>
      <c r="R389" s="2" t="s">
        <v>5344</v>
      </c>
      <c r="S389" s="5" t="s">
        <v>29</v>
      </c>
      <c r="T389" s="5" t="s">
        <v>1915</v>
      </c>
      <c r="U389" s="294" t="s">
        <v>31</v>
      </c>
      <c r="V389" s="203" t="n">
        <v>43709</v>
      </c>
      <c r="W389" s="1" t="s">
        <v>5345</v>
      </c>
      <c r="X389" s="1"/>
    </row>
    <row r="390" s="151" customFormat="true" ht="12.8" hidden="false" customHeight="false" outlineLevel="0" collapsed="false">
      <c r="A390" s="1"/>
      <c r="B390" s="1" t="n">
        <v>52</v>
      </c>
      <c r="C390" s="3" t="n">
        <v>43469</v>
      </c>
      <c r="D390" s="171" t="s">
        <v>22</v>
      </c>
      <c r="E390" s="222" t="s">
        <v>1380</v>
      </c>
      <c r="F390" s="1" t="s">
        <v>1381</v>
      </c>
      <c r="G390" s="2" t="s">
        <v>384</v>
      </c>
      <c r="H390" s="2" t="n">
        <v>6</v>
      </c>
      <c r="I390" s="2" t="n">
        <v>2</v>
      </c>
      <c r="J390" s="276" t="n">
        <v>87.4</v>
      </c>
      <c r="K390" s="6" t="n">
        <v>899500</v>
      </c>
      <c r="L390" s="6" t="n">
        <f aca="false">K390/J390</f>
        <v>10291.76201373</v>
      </c>
      <c r="M390" s="264" t="s">
        <v>5236</v>
      </c>
      <c r="N390" s="6"/>
      <c r="O390" s="6" t="n">
        <f aca="false">K390+N390</f>
        <v>899500</v>
      </c>
      <c r="P390" s="166" t="n">
        <f aca="false">O390/J390</f>
        <v>10291.76201373</v>
      </c>
      <c r="Q390" s="295"/>
      <c r="R390" s="2" t="s">
        <v>5325</v>
      </c>
      <c r="S390" s="5" t="s">
        <v>29</v>
      </c>
      <c r="T390" s="5" t="s">
        <v>1915</v>
      </c>
      <c r="U390" s="294" t="s">
        <v>31</v>
      </c>
      <c r="V390" s="203" t="n">
        <v>43709</v>
      </c>
      <c r="W390" s="1" t="s">
        <v>5345</v>
      </c>
      <c r="X390" s="1"/>
    </row>
    <row r="391" s="151" customFormat="true" ht="12.8" hidden="false" customHeight="false" outlineLevel="0" collapsed="false">
      <c r="A391" s="1"/>
      <c r="B391" s="1" t="n">
        <v>96</v>
      </c>
      <c r="C391" s="3" t="n">
        <v>43472</v>
      </c>
      <c r="D391" s="171" t="s">
        <v>22</v>
      </c>
      <c r="E391" s="222" t="s">
        <v>156</v>
      </c>
      <c r="F391" s="1" t="s">
        <v>4747</v>
      </c>
      <c r="G391" s="2" t="n">
        <v>9</v>
      </c>
      <c r="H391" s="2" t="s">
        <v>4583</v>
      </c>
      <c r="I391" s="2" t="n">
        <v>1</v>
      </c>
      <c r="J391" s="276" t="n">
        <v>51.81</v>
      </c>
      <c r="K391" s="6" t="n">
        <v>407848.32</v>
      </c>
      <c r="L391" s="6" t="n">
        <f aca="false">K391/J391</f>
        <v>7872</v>
      </c>
      <c r="M391" s="264"/>
      <c r="N391" s="6"/>
      <c r="O391" s="6" t="n">
        <f aca="false">K391+N391</f>
        <v>407848.32</v>
      </c>
      <c r="P391" s="166" t="n">
        <f aca="false">O391/J391</f>
        <v>7872</v>
      </c>
      <c r="Q391" s="295"/>
      <c r="R391" s="2" t="s">
        <v>5346</v>
      </c>
      <c r="S391" s="5" t="s">
        <v>29</v>
      </c>
      <c r="T391" s="5" t="s">
        <v>1915</v>
      </c>
      <c r="U391" s="294" t="s">
        <v>31</v>
      </c>
      <c r="V391" s="203" t="n">
        <v>43709</v>
      </c>
      <c r="W391" s="1" t="s">
        <v>4749</v>
      </c>
      <c r="X391" s="1" t="s">
        <v>5251</v>
      </c>
    </row>
    <row r="392" s="303" customFormat="true" ht="12.8" hidden="false" customHeight="false" outlineLevel="0" collapsed="false">
      <c r="A392" s="1"/>
      <c r="B392" s="73" t="s">
        <v>5347</v>
      </c>
      <c r="C392" s="185" t="n">
        <v>43472</v>
      </c>
      <c r="D392" s="80" t="s">
        <v>22</v>
      </c>
      <c r="E392" s="73" t="s">
        <v>962</v>
      </c>
      <c r="F392" s="72" t="s">
        <v>5326</v>
      </c>
      <c r="G392" s="73" t="s">
        <v>36</v>
      </c>
      <c r="H392" s="73" t="s">
        <v>112</v>
      </c>
      <c r="I392" s="73" t="n">
        <v>1</v>
      </c>
      <c r="J392" s="305" t="n">
        <v>38.3</v>
      </c>
      <c r="K392" s="75" t="n">
        <v>340000</v>
      </c>
      <c r="L392" s="302" t="n">
        <f aca="false">K392/J392</f>
        <v>8877.28459530026</v>
      </c>
      <c r="M392" s="32" t="s">
        <v>940</v>
      </c>
      <c r="N392" s="293"/>
      <c r="O392" s="302" t="n">
        <f aca="false">K392+N392</f>
        <v>340000</v>
      </c>
      <c r="P392" s="304" t="n">
        <f aca="false">O392/J392</f>
        <v>8877.28459530026</v>
      </c>
      <c r="Q392" s="32"/>
      <c r="R392" s="80"/>
      <c r="S392" s="5" t="s">
        <v>29</v>
      </c>
      <c r="T392" s="5" t="s">
        <v>1915</v>
      </c>
      <c r="U392" s="294" t="s">
        <v>31</v>
      </c>
      <c r="V392" s="203" t="n">
        <v>43709</v>
      </c>
      <c r="W392" s="32"/>
      <c r="X392" s="32"/>
    </row>
    <row r="393" s="151" customFormat="true" ht="12.8" hidden="false" customHeight="false" outlineLevel="0" collapsed="false">
      <c r="A393" s="1"/>
      <c r="B393" s="1" t="n">
        <v>48</v>
      </c>
      <c r="C393" s="3" t="n">
        <v>43473</v>
      </c>
      <c r="D393" s="171" t="s">
        <v>22</v>
      </c>
      <c r="E393" s="8" t="s">
        <v>433</v>
      </c>
      <c r="F393" s="1" t="s">
        <v>434</v>
      </c>
      <c r="G393" s="2" t="s">
        <v>1567</v>
      </c>
      <c r="H393" s="2" t="n">
        <v>212</v>
      </c>
      <c r="I393" s="2" t="n">
        <v>4</v>
      </c>
      <c r="J393" s="276" t="n">
        <v>78.37</v>
      </c>
      <c r="K393" s="6" t="n">
        <v>647000</v>
      </c>
      <c r="L393" s="6" t="n">
        <f aca="false">K393/J393</f>
        <v>8255.71009314789</v>
      </c>
      <c r="M393" s="264" t="s">
        <v>5348</v>
      </c>
      <c r="N393" s="6"/>
      <c r="O393" s="6" t="n">
        <f aca="false">K393+N393</f>
        <v>647000</v>
      </c>
      <c r="P393" s="166" t="n">
        <f aca="false">O393/J393</f>
        <v>8255.71009314789</v>
      </c>
      <c r="Q393" s="295"/>
      <c r="R393" s="2" t="s">
        <v>5349</v>
      </c>
      <c r="S393" s="5" t="s">
        <v>29</v>
      </c>
      <c r="T393" s="5" t="s">
        <v>1915</v>
      </c>
      <c r="U393" s="294" t="s">
        <v>31</v>
      </c>
      <c r="V393" s="203" t="n">
        <v>43709</v>
      </c>
      <c r="W393" s="1" t="s">
        <v>4927</v>
      </c>
      <c r="X393" s="1"/>
    </row>
    <row r="394" s="151" customFormat="true" ht="12.8" hidden="false" customHeight="false" outlineLevel="0" collapsed="false">
      <c r="A394" s="1"/>
      <c r="B394" s="1" t="n">
        <v>31</v>
      </c>
      <c r="C394" s="3" t="n">
        <v>43473</v>
      </c>
      <c r="D394" s="171" t="s">
        <v>22</v>
      </c>
      <c r="E394" s="8" t="s">
        <v>229</v>
      </c>
      <c r="F394" s="1" t="s">
        <v>1722</v>
      </c>
      <c r="G394" s="2" t="s">
        <v>1069</v>
      </c>
      <c r="H394" s="2" t="n">
        <v>50</v>
      </c>
      <c r="I394" s="2" t="n">
        <v>1</v>
      </c>
      <c r="J394" s="276" t="n">
        <v>70.93</v>
      </c>
      <c r="K394" s="6" t="n">
        <v>527837.04</v>
      </c>
      <c r="L394" s="6" t="n">
        <f aca="false">K394/J394</f>
        <v>7441.66135626674</v>
      </c>
      <c r="M394" s="264" t="s">
        <v>987</v>
      </c>
      <c r="N394" s="6" t="n">
        <v>14000</v>
      </c>
      <c r="O394" s="6" t="n">
        <f aca="false">K394+N394</f>
        <v>541837.04</v>
      </c>
      <c r="P394" s="166" t="n">
        <f aca="false">O394/J394</f>
        <v>7639.03905258706</v>
      </c>
      <c r="Q394" s="295"/>
      <c r="R394" s="2" t="s">
        <v>5324</v>
      </c>
      <c r="S394" s="5" t="s">
        <v>29</v>
      </c>
      <c r="T394" s="5" t="s">
        <v>1915</v>
      </c>
      <c r="U394" s="294" t="s">
        <v>31</v>
      </c>
      <c r="V394" s="203" t="n">
        <v>43709</v>
      </c>
      <c r="W394" s="1" t="s">
        <v>5048</v>
      </c>
      <c r="X394" s="1"/>
    </row>
    <row r="395" s="151" customFormat="true" ht="12.8" hidden="false" customHeight="false" outlineLevel="0" collapsed="false">
      <c r="A395" s="1"/>
      <c r="B395" s="1" t="s">
        <v>5350</v>
      </c>
      <c r="C395" s="3" t="n">
        <v>43473</v>
      </c>
      <c r="D395" s="2" t="s">
        <v>22</v>
      </c>
      <c r="E395" s="306" t="s">
        <v>3085</v>
      </c>
      <c r="F395" s="1" t="s">
        <v>3086</v>
      </c>
      <c r="G395" s="2" t="s">
        <v>82</v>
      </c>
      <c r="H395" s="2" t="s">
        <v>2769</v>
      </c>
      <c r="I395" s="2" t="n">
        <v>5</v>
      </c>
      <c r="J395" s="276" t="n">
        <v>101.62</v>
      </c>
      <c r="K395" s="7" t="n">
        <v>780068.97</v>
      </c>
      <c r="L395" s="6" t="n">
        <f aca="false">K395/J395</f>
        <v>7676.33310371974</v>
      </c>
      <c r="M395" s="1"/>
      <c r="N395" s="7"/>
      <c r="O395" s="6" t="n">
        <f aca="false">K395+N395</f>
        <v>780068.97</v>
      </c>
      <c r="P395" s="166" t="n">
        <f aca="false">O395/J395</f>
        <v>7676.33310371974</v>
      </c>
      <c r="Q395" s="1"/>
      <c r="R395" s="2"/>
      <c r="S395" s="5" t="s">
        <v>29</v>
      </c>
      <c r="T395" s="5" t="s">
        <v>1915</v>
      </c>
      <c r="U395" s="294" t="s">
        <v>31</v>
      </c>
      <c r="V395" s="203" t="n">
        <v>43709</v>
      </c>
      <c r="W395" s="1"/>
      <c r="X395" s="1"/>
    </row>
    <row r="396" s="151" customFormat="true" ht="12.8" hidden="false" customHeight="false" outlineLevel="0" collapsed="false">
      <c r="A396" s="1"/>
      <c r="B396" s="1" t="s">
        <v>5351</v>
      </c>
      <c r="C396" s="3" t="n">
        <v>43473</v>
      </c>
      <c r="D396" s="2" t="s">
        <v>22</v>
      </c>
      <c r="E396" s="306" t="s">
        <v>3085</v>
      </c>
      <c r="F396" s="1" t="s">
        <v>3086</v>
      </c>
      <c r="G396" s="2" t="s">
        <v>82</v>
      </c>
      <c r="H396" s="2" t="s">
        <v>2308</v>
      </c>
      <c r="I396" s="2" t="n">
        <v>7</v>
      </c>
      <c r="J396" s="276" t="n">
        <v>68.55</v>
      </c>
      <c r="K396" s="7" t="n">
        <v>562985.25</v>
      </c>
      <c r="L396" s="6" t="n">
        <f aca="false">K396/J396</f>
        <v>8212.76805251641</v>
      </c>
      <c r="M396" s="1"/>
      <c r="N396" s="7"/>
      <c r="O396" s="6" t="n">
        <f aca="false">K396+N396</f>
        <v>562985.25</v>
      </c>
      <c r="P396" s="166" t="n">
        <f aca="false">O396/J396</f>
        <v>8212.76805251641</v>
      </c>
      <c r="Q396" s="1"/>
      <c r="R396" s="2"/>
      <c r="S396" s="5" t="s">
        <v>29</v>
      </c>
      <c r="T396" s="5" t="s">
        <v>1915</v>
      </c>
      <c r="U396" s="294" t="s">
        <v>31</v>
      </c>
      <c r="V396" s="203" t="n">
        <v>43709</v>
      </c>
      <c r="W396" s="1"/>
      <c r="X396" s="1"/>
    </row>
    <row r="397" s="303" customFormat="true" ht="12.8" hidden="false" customHeight="false" outlineLevel="0" collapsed="false">
      <c r="A397" s="32"/>
      <c r="B397" s="80" t="s">
        <v>5352</v>
      </c>
      <c r="C397" s="185" t="n">
        <v>43473</v>
      </c>
      <c r="D397" s="80" t="s">
        <v>22</v>
      </c>
      <c r="E397" s="73" t="s">
        <v>433</v>
      </c>
      <c r="F397" s="72" t="s">
        <v>434</v>
      </c>
      <c r="G397" s="73" t="s">
        <v>1567</v>
      </c>
      <c r="H397" s="47" t="s">
        <v>5004</v>
      </c>
      <c r="I397" s="47" t="n">
        <v>4</v>
      </c>
      <c r="J397" s="74" t="n">
        <v>78.37</v>
      </c>
      <c r="K397" s="75" t="n">
        <v>647000</v>
      </c>
      <c r="L397" s="302" t="n">
        <f aca="false">K397/J397</f>
        <v>8255.71009314789</v>
      </c>
      <c r="M397" s="32" t="s">
        <v>5155</v>
      </c>
      <c r="N397" s="293"/>
      <c r="O397" s="6" t="n">
        <f aca="false">K397+N397</f>
        <v>647000</v>
      </c>
      <c r="P397" s="166" t="n">
        <f aca="false">O397/J397</f>
        <v>8255.71009314789</v>
      </c>
      <c r="Q397" s="32"/>
      <c r="R397" s="80"/>
      <c r="S397" s="5" t="s">
        <v>29</v>
      </c>
      <c r="T397" s="5" t="s">
        <v>1915</v>
      </c>
      <c r="U397" s="294" t="s">
        <v>31</v>
      </c>
      <c r="V397" s="203" t="n">
        <v>43709</v>
      </c>
      <c r="W397" s="32"/>
      <c r="X397" s="32"/>
    </row>
    <row r="398" s="151" customFormat="true" ht="12.8" hidden="false" customHeight="false" outlineLevel="0" collapsed="false">
      <c r="A398" s="1"/>
      <c r="B398" s="1" t="n">
        <v>149</v>
      </c>
      <c r="C398" s="3" t="n">
        <v>43474</v>
      </c>
      <c r="D398" s="171" t="s">
        <v>22</v>
      </c>
      <c r="E398" s="5" t="s">
        <v>140</v>
      </c>
      <c r="F398" s="1" t="s">
        <v>138</v>
      </c>
      <c r="G398" s="2" t="s">
        <v>2218</v>
      </c>
      <c r="H398" s="2" t="n">
        <v>8</v>
      </c>
      <c r="I398" s="2" t="n">
        <v>5</v>
      </c>
      <c r="J398" s="276" t="n">
        <v>81.66</v>
      </c>
      <c r="K398" s="6" t="n">
        <v>670833</v>
      </c>
      <c r="L398" s="6" t="n">
        <f aca="false">K398/J398</f>
        <v>8214.95224099927</v>
      </c>
      <c r="M398" s="264" t="s">
        <v>5233</v>
      </c>
      <c r="N398" s="6" t="n">
        <v>95610</v>
      </c>
      <c r="O398" s="6" t="n">
        <f aca="false">K398+N398</f>
        <v>766443</v>
      </c>
      <c r="P398" s="166" t="n">
        <f aca="false">O398/J398</f>
        <v>9385.78251285819</v>
      </c>
      <c r="Q398" s="295"/>
      <c r="R398" s="2" t="s">
        <v>5034</v>
      </c>
      <c r="S398" s="5" t="s">
        <v>29</v>
      </c>
      <c r="T398" s="5" t="s">
        <v>1915</v>
      </c>
      <c r="U398" s="294" t="s">
        <v>31</v>
      </c>
      <c r="V398" s="203" t="n">
        <v>43709</v>
      </c>
      <c r="W398" s="1" t="s">
        <v>5195</v>
      </c>
      <c r="X398" s="1"/>
    </row>
    <row r="399" s="151" customFormat="true" ht="12.8" hidden="false" customHeight="false" outlineLevel="0" collapsed="false">
      <c r="A399" s="1"/>
      <c r="B399" s="1" t="n">
        <v>194</v>
      </c>
      <c r="C399" s="3" t="n">
        <v>43475</v>
      </c>
      <c r="D399" s="171" t="s">
        <v>22</v>
      </c>
      <c r="E399" s="8" t="s">
        <v>962</v>
      </c>
      <c r="F399" s="1" t="s">
        <v>5326</v>
      </c>
      <c r="G399" s="2" t="n">
        <v>2</v>
      </c>
      <c r="H399" s="2" t="n">
        <v>14</v>
      </c>
      <c r="I399" s="2" t="n">
        <v>2</v>
      </c>
      <c r="J399" s="276" t="n">
        <v>63.18</v>
      </c>
      <c r="K399" s="6" t="n">
        <v>540000</v>
      </c>
      <c r="L399" s="6" t="n">
        <f aca="false">K399/J399</f>
        <v>8547.00854700855</v>
      </c>
      <c r="M399" s="264" t="s">
        <v>987</v>
      </c>
      <c r="N399" s="6"/>
      <c r="O399" s="6" t="n">
        <f aca="false">K399+N399</f>
        <v>540000</v>
      </c>
      <c r="P399" s="166" t="n">
        <f aca="false">O399/J399</f>
        <v>8547.00854700855</v>
      </c>
      <c r="Q399" s="295"/>
      <c r="R399" s="2" t="s">
        <v>5353</v>
      </c>
      <c r="S399" s="5" t="s">
        <v>29</v>
      </c>
      <c r="T399" s="5" t="s">
        <v>1915</v>
      </c>
      <c r="U399" s="294" t="s">
        <v>31</v>
      </c>
      <c r="V399" s="203" t="n">
        <v>43709</v>
      </c>
      <c r="W399" s="1" t="s">
        <v>5327</v>
      </c>
      <c r="X399" s="1"/>
    </row>
    <row r="400" s="151" customFormat="true" ht="12.8" hidden="false" customHeight="false" outlineLevel="0" collapsed="false">
      <c r="A400" s="1"/>
      <c r="B400" s="1" t="n">
        <v>323</v>
      </c>
      <c r="C400" s="3" t="n">
        <v>43475</v>
      </c>
      <c r="D400" s="171" t="s">
        <v>22</v>
      </c>
      <c r="E400" s="8" t="s">
        <v>203</v>
      </c>
      <c r="F400" s="1" t="s">
        <v>1209</v>
      </c>
      <c r="G400" s="2" t="s">
        <v>5227</v>
      </c>
      <c r="H400" s="2" t="n">
        <v>185</v>
      </c>
      <c r="I400" s="2" t="n">
        <v>6</v>
      </c>
      <c r="J400" s="276" t="n">
        <v>86.93</v>
      </c>
      <c r="K400" s="6" t="n">
        <v>898221.27</v>
      </c>
      <c r="L400" s="6" t="n">
        <f aca="false">K400/J400</f>
        <v>10332.6960773036</v>
      </c>
      <c r="M400" s="264" t="s">
        <v>5354</v>
      </c>
      <c r="N400" s="6" t="n">
        <v>73048</v>
      </c>
      <c r="O400" s="6" t="n">
        <f aca="false">K400+N400</f>
        <v>971269.27</v>
      </c>
      <c r="P400" s="166" t="n">
        <f aca="false">O400/J400</f>
        <v>11173.0043713333</v>
      </c>
      <c r="Q400" s="295"/>
      <c r="R400" s="2" t="s">
        <v>5355</v>
      </c>
      <c r="S400" s="5" t="s">
        <v>29</v>
      </c>
      <c r="T400" s="5" t="s">
        <v>1915</v>
      </c>
      <c r="U400" s="294" t="s">
        <v>31</v>
      </c>
      <c r="V400" s="203" t="n">
        <v>43709</v>
      </c>
      <c r="W400" s="1" t="s">
        <v>5229</v>
      </c>
      <c r="X400" s="1"/>
    </row>
    <row r="401" s="151" customFormat="true" ht="12.8" hidden="false" customHeight="false" outlineLevel="0" collapsed="false">
      <c r="A401" s="1"/>
      <c r="B401" s="1" t="s">
        <v>5356</v>
      </c>
      <c r="C401" s="3" t="n">
        <v>43475</v>
      </c>
      <c r="D401" s="2" t="s">
        <v>22</v>
      </c>
      <c r="E401" s="2" t="s">
        <v>5337</v>
      </c>
      <c r="F401" s="1" t="s">
        <v>1209</v>
      </c>
      <c r="G401" s="2" t="s">
        <v>4528</v>
      </c>
      <c r="H401" s="2" t="s">
        <v>5357</v>
      </c>
      <c r="I401" s="2" t="n">
        <v>1</v>
      </c>
      <c r="J401" s="276" t="n">
        <v>99.18</v>
      </c>
      <c r="K401" s="7" t="n">
        <v>924781.98</v>
      </c>
      <c r="L401" s="6" t="n">
        <f aca="false">K401/J401</f>
        <v>9324.27888687235</v>
      </c>
      <c r="M401" s="1" t="s">
        <v>5358</v>
      </c>
      <c r="N401" s="7"/>
      <c r="O401" s="6" t="n">
        <f aca="false">K401+N401</f>
        <v>924781.98</v>
      </c>
      <c r="P401" s="166" t="n">
        <f aca="false">O401/J401</f>
        <v>9324.27888687235</v>
      </c>
      <c r="Q401" s="1"/>
      <c r="R401" s="2"/>
      <c r="S401" s="5" t="s">
        <v>29</v>
      </c>
      <c r="T401" s="5" t="s">
        <v>1915</v>
      </c>
      <c r="U401" s="294" t="s">
        <v>31</v>
      </c>
      <c r="V401" s="203" t="n">
        <v>43709</v>
      </c>
      <c r="W401" s="1"/>
      <c r="X401" s="1"/>
    </row>
    <row r="402" s="151" customFormat="true" ht="12.8" hidden="false" customHeight="false" outlineLevel="0" collapsed="false">
      <c r="A402" s="1"/>
      <c r="B402" s="1" t="s">
        <v>5359</v>
      </c>
      <c r="C402" s="3" t="n">
        <v>43475</v>
      </c>
      <c r="D402" s="2" t="s">
        <v>22</v>
      </c>
      <c r="E402" s="2" t="s">
        <v>5337</v>
      </c>
      <c r="F402" s="1" t="s">
        <v>1209</v>
      </c>
      <c r="G402" s="2" t="s">
        <v>4528</v>
      </c>
      <c r="H402" s="2" t="s">
        <v>142</v>
      </c>
      <c r="I402" s="2" t="n">
        <v>6</v>
      </c>
      <c r="J402" s="276" t="n">
        <v>86.93</v>
      </c>
      <c r="K402" s="7" t="n">
        <v>898221.27</v>
      </c>
      <c r="L402" s="6" t="n">
        <f aca="false">K402/J402</f>
        <v>10332.6960773036</v>
      </c>
      <c r="M402" s="1" t="s">
        <v>1739</v>
      </c>
      <c r="N402" s="7"/>
      <c r="O402" s="6" t="n">
        <f aca="false">K402+N402</f>
        <v>898221.27</v>
      </c>
      <c r="P402" s="166" t="n">
        <f aca="false">O402/J402</f>
        <v>10332.6960773036</v>
      </c>
      <c r="Q402" s="1"/>
      <c r="R402" s="2"/>
      <c r="S402" s="5" t="s">
        <v>29</v>
      </c>
      <c r="T402" s="5" t="s">
        <v>1915</v>
      </c>
      <c r="U402" s="294" t="s">
        <v>31</v>
      </c>
      <c r="V402" s="203" t="n">
        <v>43709</v>
      </c>
      <c r="W402" s="1"/>
      <c r="X402" s="1"/>
    </row>
    <row r="403" s="151" customFormat="true" ht="12.8" hidden="false" customHeight="false" outlineLevel="0" collapsed="false">
      <c r="A403" s="1"/>
      <c r="B403" s="1" t="s">
        <v>5360</v>
      </c>
      <c r="C403" s="3" t="n">
        <v>43475</v>
      </c>
      <c r="D403" s="2" t="s">
        <v>22</v>
      </c>
      <c r="E403" s="2" t="s">
        <v>5337</v>
      </c>
      <c r="F403" s="1" t="s">
        <v>1209</v>
      </c>
      <c r="G403" s="2" t="s">
        <v>4528</v>
      </c>
      <c r="H403" s="2" t="s">
        <v>169</v>
      </c>
      <c r="I403" s="2" t="n">
        <v>3</v>
      </c>
      <c r="J403" s="276" t="n">
        <v>52.44</v>
      </c>
      <c r="K403" s="7" t="n">
        <v>477255.84</v>
      </c>
      <c r="L403" s="6" t="n">
        <f aca="false">K403/J403</f>
        <v>9100.9885583524</v>
      </c>
      <c r="M403" s="1"/>
      <c r="N403" s="7"/>
      <c r="O403" s="6" t="n">
        <f aca="false">K403+N403</f>
        <v>477255.84</v>
      </c>
      <c r="P403" s="166" t="n">
        <f aca="false">O403/J403</f>
        <v>9100.9885583524</v>
      </c>
      <c r="Q403" s="1"/>
      <c r="R403" s="2"/>
      <c r="S403" s="5" t="s">
        <v>29</v>
      </c>
      <c r="T403" s="5" t="s">
        <v>1915</v>
      </c>
      <c r="U403" s="294" t="s">
        <v>31</v>
      </c>
      <c r="V403" s="203" t="n">
        <v>43709</v>
      </c>
      <c r="W403" s="1"/>
      <c r="X403" s="1"/>
    </row>
    <row r="404" s="151" customFormat="true" ht="12.8" hidden="false" customHeight="false" outlineLevel="0" collapsed="false">
      <c r="A404" s="1"/>
      <c r="B404" s="1" t="s">
        <v>5361</v>
      </c>
      <c r="C404" s="3" t="n">
        <v>43475</v>
      </c>
      <c r="D404" s="2" t="s">
        <v>22</v>
      </c>
      <c r="E404" s="2" t="s">
        <v>5337</v>
      </c>
      <c r="F404" s="1" t="s">
        <v>1209</v>
      </c>
      <c r="G404" s="2" t="s">
        <v>4528</v>
      </c>
      <c r="H404" s="2" t="s">
        <v>341</v>
      </c>
      <c r="I404" s="2" t="n">
        <v>5</v>
      </c>
      <c r="J404" s="276" t="n">
        <v>44.62</v>
      </c>
      <c r="K404" s="7" t="n">
        <v>456722.5</v>
      </c>
      <c r="L404" s="6" t="n">
        <f aca="false">K404/J404</f>
        <v>10235.824742268</v>
      </c>
      <c r="M404" s="1" t="s">
        <v>1739</v>
      </c>
      <c r="N404" s="7"/>
      <c r="O404" s="6" t="n">
        <f aca="false">K404+N404</f>
        <v>456722.5</v>
      </c>
      <c r="P404" s="166" t="n">
        <f aca="false">O404/J404</f>
        <v>10235.824742268</v>
      </c>
      <c r="Q404" s="1"/>
      <c r="R404" s="2"/>
      <c r="S404" s="5" t="s">
        <v>29</v>
      </c>
      <c r="T404" s="5" t="s">
        <v>1915</v>
      </c>
      <c r="U404" s="294" t="s">
        <v>31</v>
      </c>
      <c r="V404" s="203" t="n">
        <v>43709</v>
      </c>
      <c r="W404" s="1"/>
      <c r="X404" s="1"/>
    </row>
    <row r="405" s="151" customFormat="true" ht="12.8" hidden="false" customHeight="false" outlineLevel="0" collapsed="false">
      <c r="A405" s="1"/>
      <c r="B405" s="1" t="s">
        <v>5362</v>
      </c>
      <c r="C405" s="3" t="n">
        <v>43475</v>
      </c>
      <c r="D405" s="2" t="s">
        <v>22</v>
      </c>
      <c r="E405" s="2" t="s">
        <v>5337</v>
      </c>
      <c r="F405" s="1" t="s">
        <v>1209</v>
      </c>
      <c r="G405" s="2" t="s">
        <v>4528</v>
      </c>
      <c r="H405" s="2" t="s">
        <v>128</v>
      </c>
      <c r="I405" s="2" t="n">
        <v>9</v>
      </c>
      <c r="J405" s="276" t="n">
        <v>85.82</v>
      </c>
      <c r="K405" s="7" t="n">
        <v>782038.38</v>
      </c>
      <c r="L405" s="6" t="n">
        <f aca="false">K405/J405</f>
        <v>9112.54229783267</v>
      </c>
      <c r="M405" s="1"/>
      <c r="N405" s="7"/>
      <c r="O405" s="6" t="n">
        <f aca="false">K405+N405</f>
        <v>782038.38</v>
      </c>
      <c r="P405" s="166" t="n">
        <f aca="false">O405/J405</f>
        <v>9112.54229783267</v>
      </c>
      <c r="Q405" s="1"/>
      <c r="R405" s="2"/>
      <c r="S405" s="5" t="s">
        <v>29</v>
      </c>
      <c r="T405" s="5" t="s">
        <v>1915</v>
      </c>
      <c r="U405" s="294" t="s">
        <v>31</v>
      </c>
      <c r="V405" s="203" t="n">
        <v>43709</v>
      </c>
      <c r="W405" s="1"/>
      <c r="X405" s="1"/>
    </row>
    <row r="406" s="151" customFormat="true" ht="12.8" hidden="false" customHeight="false" outlineLevel="0" collapsed="false">
      <c r="A406" s="1"/>
      <c r="B406" s="1" t="s">
        <v>5363</v>
      </c>
      <c r="C406" s="3" t="n">
        <v>43475</v>
      </c>
      <c r="D406" s="2" t="s">
        <v>22</v>
      </c>
      <c r="E406" s="2" t="s">
        <v>5337</v>
      </c>
      <c r="F406" s="1" t="s">
        <v>1209</v>
      </c>
      <c r="G406" s="2" t="s">
        <v>4528</v>
      </c>
      <c r="H406" s="2" t="s">
        <v>241</v>
      </c>
      <c r="I406" s="2" t="n">
        <v>7</v>
      </c>
      <c r="J406" s="276" t="n">
        <v>52.47</v>
      </c>
      <c r="K406" s="7" t="n">
        <v>508218.38</v>
      </c>
      <c r="L406" s="6" t="n">
        <f aca="false">K406/J406</f>
        <v>9685.88488660187</v>
      </c>
      <c r="M406" s="1" t="s">
        <v>1739</v>
      </c>
      <c r="N406" s="7"/>
      <c r="O406" s="6" t="n">
        <f aca="false">K406+N406</f>
        <v>508218.38</v>
      </c>
      <c r="P406" s="166" t="n">
        <f aca="false">O406/J406</f>
        <v>9685.88488660187</v>
      </c>
      <c r="Q406" s="1"/>
      <c r="R406" s="2"/>
      <c r="S406" s="5" t="s">
        <v>29</v>
      </c>
      <c r="T406" s="5" t="s">
        <v>1915</v>
      </c>
      <c r="U406" s="294" t="s">
        <v>31</v>
      </c>
      <c r="V406" s="203" t="n">
        <v>43709</v>
      </c>
      <c r="W406" s="1"/>
      <c r="X406" s="1"/>
    </row>
    <row r="407" s="151" customFormat="true" ht="12.8" hidden="false" customHeight="false" outlineLevel="0" collapsed="false">
      <c r="A407" s="1"/>
      <c r="B407" s="1" t="s">
        <v>5364</v>
      </c>
      <c r="C407" s="3" t="n">
        <v>43475</v>
      </c>
      <c r="D407" s="2" t="s">
        <v>22</v>
      </c>
      <c r="E407" s="2" t="s">
        <v>5337</v>
      </c>
      <c r="F407" s="1" t="s">
        <v>1209</v>
      </c>
      <c r="G407" s="2" t="s">
        <v>4528</v>
      </c>
      <c r="H407" s="2" t="s">
        <v>763</v>
      </c>
      <c r="I407" s="2" t="n">
        <v>5</v>
      </c>
      <c r="J407" s="276" t="n">
        <v>68.44</v>
      </c>
      <c r="K407" s="7" t="n">
        <v>606919.17</v>
      </c>
      <c r="L407" s="6" t="n">
        <f aca="false">K407/J407</f>
        <v>8867.90137346581</v>
      </c>
      <c r="M407" s="1" t="s">
        <v>1739</v>
      </c>
      <c r="N407" s="7"/>
      <c r="O407" s="6" t="n">
        <f aca="false">K407+N407</f>
        <v>606919.17</v>
      </c>
      <c r="P407" s="166" t="n">
        <f aca="false">O407/J407</f>
        <v>8867.90137346581</v>
      </c>
      <c r="Q407" s="1"/>
      <c r="R407" s="2"/>
      <c r="S407" s="5" t="s">
        <v>29</v>
      </c>
      <c r="T407" s="5" t="s">
        <v>1915</v>
      </c>
      <c r="U407" s="294" t="s">
        <v>31</v>
      </c>
      <c r="V407" s="203" t="n">
        <v>43709</v>
      </c>
      <c r="W407" s="1"/>
      <c r="X407" s="1"/>
    </row>
    <row r="408" s="303" customFormat="true" ht="12.8" hidden="false" customHeight="false" outlineLevel="0" collapsed="false">
      <c r="A408" s="1"/>
      <c r="B408" s="73" t="s">
        <v>5365</v>
      </c>
      <c r="C408" s="185" t="n">
        <v>43475</v>
      </c>
      <c r="D408" s="80" t="s">
        <v>22</v>
      </c>
      <c r="E408" s="73" t="s">
        <v>962</v>
      </c>
      <c r="F408" s="72" t="s">
        <v>5326</v>
      </c>
      <c r="G408" s="73" t="s">
        <v>36</v>
      </c>
      <c r="H408" s="73" t="s">
        <v>464</v>
      </c>
      <c r="I408" s="73" t="n">
        <v>4</v>
      </c>
      <c r="J408" s="74" t="n">
        <v>79.78</v>
      </c>
      <c r="K408" s="75" t="n">
        <v>700000</v>
      </c>
      <c r="L408" s="302" t="n">
        <f aca="false">K408/J408</f>
        <v>8774.12885434946</v>
      </c>
      <c r="M408" s="32" t="s">
        <v>4821</v>
      </c>
      <c r="N408" s="293"/>
      <c r="O408" s="302" t="n">
        <f aca="false">K408+N408</f>
        <v>700000</v>
      </c>
      <c r="P408" s="304" t="n">
        <f aca="false">O408/J408</f>
        <v>8774.12885434946</v>
      </c>
      <c r="Q408" s="32"/>
      <c r="R408" s="80"/>
      <c r="S408" s="5" t="s">
        <v>29</v>
      </c>
      <c r="T408" s="5" t="s">
        <v>1915</v>
      </c>
      <c r="U408" s="294" t="s">
        <v>31</v>
      </c>
      <c r="V408" s="203" t="n">
        <v>43709</v>
      </c>
      <c r="W408" s="32"/>
      <c r="X408" s="32"/>
    </row>
    <row r="409" s="151" customFormat="true" ht="12.8" hidden="false" customHeight="false" outlineLevel="0" collapsed="false">
      <c r="A409" s="1"/>
      <c r="B409" s="1" t="n">
        <v>217</v>
      </c>
      <c r="C409" s="3" t="n">
        <v>43476</v>
      </c>
      <c r="D409" s="171" t="s">
        <v>22</v>
      </c>
      <c r="E409" s="8" t="s">
        <v>962</v>
      </c>
      <c r="F409" s="1" t="s">
        <v>5326</v>
      </c>
      <c r="G409" s="2" t="n">
        <v>2</v>
      </c>
      <c r="H409" s="2" t="n">
        <v>41</v>
      </c>
      <c r="I409" s="2" t="n">
        <v>5</v>
      </c>
      <c r="J409" s="276" t="n">
        <v>63.26</v>
      </c>
      <c r="K409" s="6" t="n">
        <v>569000</v>
      </c>
      <c r="L409" s="6" t="n">
        <f aca="false">K409/J409</f>
        <v>8994.62535567499</v>
      </c>
      <c r="M409" s="264" t="s">
        <v>5348</v>
      </c>
      <c r="N409" s="6"/>
      <c r="O409" s="6" t="n">
        <f aca="false">K409+N409</f>
        <v>569000</v>
      </c>
      <c r="P409" s="166" t="n">
        <f aca="false">O409/J409</f>
        <v>8994.62535567499</v>
      </c>
      <c r="Q409" s="295"/>
      <c r="R409" s="2" t="s">
        <v>5228</v>
      </c>
      <c r="S409" s="5" t="s">
        <v>29</v>
      </c>
      <c r="T409" s="5" t="s">
        <v>1915</v>
      </c>
      <c r="U409" s="294" t="s">
        <v>31</v>
      </c>
      <c r="V409" s="203" t="n">
        <v>43709</v>
      </c>
      <c r="W409" s="1" t="s">
        <v>5327</v>
      </c>
      <c r="X409" s="1"/>
    </row>
    <row r="410" s="151" customFormat="true" ht="12.8" hidden="false" customHeight="false" outlineLevel="0" collapsed="false">
      <c r="A410" s="1"/>
      <c r="B410" s="1" t="s">
        <v>5366</v>
      </c>
      <c r="C410" s="3" t="n">
        <v>43476</v>
      </c>
      <c r="D410" s="2" t="s">
        <v>22</v>
      </c>
      <c r="E410" s="2" t="s">
        <v>5337</v>
      </c>
      <c r="F410" s="1" t="s">
        <v>1209</v>
      </c>
      <c r="G410" s="2" t="s">
        <v>4528</v>
      </c>
      <c r="H410" s="2" t="s">
        <v>820</v>
      </c>
      <c r="I410" s="2" t="n">
        <v>3</v>
      </c>
      <c r="J410" s="276" t="n">
        <v>74.07</v>
      </c>
      <c r="K410" s="7" t="n">
        <v>663120.41</v>
      </c>
      <c r="L410" s="6" t="n">
        <f aca="false">K410/J410</f>
        <v>8952.6179289861</v>
      </c>
      <c r="M410" s="1" t="s">
        <v>1739</v>
      </c>
      <c r="N410" s="7"/>
      <c r="O410" s="6" t="n">
        <f aca="false">K410+N410</f>
        <v>663120.41</v>
      </c>
      <c r="P410" s="166" t="n">
        <f aca="false">O410/J410</f>
        <v>8952.6179289861</v>
      </c>
      <c r="Q410" s="1"/>
      <c r="R410" s="2"/>
      <c r="S410" s="5" t="s">
        <v>29</v>
      </c>
      <c r="T410" s="5" t="s">
        <v>1915</v>
      </c>
      <c r="U410" s="294" t="s">
        <v>31</v>
      </c>
      <c r="V410" s="203" t="n">
        <v>43709</v>
      </c>
      <c r="W410" s="1"/>
      <c r="X410" s="1"/>
    </row>
    <row r="411" s="303" customFormat="true" ht="12.8" hidden="false" customHeight="false" outlineLevel="0" collapsed="false">
      <c r="A411" s="32"/>
      <c r="B411" s="73" t="s">
        <v>2185</v>
      </c>
      <c r="C411" s="185" t="n">
        <v>43476</v>
      </c>
      <c r="D411" s="80" t="s">
        <v>22</v>
      </c>
      <c r="E411" s="73" t="s">
        <v>433</v>
      </c>
      <c r="F411" s="72" t="s">
        <v>434</v>
      </c>
      <c r="G411" s="73" t="s">
        <v>1567</v>
      </c>
      <c r="H411" s="73" t="s">
        <v>5367</v>
      </c>
      <c r="I411" s="73" t="n">
        <v>3</v>
      </c>
      <c r="J411" s="74" t="n">
        <v>29.91</v>
      </c>
      <c r="K411" s="75" t="n">
        <v>281069.47</v>
      </c>
      <c r="L411" s="302" t="n">
        <f aca="false">K411/J411</f>
        <v>9397.17385489803</v>
      </c>
      <c r="M411" s="32" t="s">
        <v>5368</v>
      </c>
      <c r="N411" s="293"/>
      <c r="O411" s="6" t="n">
        <f aca="false">K411+N411</f>
        <v>281069.47</v>
      </c>
      <c r="P411" s="166" t="n">
        <f aca="false">O411/J411</f>
        <v>9397.17385489803</v>
      </c>
      <c r="Q411" s="32"/>
      <c r="R411" s="80"/>
      <c r="S411" s="5" t="s">
        <v>29</v>
      </c>
      <c r="T411" s="5" t="s">
        <v>1915</v>
      </c>
      <c r="U411" s="294" t="s">
        <v>31</v>
      </c>
      <c r="V411" s="203" t="n">
        <v>43709</v>
      </c>
      <c r="W411" s="32"/>
      <c r="X411" s="32"/>
    </row>
    <row r="412" s="303" customFormat="true" ht="12.8" hidden="false" customHeight="false" outlineLevel="0" collapsed="false">
      <c r="A412" s="32"/>
      <c r="B412" s="80" t="s">
        <v>5369</v>
      </c>
      <c r="C412" s="185" t="n">
        <v>43476</v>
      </c>
      <c r="D412" s="80" t="s">
        <v>22</v>
      </c>
      <c r="E412" s="73" t="s">
        <v>433</v>
      </c>
      <c r="F412" s="72" t="s">
        <v>434</v>
      </c>
      <c r="G412" s="73" t="s">
        <v>1567</v>
      </c>
      <c r="H412" s="47" t="s">
        <v>5370</v>
      </c>
      <c r="I412" s="47" t="n">
        <v>4</v>
      </c>
      <c r="J412" s="74" t="n">
        <v>30.05</v>
      </c>
      <c r="K412" s="75" t="n">
        <v>282704.32</v>
      </c>
      <c r="L412" s="302" t="n">
        <f aca="false">K412/J412</f>
        <v>9407.79767054909</v>
      </c>
      <c r="M412" s="32" t="s">
        <v>5368</v>
      </c>
      <c r="N412" s="293"/>
      <c r="O412" s="6" t="n">
        <f aca="false">K412+N412</f>
        <v>282704.32</v>
      </c>
      <c r="P412" s="166" t="n">
        <f aca="false">O412/J412</f>
        <v>9407.79767054909</v>
      </c>
      <c r="Q412" s="1"/>
      <c r="R412" s="80"/>
      <c r="S412" s="5" t="s">
        <v>29</v>
      </c>
      <c r="T412" s="5" t="s">
        <v>1915</v>
      </c>
      <c r="U412" s="294" t="s">
        <v>31</v>
      </c>
      <c r="V412" s="203" t="n">
        <v>43709</v>
      </c>
      <c r="W412" s="1"/>
      <c r="X412" s="1"/>
    </row>
    <row r="413" s="303" customFormat="true" ht="12.8" hidden="false" customHeight="false" outlineLevel="0" collapsed="false">
      <c r="A413" s="1"/>
      <c r="B413" s="73" t="s">
        <v>5371</v>
      </c>
      <c r="C413" s="185" t="n">
        <v>43476</v>
      </c>
      <c r="D413" s="80" t="s">
        <v>22</v>
      </c>
      <c r="E413" s="73" t="s">
        <v>962</v>
      </c>
      <c r="F413" s="72" t="s">
        <v>5326</v>
      </c>
      <c r="G413" s="73" t="s">
        <v>36</v>
      </c>
      <c r="H413" s="73" t="s">
        <v>411</v>
      </c>
      <c r="I413" s="73" t="n">
        <v>6</v>
      </c>
      <c r="J413" s="74" t="n">
        <v>108.22</v>
      </c>
      <c r="K413" s="75" t="n">
        <v>985000</v>
      </c>
      <c r="L413" s="302" t="n">
        <f aca="false">K413/J413</f>
        <v>9101.82960635742</v>
      </c>
      <c r="M413" s="32" t="s">
        <v>5372</v>
      </c>
      <c r="N413" s="293"/>
      <c r="O413" s="302" t="n">
        <f aca="false">K413+N413</f>
        <v>985000</v>
      </c>
      <c r="P413" s="304" t="n">
        <f aca="false">O413/J413</f>
        <v>9101.82960635742</v>
      </c>
      <c r="Q413" s="1"/>
      <c r="R413" s="80"/>
      <c r="S413" s="5" t="s">
        <v>29</v>
      </c>
      <c r="T413" s="5" t="s">
        <v>1915</v>
      </c>
      <c r="U413" s="294" t="s">
        <v>31</v>
      </c>
      <c r="V413" s="203" t="n">
        <v>43709</v>
      </c>
      <c r="W413" s="1"/>
      <c r="X413" s="1"/>
    </row>
    <row r="414" s="151" customFormat="true" ht="12.8" hidden="false" customHeight="false" outlineLevel="0" collapsed="false">
      <c r="A414" s="1"/>
      <c r="B414" s="1" t="n">
        <v>225</v>
      </c>
      <c r="C414" s="3" t="n">
        <v>43479</v>
      </c>
      <c r="D414" s="171" t="s">
        <v>22</v>
      </c>
      <c r="E414" s="222" t="s">
        <v>1380</v>
      </c>
      <c r="F414" s="1" t="s">
        <v>1381</v>
      </c>
      <c r="G414" s="2" t="s">
        <v>5343</v>
      </c>
      <c r="H414" s="2" t="n">
        <v>1</v>
      </c>
      <c r="I414" s="2" t="n">
        <v>1</v>
      </c>
      <c r="J414" s="276" t="n">
        <v>81.81</v>
      </c>
      <c r="K414" s="6" t="n">
        <v>814900</v>
      </c>
      <c r="L414" s="6" t="n">
        <f aca="false">K414/J414</f>
        <v>9960.88497738663</v>
      </c>
      <c r="M414" s="264" t="s">
        <v>5373</v>
      </c>
      <c r="N414" s="6"/>
      <c r="O414" s="6" t="n">
        <f aca="false">K414+N414</f>
        <v>814900</v>
      </c>
      <c r="P414" s="166" t="n">
        <f aca="false">O414/J414</f>
        <v>9960.88497738663</v>
      </c>
      <c r="Q414" s="295"/>
      <c r="R414" s="2" t="s">
        <v>5034</v>
      </c>
      <c r="S414" s="5" t="s">
        <v>29</v>
      </c>
      <c r="T414" s="5" t="s">
        <v>1915</v>
      </c>
      <c r="U414" s="294" t="s">
        <v>31</v>
      </c>
      <c r="V414" s="203" t="n">
        <v>43709</v>
      </c>
      <c r="W414" s="1" t="s">
        <v>5345</v>
      </c>
      <c r="X414" s="1"/>
    </row>
    <row r="415" s="151" customFormat="true" ht="12.8" hidden="false" customHeight="false" outlineLevel="0" collapsed="false">
      <c r="A415" s="1"/>
      <c r="B415" s="1" t="n">
        <v>218</v>
      </c>
      <c r="C415" s="3" t="n">
        <v>43479</v>
      </c>
      <c r="D415" s="171" t="s">
        <v>22</v>
      </c>
      <c r="E415" s="222" t="s">
        <v>1380</v>
      </c>
      <c r="F415" s="1" t="s">
        <v>1381</v>
      </c>
      <c r="G415" s="2" t="n">
        <v>4</v>
      </c>
      <c r="H415" s="2" t="n">
        <v>1</v>
      </c>
      <c r="I415" s="2" t="n">
        <v>1</v>
      </c>
      <c r="J415" s="276" t="n">
        <v>58.65</v>
      </c>
      <c r="K415" s="6" t="n">
        <v>579500</v>
      </c>
      <c r="L415" s="6" t="n">
        <f aca="false">K415/J415</f>
        <v>9880.64791133845</v>
      </c>
      <c r="M415" s="264" t="s">
        <v>5282</v>
      </c>
      <c r="N415" s="6"/>
      <c r="O415" s="6" t="n">
        <f aca="false">K415+N415</f>
        <v>579500</v>
      </c>
      <c r="P415" s="166" t="n">
        <f aca="false">O415/J415</f>
        <v>9880.64791133845</v>
      </c>
      <c r="Q415" s="295"/>
      <c r="R415" s="2" t="s">
        <v>5228</v>
      </c>
      <c r="S415" s="5" t="s">
        <v>29</v>
      </c>
      <c r="T415" s="5" t="s">
        <v>1915</v>
      </c>
      <c r="U415" s="294" t="s">
        <v>31</v>
      </c>
      <c r="V415" s="203" t="n">
        <v>43709</v>
      </c>
      <c r="W415" s="1" t="s">
        <v>5345</v>
      </c>
      <c r="X415" s="1"/>
    </row>
    <row r="416" s="303" customFormat="true" ht="12.8" hidden="false" customHeight="false" outlineLevel="0" collapsed="false">
      <c r="A416" s="1"/>
      <c r="B416" s="73" t="s">
        <v>5374</v>
      </c>
      <c r="C416" s="185" t="n">
        <v>43479</v>
      </c>
      <c r="D416" s="80" t="s">
        <v>22</v>
      </c>
      <c r="E416" s="73" t="s">
        <v>962</v>
      </c>
      <c r="F416" s="72" t="s">
        <v>5326</v>
      </c>
      <c r="G416" s="73" t="s">
        <v>36</v>
      </c>
      <c r="H416" s="73" t="s">
        <v>217</v>
      </c>
      <c r="I416" s="73" t="n">
        <v>4</v>
      </c>
      <c r="J416" s="74" t="n">
        <v>62.94</v>
      </c>
      <c r="K416" s="75" t="n">
        <v>580000</v>
      </c>
      <c r="L416" s="302" t="n">
        <f aca="false">K416/J416</f>
        <v>9215.12551636479</v>
      </c>
      <c r="M416" s="32" t="s">
        <v>5372</v>
      </c>
      <c r="N416" s="293"/>
      <c r="O416" s="302" t="n">
        <f aca="false">K416+N416</f>
        <v>580000</v>
      </c>
      <c r="P416" s="304" t="n">
        <f aca="false">O416/J416</f>
        <v>9215.12551636479</v>
      </c>
      <c r="Q416" s="32"/>
      <c r="R416" s="80"/>
      <c r="S416" s="5" t="s">
        <v>29</v>
      </c>
      <c r="T416" s="5" t="s">
        <v>1915</v>
      </c>
      <c r="U416" s="294" t="s">
        <v>31</v>
      </c>
      <c r="V416" s="203" t="n">
        <v>43709</v>
      </c>
      <c r="W416" s="32"/>
      <c r="X416" s="32"/>
    </row>
    <row r="417" s="151" customFormat="true" ht="12.8" hidden="false" customHeight="false" outlineLevel="0" collapsed="false">
      <c r="A417" s="1"/>
      <c r="B417" s="1" t="s">
        <v>5375</v>
      </c>
      <c r="C417" s="3" t="n">
        <v>43479</v>
      </c>
      <c r="D417" s="2" t="s">
        <v>22</v>
      </c>
      <c r="E417" s="73" t="s">
        <v>962</v>
      </c>
      <c r="F417" s="1" t="s">
        <v>963</v>
      </c>
      <c r="G417" s="2" t="s">
        <v>49</v>
      </c>
      <c r="H417" s="2" t="s">
        <v>494</v>
      </c>
      <c r="I417" s="2" t="n">
        <v>2</v>
      </c>
      <c r="J417" s="276" t="n">
        <v>56.26</v>
      </c>
      <c r="K417" s="7" t="n">
        <v>570000</v>
      </c>
      <c r="L417" s="302" t="n">
        <f aca="false">K417/J417</f>
        <v>10131.5321720583</v>
      </c>
      <c r="M417" s="1" t="s">
        <v>940</v>
      </c>
      <c r="N417" s="7"/>
      <c r="O417" s="302" t="n">
        <f aca="false">K417+N417</f>
        <v>570000</v>
      </c>
      <c r="P417" s="304" t="n">
        <f aca="false">O417/J417</f>
        <v>10131.5321720583</v>
      </c>
      <c r="Q417" s="1"/>
      <c r="R417" s="2"/>
      <c r="S417" s="5" t="s">
        <v>29</v>
      </c>
      <c r="T417" s="5" t="s">
        <v>1915</v>
      </c>
      <c r="U417" s="294" t="s">
        <v>31</v>
      </c>
      <c r="V417" s="203" t="n">
        <v>43709</v>
      </c>
      <c r="W417" s="1"/>
      <c r="X417" s="1"/>
    </row>
    <row r="418" s="303" customFormat="true" ht="12.8" hidden="false" customHeight="false" outlineLevel="0" collapsed="false">
      <c r="A418" s="1"/>
      <c r="B418" s="80" t="s">
        <v>5376</v>
      </c>
      <c r="C418" s="185" t="n">
        <v>43479</v>
      </c>
      <c r="D418" s="80" t="s">
        <v>22</v>
      </c>
      <c r="E418" s="73" t="s">
        <v>2258</v>
      </c>
      <c r="F418" s="72" t="s">
        <v>2259</v>
      </c>
      <c r="G418" s="73" t="s">
        <v>27</v>
      </c>
      <c r="H418" s="47" t="s">
        <v>57</v>
      </c>
      <c r="I418" s="47" t="n">
        <v>2</v>
      </c>
      <c r="J418" s="74" t="n">
        <v>76.77</v>
      </c>
      <c r="K418" s="75" t="n">
        <v>933877</v>
      </c>
      <c r="L418" s="302" t="n">
        <f aca="false">K418/J418</f>
        <v>12164.6085710564</v>
      </c>
      <c r="M418" s="32" t="s">
        <v>2734</v>
      </c>
      <c r="N418" s="293"/>
      <c r="O418" s="302" t="n">
        <f aca="false">K418+N418</f>
        <v>933877</v>
      </c>
      <c r="P418" s="304" t="n">
        <f aca="false">O418/J418</f>
        <v>12164.6085710564</v>
      </c>
      <c r="Q418" s="32"/>
      <c r="R418" s="80"/>
      <c r="S418" s="73" t="s">
        <v>29</v>
      </c>
      <c r="T418" s="73" t="s">
        <v>1915</v>
      </c>
      <c r="U418" s="307" t="s">
        <v>31</v>
      </c>
      <c r="V418" s="308" t="n">
        <v>43709</v>
      </c>
      <c r="W418" s="32"/>
      <c r="X418" s="32"/>
    </row>
    <row r="419" s="151" customFormat="true" ht="12.8" hidden="false" customHeight="false" outlineLevel="0" collapsed="false">
      <c r="A419" s="1"/>
      <c r="B419" s="1" t="n">
        <v>204</v>
      </c>
      <c r="C419" s="3" t="n">
        <v>43480</v>
      </c>
      <c r="D419" s="171" t="s">
        <v>22</v>
      </c>
      <c r="E419" s="8" t="s">
        <v>4292</v>
      </c>
      <c r="F419" s="1" t="s">
        <v>5288</v>
      </c>
      <c r="G419" s="2" t="n">
        <v>5</v>
      </c>
      <c r="H419" s="2" t="n">
        <v>14</v>
      </c>
      <c r="I419" s="300" t="s">
        <v>1214</v>
      </c>
      <c r="J419" s="276" t="n">
        <v>92.12</v>
      </c>
      <c r="K419" s="6" t="n">
        <v>1177860</v>
      </c>
      <c r="L419" s="6" t="n">
        <f aca="false">K419/J419</f>
        <v>12786.148501954</v>
      </c>
      <c r="M419" s="264" t="s">
        <v>3302</v>
      </c>
      <c r="N419" s="6"/>
      <c r="O419" s="6" t="n">
        <f aca="false">K419+N419</f>
        <v>1177860</v>
      </c>
      <c r="P419" s="166" t="n">
        <f aca="false">O419/J419</f>
        <v>12786.148501954</v>
      </c>
      <c r="Q419" s="295"/>
      <c r="R419" s="301" t="s">
        <v>5239</v>
      </c>
      <c r="S419" s="5" t="s">
        <v>29</v>
      </c>
      <c r="T419" s="5" t="s">
        <v>1915</v>
      </c>
      <c r="U419" s="294" t="s">
        <v>31</v>
      </c>
      <c r="V419" s="203" t="n">
        <v>43709</v>
      </c>
      <c r="W419" s="1" t="s">
        <v>4761</v>
      </c>
      <c r="X419" s="1" t="s">
        <v>5317</v>
      </c>
    </row>
    <row r="420" s="151" customFormat="true" ht="12.8" hidden="false" customHeight="false" outlineLevel="0" collapsed="false">
      <c r="A420" s="1"/>
      <c r="B420" s="1" t="n">
        <v>189</v>
      </c>
      <c r="C420" s="3" t="n">
        <v>43480</v>
      </c>
      <c r="D420" s="171" t="s">
        <v>22</v>
      </c>
      <c r="E420" s="8" t="s">
        <v>4292</v>
      </c>
      <c r="F420" s="1" t="s">
        <v>5288</v>
      </c>
      <c r="G420" s="2" t="n">
        <v>7</v>
      </c>
      <c r="H420" s="2" t="n">
        <v>7</v>
      </c>
      <c r="I420" s="2" t="n">
        <v>2</v>
      </c>
      <c r="J420" s="276" t="n">
        <v>75.3</v>
      </c>
      <c r="K420" s="6" t="n">
        <v>612540</v>
      </c>
      <c r="L420" s="6" t="n">
        <f aca="false">K420/J420</f>
        <v>8134.66135458167</v>
      </c>
      <c r="M420" s="264" t="s">
        <v>3302</v>
      </c>
      <c r="N420" s="6"/>
      <c r="O420" s="6" t="n">
        <f aca="false">K420+N420</f>
        <v>612540</v>
      </c>
      <c r="P420" s="166" t="n">
        <f aca="false">O420/J420</f>
        <v>8134.66135458167</v>
      </c>
      <c r="Q420" s="295"/>
      <c r="R420" s="301" t="s">
        <v>5239</v>
      </c>
      <c r="S420" s="5" t="s">
        <v>29</v>
      </c>
      <c r="T420" s="5" t="s">
        <v>1915</v>
      </c>
      <c r="U420" s="294" t="s">
        <v>31</v>
      </c>
      <c r="V420" s="203" t="n">
        <v>43709</v>
      </c>
      <c r="W420" s="1" t="s">
        <v>4761</v>
      </c>
      <c r="X420" s="1" t="s">
        <v>5317</v>
      </c>
    </row>
    <row r="421" s="151" customFormat="true" ht="12.8" hidden="false" customHeight="false" outlineLevel="0" collapsed="false">
      <c r="A421" s="1"/>
      <c r="B421" s="1" t="n">
        <v>1478</v>
      </c>
      <c r="C421" s="3" t="n">
        <v>43480</v>
      </c>
      <c r="D421" s="171" t="s">
        <v>22</v>
      </c>
      <c r="E421" s="8" t="s">
        <v>3085</v>
      </c>
      <c r="F421" s="1" t="s">
        <v>3086</v>
      </c>
      <c r="G421" s="2" t="n">
        <v>7</v>
      </c>
      <c r="H421" s="2" t="n">
        <v>54</v>
      </c>
      <c r="I421" s="2" t="n">
        <v>1</v>
      </c>
      <c r="J421" s="276" t="n">
        <v>40.25</v>
      </c>
      <c r="K421" s="6" t="n">
        <v>314311.02</v>
      </c>
      <c r="L421" s="6" t="n">
        <f aca="false">K421/J421</f>
        <v>7808.96944099379</v>
      </c>
      <c r="M421" s="264" t="s">
        <v>987</v>
      </c>
      <c r="N421" s="6" t="n">
        <v>27600</v>
      </c>
      <c r="O421" s="6" t="n">
        <f aca="false">K421+N421</f>
        <v>341911.02</v>
      </c>
      <c r="P421" s="166" t="n">
        <f aca="false">O421/J421</f>
        <v>8494.68372670808</v>
      </c>
      <c r="Q421" s="295"/>
      <c r="R421" s="2" t="s">
        <v>5034</v>
      </c>
      <c r="S421" s="5" t="s">
        <v>29</v>
      </c>
      <c r="T421" s="5" t="s">
        <v>1915</v>
      </c>
      <c r="U421" s="294" t="s">
        <v>31</v>
      </c>
      <c r="V421" s="203" t="n">
        <v>43709</v>
      </c>
      <c r="W421" s="1" t="s">
        <v>5201</v>
      </c>
      <c r="X421" s="1"/>
    </row>
    <row r="422" s="151" customFormat="true" ht="12.8" hidden="false" customHeight="false" outlineLevel="0" collapsed="false">
      <c r="A422" s="1"/>
      <c r="B422" s="1" t="n">
        <v>129</v>
      </c>
      <c r="C422" s="3" t="n">
        <v>43480</v>
      </c>
      <c r="D422" s="171" t="s">
        <v>22</v>
      </c>
      <c r="E422" s="8" t="s">
        <v>229</v>
      </c>
      <c r="F422" s="1" t="s">
        <v>230</v>
      </c>
      <c r="G422" s="2" t="n">
        <v>57</v>
      </c>
      <c r="H422" s="2" t="n">
        <v>66</v>
      </c>
      <c r="I422" s="2" t="n">
        <v>1</v>
      </c>
      <c r="J422" s="276" t="n">
        <v>48.69</v>
      </c>
      <c r="K422" s="6" t="n">
        <v>430824</v>
      </c>
      <c r="L422" s="6" t="n">
        <f aca="false">K422/J422</f>
        <v>8848.3056069008</v>
      </c>
      <c r="M422" s="264" t="s">
        <v>5236</v>
      </c>
      <c r="N422" s="6"/>
      <c r="O422" s="6" t="n">
        <f aca="false">K422+N422</f>
        <v>430824</v>
      </c>
      <c r="P422" s="166" t="n">
        <f aca="false">O422/J422</f>
        <v>8848.3056069008</v>
      </c>
      <c r="Q422" s="295"/>
      <c r="R422" s="2" t="s">
        <v>5228</v>
      </c>
      <c r="S422" s="5" t="s">
        <v>29</v>
      </c>
      <c r="T422" s="5" t="s">
        <v>1915</v>
      </c>
      <c r="U422" s="294" t="s">
        <v>31</v>
      </c>
      <c r="V422" s="203" t="n">
        <v>43709</v>
      </c>
      <c r="W422" s="1" t="s">
        <v>5151</v>
      </c>
      <c r="X422" s="1"/>
    </row>
    <row r="423" s="151" customFormat="true" ht="12.8" hidden="false" customHeight="false" outlineLevel="0" collapsed="false">
      <c r="A423" s="1"/>
      <c r="B423" s="1" t="n">
        <v>286</v>
      </c>
      <c r="C423" s="3" t="n">
        <v>43480</v>
      </c>
      <c r="D423" s="171" t="s">
        <v>22</v>
      </c>
      <c r="E423" s="222" t="s">
        <v>1380</v>
      </c>
      <c r="F423" s="1" t="s">
        <v>1381</v>
      </c>
      <c r="G423" s="2" t="s">
        <v>384</v>
      </c>
      <c r="H423" s="2" t="n">
        <v>4</v>
      </c>
      <c r="I423" s="2" t="n">
        <v>2</v>
      </c>
      <c r="J423" s="276" t="n">
        <v>80.72</v>
      </c>
      <c r="K423" s="6" t="n">
        <v>879500</v>
      </c>
      <c r="L423" s="6" t="n">
        <f aca="false">K423/J423</f>
        <v>10895.6888007929</v>
      </c>
      <c r="M423" s="264" t="s">
        <v>5236</v>
      </c>
      <c r="N423" s="6"/>
      <c r="O423" s="6" t="n">
        <f aca="false">K423+N423</f>
        <v>879500</v>
      </c>
      <c r="P423" s="166" t="n">
        <f aca="false">O423/J423</f>
        <v>10895.6888007929</v>
      </c>
      <c r="Q423" s="295"/>
      <c r="R423" s="2" t="s">
        <v>5034</v>
      </c>
      <c r="S423" s="5" t="s">
        <v>29</v>
      </c>
      <c r="T423" s="5" t="s">
        <v>1915</v>
      </c>
      <c r="U423" s="294" t="s">
        <v>31</v>
      </c>
      <c r="V423" s="203" t="n">
        <v>43709</v>
      </c>
      <c r="W423" s="1" t="s">
        <v>5345</v>
      </c>
      <c r="X423" s="1"/>
    </row>
    <row r="424" s="151" customFormat="true" ht="12.8" hidden="false" customHeight="false" outlineLevel="0" collapsed="false">
      <c r="A424" s="1"/>
      <c r="B424" s="1" t="s">
        <v>5377</v>
      </c>
      <c r="C424" s="3" t="n">
        <v>43480</v>
      </c>
      <c r="D424" s="2" t="s">
        <v>22</v>
      </c>
      <c r="E424" s="306" t="s">
        <v>3085</v>
      </c>
      <c r="F424" s="1" t="s">
        <v>3086</v>
      </c>
      <c r="G424" s="2" t="s">
        <v>82</v>
      </c>
      <c r="H424" s="2" t="s">
        <v>472</v>
      </c>
      <c r="I424" s="2" t="n">
        <v>5</v>
      </c>
      <c r="J424" s="276" t="n">
        <v>53.28</v>
      </c>
      <c r="K424" s="7" t="n">
        <v>472592.37</v>
      </c>
      <c r="L424" s="6" t="n">
        <f aca="false">K424/J424</f>
        <v>8869.97691441441</v>
      </c>
      <c r="M424" s="1"/>
      <c r="N424" s="7"/>
      <c r="O424" s="6" t="n">
        <f aca="false">K424+N424</f>
        <v>472592.37</v>
      </c>
      <c r="P424" s="166" t="n">
        <f aca="false">O424/J424</f>
        <v>8869.97691441441</v>
      </c>
      <c r="Q424" s="1"/>
      <c r="R424" s="2"/>
      <c r="S424" s="5" t="s">
        <v>29</v>
      </c>
      <c r="T424" s="5" t="s">
        <v>1915</v>
      </c>
      <c r="U424" s="294" t="s">
        <v>31</v>
      </c>
      <c r="V424" s="203" t="n">
        <v>43709</v>
      </c>
      <c r="W424" s="1"/>
      <c r="X424" s="1"/>
    </row>
    <row r="425" s="151" customFormat="true" ht="12.8" hidden="false" customHeight="false" outlineLevel="0" collapsed="false">
      <c r="A425" s="1"/>
      <c r="B425" s="1" t="s">
        <v>5378</v>
      </c>
      <c r="C425" s="3" t="n">
        <v>43480</v>
      </c>
      <c r="D425" s="2" t="s">
        <v>22</v>
      </c>
      <c r="E425" s="306" t="s">
        <v>3085</v>
      </c>
      <c r="F425" s="1" t="s">
        <v>3086</v>
      </c>
      <c r="G425" s="2" t="s">
        <v>82</v>
      </c>
      <c r="H425" s="2" t="s">
        <v>3410</v>
      </c>
      <c r="I425" s="2" t="n">
        <v>6</v>
      </c>
      <c r="J425" s="276" t="n">
        <v>53.28</v>
      </c>
      <c r="K425" s="7" t="n">
        <v>460870.77</v>
      </c>
      <c r="L425" s="6" t="n">
        <f aca="false">K425/J425</f>
        <v>8649.97691441441</v>
      </c>
      <c r="M425" s="1"/>
      <c r="N425" s="7"/>
      <c r="O425" s="6" t="n">
        <f aca="false">K425+N425</f>
        <v>460870.77</v>
      </c>
      <c r="P425" s="166" t="n">
        <f aca="false">O425/J425</f>
        <v>8649.97691441441</v>
      </c>
      <c r="Q425" s="1"/>
      <c r="R425" s="2"/>
      <c r="S425" s="5" t="s">
        <v>29</v>
      </c>
      <c r="T425" s="5" t="s">
        <v>1915</v>
      </c>
      <c r="U425" s="294" t="s">
        <v>31</v>
      </c>
      <c r="V425" s="203" t="n">
        <v>43709</v>
      </c>
      <c r="W425" s="1"/>
      <c r="X425" s="1"/>
    </row>
    <row r="426" s="151" customFormat="true" ht="12.8" hidden="false" customHeight="false" outlineLevel="0" collapsed="false">
      <c r="A426" s="1"/>
      <c r="B426" s="1" t="s">
        <v>5379</v>
      </c>
      <c r="C426" s="3" t="n">
        <v>43480</v>
      </c>
      <c r="D426" s="2" t="s">
        <v>22</v>
      </c>
      <c r="E426" s="306" t="s">
        <v>3085</v>
      </c>
      <c r="F426" s="1" t="s">
        <v>3086</v>
      </c>
      <c r="G426" s="2" t="s">
        <v>82</v>
      </c>
      <c r="H426" s="2" t="s">
        <v>111</v>
      </c>
      <c r="I426" s="2" t="n">
        <v>3</v>
      </c>
      <c r="J426" s="276" t="n">
        <v>43.22</v>
      </c>
      <c r="K426" s="7" t="n">
        <v>362139.15</v>
      </c>
      <c r="L426" s="6" t="n">
        <f aca="false">K426/J426</f>
        <v>8378.97154095326</v>
      </c>
      <c r="M426" s="1"/>
      <c r="N426" s="7"/>
      <c r="O426" s="6" t="n">
        <f aca="false">K426+N426</f>
        <v>362139.15</v>
      </c>
      <c r="P426" s="166" t="n">
        <f aca="false">O426/J426</f>
        <v>8378.97154095326</v>
      </c>
      <c r="Q426" s="1"/>
      <c r="R426" s="2"/>
      <c r="S426" s="5" t="s">
        <v>29</v>
      </c>
      <c r="T426" s="5" t="s">
        <v>1915</v>
      </c>
      <c r="U426" s="294" t="s">
        <v>31</v>
      </c>
      <c r="V426" s="203" t="n">
        <v>43709</v>
      </c>
      <c r="W426" s="1"/>
      <c r="X426" s="1"/>
    </row>
    <row r="427" s="151" customFormat="true" ht="12.8" hidden="false" customHeight="false" outlineLevel="0" collapsed="false">
      <c r="A427" s="1"/>
      <c r="B427" s="1" t="s">
        <v>5380</v>
      </c>
      <c r="C427" s="3" t="n">
        <v>43480</v>
      </c>
      <c r="D427" s="2" t="s">
        <v>22</v>
      </c>
      <c r="E427" s="306" t="s">
        <v>3085</v>
      </c>
      <c r="F427" s="1" t="s">
        <v>3086</v>
      </c>
      <c r="G427" s="2" t="s">
        <v>82</v>
      </c>
      <c r="H427" s="2" t="s">
        <v>2489</v>
      </c>
      <c r="I427" s="2" t="n">
        <v>2</v>
      </c>
      <c r="J427" s="276" t="n">
        <v>40.29</v>
      </c>
      <c r="K427" s="7" t="n">
        <v>321795</v>
      </c>
      <c r="L427" s="6" t="n">
        <f aca="false">K427/J427</f>
        <v>7986.96947133284</v>
      </c>
      <c r="M427" s="1"/>
      <c r="N427" s="7"/>
      <c r="O427" s="6" t="n">
        <f aca="false">K427+N427</f>
        <v>321795</v>
      </c>
      <c r="P427" s="166" t="n">
        <f aca="false">O427/J427</f>
        <v>7986.96947133284</v>
      </c>
      <c r="Q427" s="1"/>
      <c r="R427" s="2"/>
      <c r="S427" s="5" t="s">
        <v>29</v>
      </c>
      <c r="T427" s="5" t="s">
        <v>1915</v>
      </c>
      <c r="U427" s="294" t="s">
        <v>31</v>
      </c>
      <c r="V427" s="203" t="n">
        <v>43709</v>
      </c>
      <c r="W427" s="1"/>
      <c r="X427" s="1"/>
    </row>
    <row r="428" s="151" customFormat="true" ht="12.8" hidden="false" customHeight="false" outlineLevel="0" collapsed="false">
      <c r="A428" s="1"/>
      <c r="B428" s="1" t="s">
        <v>5381</v>
      </c>
      <c r="C428" s="3" t="n">
        <v>43480</v>
      </c>
      <c r="D428" s="2" t="s">
        <v>22</v>
      </c>
      <c r="E428" s="306" t="s">
        <v>3085</v>
      </c>
      <c r="F428" s="1" t="s">
        <v>3086</v>
      </c>
      <c r="G428" s="2" t="s">
        <v>82</v>
      </c>
      <c r="H428" s="2" t="s">
        <v>2955</v>
      </c>
      <c r="I428" s="2" t="n">
        <v>1</v>
      </c>
      <c r="J428" s="276" t="n">
        <v>40.25</v>
      </c>
      <c r="K428" s="7" t="n">
        <v>314311.02</v>
      </c>
      <c r="L428" s="6" t="n">
        <f aca="false">K428/J428</f>
        <v>7808.96944099379</v>
      </c>
      <c r="M428" s="1" t="s">
        <v>1694</v>
      </c>
      <c r="N428" s="7"/>
      <c r="O428" s="6" t="n">
        <f aca="false">K428+N428</f>
        <v>314311.02</v>
      </c>
      <c r="P428" s="166" t="n">
        <f aca="false">O428/J428</f>
        <v>7808.96944099379</v>
      </c>
      <c r="Q428" s="1"/>
      <c r="R428" s="2"/>
      <c r="S428" s="5" t="s">
        <v>29</v>
      </c>
      <c r="T428" s="5" t="s">
        <v>1915</v>
      </c>
      <c r="U428" s="294" t="s">
        <v>31</v>
      </c>
      <c r="V428" s="203" t="n">
        <v>43709</v>
      </c>
      <c r="W428" s="1"/>
      <c r="X428" s="1"/>
    </row>
    <row r="429" s="151" customFormat="true" ht="12.8" hidden="false" customHeight="false" outlineLevel="0" collapsed="false">
      <c r="A429" s="1"/>
      <c r="B429" s="1" t="s">
        <v>5382</v>
      </c>
      <c r="C429" s="3" t="n">
        <v>43480</v>
      </c>
      <c r="D429" s="2" t="s">
        <v>22</v>
      </c>
      <c r="E429" s="2" t="s">
        <v>229</v>
      </c>
      <c r="F429" s="1" t="s">
        <v>230</v>
      </c>
      <c r="G429" s="2" t="s">
        <v>249</v>
      </c>
      <c r="H429" s="2" t="s">
        <v>67</v>
      </c>
      <c r="I429" s="2" t="n">
        <v>7</v>
      </c>
      <c r="J429" s="276" t="n">
        <v>102.4</v>
      </c>
      <c r="K429" s="7" t="n">
        <v>870000</v>
      </c>
      <c r="L429" s="6" t="n">
        <f aca="false">K429/J429</f>
        <v>8496.09375</v>
      </c>
      <c r="M429" s="1" t="s">
        <v>5155</v>
      </c>
      <c r="N429" s="7"/>
      <c r="O429" s="6" t="n">
        <f aca="false">K429+N429</f>
        <v>870000</v>
      </c>
      <c r="P429" s="166" t="n">
        <f aca="false">O429/J429</f>
        <v>8496.09375</v>
      </c>
      <c r="Q429" s="1"/>
      <c r="R429" s="2"/>
      <c r="S429" s="5" t="s">
        <v>29</v>
      </c>
      <c r="T429" s="5" t="s">
        <v>1915</v>
      </c>
      <c r="U429" s="294" t="s">
        <v>31</v>
      </c>
      <c r="V429" s="203" t="n">
        <v>43709</v>
      </c>
      <c r="W429" s="1"/>
      <c r="X429" s="1"/>
    </row>
    <row r="430" s="151" customFormat="true" ht="12.8" hidden="false" customHeight="false" outlineLevel="0" collapsed="false">
      <c r="A430" s="1"/>
      <c r="B430" s="1" t="s">
        <v>5383</v>
      </c>
      <c r="C430" s="3" t="n">
        <v>43480</v>
      </c>
      <c r="D430" s="2" t="s">
        <v>22</v>
      </c>
      <c r="E430" s="2" t="s">
        <v>229</v>
      </c>
      <c r="F430" s="1" t="s">
        <v>230</v>
      </c>
      <c r="G430" s="2" t="s">
        <v>3498</v>
      </c>
      <c r="H430" s="2" t="s">
        <v>27</v>
      </c>
      <c r="I430" s="2" t="n">
        <v>1</v>
      </c>
      <c r="J430" s="276" t="n">
        <v>62.48</v>
      </c>
      <c r="K430" s="7" t="n">
        <v>523592</v>
      </c>
      <c r="L430" s="6" t="n">
        <f aca="false">K430/J430</f>
        <v>8380.15364916773</v>
      </c>
      <c r="M430" s="1" t="s">
        <v>5384</v>
      </c>
      <c r="N430" s="7"/>
      <c r="O430" s="6" t="n">
        <f aca="false">K430+N430</f>
        <v>523592</v>
      </c>
      <c r="P430" s="166" t="n">
        <f aca="false">O430/J430</f>
        <v>8380.15364916773</v>
      </c>
      <c r="Q430" s="1"/>
      <c r="R430" s="2"/>
      <c r="S430" s="5" t="s">
        <v>29</v>
      </c>
      <c r="T430" s="5" t="s">
        <v>1915</v>
      </c>
      <c r="U430" s="294" t="s">
        <v>31</v>
      </c>
      <c r="V430" s="203" t="n">
        <v>43709</v>
      </c>
      <c r="W430" s="1"/>
      <c r="X430" s="1"/>
    </row>
    <row r="431" s="151" customFormat="true" ht="12.8" hidden="false" customHeight="false" outlineLevel="0" collapsed="false">
      <c r="A431" s="1"/>
      <c r="B431" s="1" t="s">
        <v>5385</v>
      </c>
      <c r="C431" s="3" t="n">
        <v>43480</v>
      </c>
      <c r="D431" s="2" t="s">
        <v>22</v>
      </c>
      <c r="E431" s="2" t="s">
        <v>229</v>
      </c>
      <c r="F431" s="1" t="s">
        <v>230</v>
      </c>
      <c r="G431" s="2" t="s">
        <v>3498</v>
      </c>
      <c r="H431" s="2" t="s">
        <v>36</v>
      </c>
      <c r="I431" s="2" t="n">
        <v>1</v>
      </c>
      <c r="J431" s="276" t="n">
        <v>90.14</v>
      </c>
      <c r="K431" s="7" t="n">
        <v>759722.5</v>
      </c>
      <c r="L431" s="6" t="n">
        <f aca="false">K431/J431</f>
        <v>8428.25049922343</v>
      </c>
      <c r="M431" s="1" t="s">
        <v>2434</v>
      </c>
      <c r="N431" s="7"/>
      <c r="O431" s="6" t="n">
        <f aca="false">K431+N431</f>
        <v>759722.5</v>
      </c>
      <c r="P431" s="166" t="n">
        <f aca="false">O431/J431</f>
        <v>8428.25049922343</v>
      </c>
      <c r="Q431" s="1"/>
      <c r="R431" s="2"/>
      <c r="S431" s="5" t="s">
        <v>29</v>
      </c>
      <c r="T431" s="5" t="s">
        <v>1915</v>
      </c>
      <c r="U431" s="294" t="s">
        <v>31</v>
      </c>
      <c r="V431" s="203" t="n">
        <v>43709</v>
      </c>
      <c r="W431" s="1"/>
      <c r="X431" s="1"/>
    </row>
    <row r="432" s="303" customFormat="true" ht="12.8" hidden="false" customHeight="false" outlineLevel="0" collapsed="false">
      <c r="A432" s="1"/>
      <c r="B432" s="73" t="s">
        <v>5386</v>
      </c>
      <c r="C432" s="185" t="n">
        <v>43480</v>
      </c>
      <c r="D432" s="80" t="s">
        <v>22</v>
      </c>
      <c r="E432" s="73" t="s">
        <v>962</v>
      </c>
      <c r="F432" s="190" t="s">
        <v>5326</v>
      </c>
      <c r="G432" s="73" t="s">
        <v>36</v>
      </c>
      <c r="H432" s="73" t="s">
        <v>222</v>
      </c>
      <c r="I432" s="73" t="n">
        <v>5</v>
      </c>
      <c r="J432" s="74" t="n">
        <v>56.02</v>
      </c>
      <c r="K432" s="78" t="n">
        <v>500000</v>
      </c>
      <c r="L432" s="302" t="n">
        <f aca="false">K432/J432</f>
        <v>8925.38379150303</v>
      </c>
      <c r="M432" s="32" t="s">
        <v>940</v>
      </c>
      <c r="N432" s="293"/>
      <c r="O432" s="302" t="n">
        <f aca="false">K432+N432</f>
        <v>500000</v>
      </c>
      <c r="P432" s="304" t="n">
        <f aca="false">O432/J432</f>
        <v>8925.38379150303</v>
      </c>
      <c r="Q432" s="32"/>
      <c r="R432" s="80"/>
      <c r="S432" s="5" t="s">
        <v>29</v>
      </c>
      <c r="T432" s="5" t="s">
        <v>1915</v>
      </c>
      <c r="U432" s="294" t="s">
        <v>31</v>
      </c>
      <c r="V432" s="203" t="n">
        <v>43709</v>
      </c>
      <c r="W432" s="32"/>
      <c r="X432" s="32"/>
    </row>
    <row r="433" s="151" customFormat="true" ht="12.8" hidden="false" customHeight="false" outlineLevel="0" collapsed="false">
      <c r="A433" s="1"/>
      <c r="B433" s="1" t="n">
        <v>180</v>
      </c>
      <c r="C433" s="3" t="n">
        <v>43481</v>
      </c>
      <c r="D433" s="171" t="s">
        <v>22</v>
      </c>
      <c r="E433" s="8" t="s">
        <v>229</v>
      </c>
      <c r="F433" s="1" t="s">
        <v>230</v>
      </c>
      <c r="G433" s="2" t="s">
        <v>3498</v>
      </c>
      <c r="H433" s="2" t="n">
        <v>17</v>
      </c>
      <c r="I433" s="2" t="n">
        <v>3</v>
      </c>
      <c r="J433" s="276" t="n">
        <v>37.46</v>
      </c>
      <c r="K433" s="6" t="n">
        <v>311667.2</v>
      </c>
      <c r="L433" s="6" t="n">
        <f aca="false">K433/J433</f>
        <v>8320</v>
      </c>
      <c r="M433" s="264"/>
      <c r="N433" s="6"/>
      <c r="O433" s="6" t="n">
        <f aca="false">K433+N433</f>
        <v>311667.2</v>
      </c>
      <c r="P433" s="166" t="n">
        <f aca="false">O433/J433</f>
        <v>8320</v>
      </c>
      <c r="Q433" s="295"/>
      <c r="R433" s="2" t="s">
        <v>5228</v>
      </c>
      <c r="S433" s="5" t="s">
        <v>29</v>
      </c>
      <c r="T433" s="5" t="s">
        <v>1915</v>
      </c>
      <c r="U433" s="294" t="s">
        <v>31</v>
      </c>
      <c r="V433" s="203" t="n">
        <v>43709</v>
      </c>
      <c r="W433" s="1" t="s">
        <v>5151</v>
      </c>
      <c r="X433" s="1"/>
    </row>
    <row r="434" s="151" customFormat="true" ht="12.8" hidden="false" customHeight="false" outlineLevel="0" collapsed="false">
      <c r="A434" s="1"/>
      <c r="B434" s="1" t="n">
        <v>172</v>
      </c>
      <c r="C434" s="3" t="n">
        <v>43481</v>
      </c>
      <c r="D434" s="171" t="s">
        <v>22</v>
      </c>
      <c r="E434" s="8" t="s">
        <v>229</v>
      </c>
      <c r="F434" s="1" t="s">
        <v>230</v>
      </c>
      <c r="G434" s="2" t="s">
        <v>3498</v>
      </c>
      <c r="H434" s="2" t="n">
        <v>42</v>
      </c>
      <c r="I434" s="2" t="n">
        <v>1</v>
      </c>
      <c r="J434" s="276" t="n">
        <v>63.47</v>
      </c>
      <c r="K434" s="6" t="n">
        <v>549184.99</v>
      </c>
      <c r="L434" s="6" t="n">
        <f aca="false">K434/J434</f>
        <v>8652.67039546242</v>
      </c>
      <c r="M434" s="264" t="s">
        <v>5236</v>
      </c>
      <c r="N434" s="6"/>
      <c r="O434" s="6" t="n">
        <f aca="false">K434+N434</f>
        <v>549184.99</v>
      </c>
      <c r="P434" s="166" t="n">
        <f aca="false">O434/J434</f>
        <v>8652.67039546242</v>
      </c>
      <c r="Q434" s="295"/>
      <c r="R434" s="2" t="s">
        <v>5034</v>
      </c>
      <c r="S434" s="5" t="s">
        <v>29</v>
      </c>
      <c r="T434" s="5" t="s">
        <v>1915</v>
      </c>
      <c r="U434" s="294" t="s">
        <v>31</v>
      </c>
      <c r="V434" s="203" t="n">
        <v>43709</v>
      </c>
      <c r="W434" s="1" t="s">
        <v>5151</v>
      </c>
      <c r="X434" s="1"/>
    </row>
    <row r="435" s="151" customFormat="true" ht="12.8" hidden="false" customHeight="false" outlineLevel="0" collapsed="false">
      <c r="A435" s="1"/>
      <c r="B435" s="1" t="n">
        <v>345</v>
      </c>
      <c r="C435" s="3" t="n">
        <v>43481</v>
      </c>
      <c r="D435" s="171" t="s">
        <v>22</v>
      </c>
      <c r="E435" s="222" t="s">
        <v>1380</v>
      </c>
      <c r="F435" s="1" t="s">
        <v>1381</v>
      </c>
      <c r="G435" s="2" t="n">
        <v>4</v>
      </c>
      <c r="H435" s="2" t="n">
        <v>8</v>
      </c>
      <c r="I435" s="2" t="n">
        <v>2</v>
      </c>
      <c r="J435" s="276" t="n">
        <v>95.61</v>
      </c>
      <c r="K435" s="6" t="n">
        <v>977844.68</v>
      </c>
      <c r="L435" s="6" t="n">
        <f aca="false">K435/J435</f>
        <v>10227.4310218596</v>
      </c>
      <c r="M435" s="264" t="s">
        <v>5236</v>
      </c>
      <c r="N435" s="6"/>
      <c r="O435" s="6" t="n">
        <f aca="false">K435+N435</f>
        <v>977844.68</v>
      </c>
      <c r="P435" s="166" t="n">
        <f aca="false">O435/J435</f>
        <v>10227.4310218596</v>
      </c>
      <c r="Q435" s="295"/>
      <c r="R435" s="2" t="s">
        <v>5260</v>
      </c>
      <c r="S435" s="5" t="s">
        <v>29</v>
      </c>
      <c r="T435" s="5" t="s">
        <v>1915</v>
      </c>
      <c r="U435" s="294" t="s">
        <v>31</v>
      </c>
      <c r="V435" s="203" t="n">
        <v>43709</v>
      </c>
      <c r="W435" s="1" t="s">
        <v>5345</v>
      </c>
      <c r="X435" s="1"/>
    </row>
    <row r="436" s="151" customFormat="true" ht="12.8" hidden="false" customHeight="false" outlineLevel="0" collapsed="false">
      <c r="A436" s="1"/>
      <c r="B436" s="1" t="s">
        <v>2441</v>
      </c>
      <c r="C436" s="3" t="n">
        <v>43481</v>
      </c>
      <c r="D436" s="2" t="s">
        <v>22</v>
      </c>
      <c r="E436" s="2" t="s">
        <v>229</v>
      </c>
      <c r="F436" s="1" t="s">
        <v>230</v>
      </c>
      <c r="G436" s="2" t="s">
        <v>3498</v>
      </c>
      <c r="H436" s="2" t="s">
        <v>246</v>
      </c>
      <c r="I436" s="2" t="n">
        <v>6</v>
      </c>
      <c r="J436" s="276" t="n">
        <v>63.47</v>
      </c>
      <c r="K436" s="7" t="n">
        <v>549184.99</v>
      </c>
      <c r="L436" s="6" t="n">
        <f aca="false">K436/J436</f>
        <v>8652.67039546242</v>
      </c>
      <c r="M436" s="1" t="s">
        <v>5155</v>
      </c>
      <c r="N436" s="7"/>
      <c r="O436" s="6" t="n">
        <f aca="false">K436+N436</f>
        <v>549184.99</v>
      </c>
      <c r="P436" s="166" t="n">
        <f aca="false">O436/J436</f>
        <v>8652.67039546242</v>
      </c>
      <c r="Q436" s="1"/>
      <c r="R436" s="2"/>
      <c r="S436" s="5" t="s">
        <v>29</v>
      </c>
      <c r="T436" s="5" t="s">
        <v>1915</v>
      </c>
      <c r="U436" s="294" t="s">
        <v>31</v>
      </c>
      <c r="V436" s="203" t="n">
        <v>43709</v>
      </c>
      <c r="W436" s="1"/>
      <c r="X436" s="1"/>
    </row>
    <row r="437" s="151" customFormat="true" ht="12.8" hidden="false" customHeight="false" outlineLevel="0" collapsed="false">
      <c r="A437" s="1"/>
      <c r="B437" s="1" t="s">
        <v>5387</v>
      </c>
      <c r="C437" s="3" t="n">
        <v>43481</v>
      </c>
      <c r="D437" s="2" t="s">
        <v>22</v>
      </c>
      <c r="E437" s="2" t="s">
        <v>229</v>
      </c>
      <c r="F437" s="1" t="s">
        <v>230</v>
      </c>
      <c r="G437" s="2" t="s">
        <v>275</v>
      </c>
      <c r="H437" s="2" t="s">
        <v>47</v>
      </c>
      <c r="I437" s="2" t="n">
        <v>7</v>
      </c>
      <c r="J437" s="276" t="n">
        <v>41.3</v>
      </c>
      <c r="K437" s="7" t="n">
        <v>373137.5</v>
      </c>
      <c r="L437" s="6" t="n">
        <f aca="false">K437/J437</f>
        <v>9034.80629539952</v>
      </c>
      <c r="M437" s="1" t="s">
        <v>5155</v>
      </c>
      <c r="N437" s="7"/>
      <c r="O437" s="6" t="n">
        <f aca="false">K437+N437</f>
        <v>373137.5</v>
      </c>
      <c r="P437" s="166" t="n">
        <f aca="false">O437/J437</f>
        <v>9034.80629539952</v>
      </c>
      <c r="Q437" s="1"/>
      <c r="R437" s="2"/>
      <c r="S437" s="5" t="s">
        <v>29</v>
      </c>
      <c r="T437" s="5" t="s">
        <v>1915</v>
      </c>
      <c r="U437" s="294" t="s">
        <v>31</v>
      </c>
      <c r="V437" s="203" t="n">
        <v>43709</v>
      </c>
      <c r="W437" s="1"/>
      <c r="X437" s="1"/>
    </row>
    <row r="438" s="151" customFormat="true" ht="12.8" hidden="false" customHeight="false" outlineLevel="0" collapsed="false">
      <c r="A438" s="1"/>
      <c r="B438" s="1" t="s">
        <v>5388</v>
      </c>
      <c r="C438" s="3" t="n">
        <v>43481</v>
      </c>
      <c r="D438" s="2" t="s">
        <v>22</v>
      </c>
      <c r="E438" s="2" t="s">
        <v>229</v>
      </c>
      <c r="F438" s="1" t="s">
        <v>230</v>
      </c>
      <c r="G438" s="2" t="s">
        <v>3498</v>
      </c>
      <c r="H438" s="2" t="s">
        <v>112</v>
      </c>
      <c r="I438" s="2" t="n">
        <v>2</v>
      </c>
      <c r="J438" s="276" t="n">
        <v>73.75</v>
      </c>
      <c r="K438" s="7" t="n">
        <v>608000</v>
      </c>
      <c r="L438" s="6" t="n">
        <f aca="false">K438/J438</f>
        <v>8244.06779661017</v>
      </c>
      <c r="M438" s="1" t="s">
        <v>940</v>
      </c>
      <c r="N438" s="7"/>
      <c r="O438" s="6" t="n">
        <f aca="false">K438+N438</f>
        <v>608000</v>
      </c>
      <c r="P438" s="166" t="n">
        <f aca="false">O438/J438</f>
        <v>8244.06779661017</v>
      </c>
      <c r="Q438" s="1"/>
      <c r="R438" s="2"/>
      <c r="S438" s="5" t="s">
        <v>29</v>
      </c>
      <c r="T438" s="5" t="s">
        <v>1915</v>
      </c>
      <c r="U438" s="294" t="s">
        <v>31</v>
      </c>
      <c r="V438" s="203" t="n">
        <v>43709</v>
      </c>
      <c r="W438" s="1"/>
      <c r="X438" s="1"/>
    </row>
    <row r="439" customFormat="false" ht="12.8" hidden="false" customHeight="false" outlineLevel="0" collapsed="false">
      <c r="B439" s="1" t="n">
        <v>2007</v>
      </c>
      <c r="C439" s="3" t="n">
        <v>43482</v>
      </c>
      <c r="D439" s="171" t="s">
        <v>22</v>
      </c>
      <c r="E439" s="8" t="s">
        <v>3085</v>
      </c>
      <c r="F439" s="1" t="s">
        <v>323</v>
      </c>
      <c r="G439" s="2" t="n">
        <v>17</v>
      </c>
      <c r="H439" s="2" t="n">
        <v>31</v>
      </c>
      <c r="I439" s="2" t="n">
        <v>5</v>
      </c>
      <c r="J439" s="276" t="n">
        <v>44.7</v>
      </c>
      <c r="K439" s="6" t="n">
        <v>422848.37</v>
      </c>
      <c r="L439" s="6" t="n">
        <f aca="false">K439/J439</f>
        <v>9459.69507829978</v>
      </c>
      <c r="M439" s="264" t="s">
        <v>987</v>
      </c>
      <c r="N439" s="300" t="n">
        <v>0</v>
      </c>
      <c r="O439" s="6" t="n">
        <f aca="false">K439+N439</f>
        <v>422848.37</v>
      </c>
      <c r="P439" s="166" t="n">
        <f aca="false">O439/J439</f>
        <v>9459.69507829978</v>
      </c>
      <c r="Q439" s="295"/>
      <c r="R439" s="2" t="s">
        <v>5034</v>
      </c>
      <c r="S439" s="5" t="s">
        <v>29</v>
      </c>
      <c r="T439" s="5" t="s">
        <v>1915</v>
      </c>
      <c r="U439" s="294" t="s">
        <v>31</v>
      </c>
      <c r="V439" s="203" t="n">
        <v>43709</v>
      </c>
      <c r="W439" s="1" t="s">
        <v>5201</v>
      </c>
      <c r="X439" s="1" t="s">
        <v>5389</v>
      </c>
    </row>
    <row r="440" customFormat="false" ht="12.8" hidden="false" customHeight="false" outlineLevel="0" collapsed="false">
      <c r="B440" s="1" t="n">
        <v>1866</v>
      </c>
      <c r="C440" s="3" t="n">
        <v>43482</v>
      </c>
      <c r="D440" s="171" t="s">
        <v>22</v>
      </c>
      <c r="E440" s="8" t="s">
        <v>3085</v>
      </c>
      <c r="F440" s="1" t="s">
        <v>3086</v>
      </c>
      <c r="G440" s="2" t="n">
        <v>9</v>
      </c>
      <c r="H440" s="2" t="n">
        <v>24</v>
      </c>
      <c r="I440" s="2" t="n">
        <v>2</v>
      </c>
      <c r="J440" s="276" t="n">
        <v>64.03</v>
      </c>
      <c r="K440" s="6" t="n">
        <v>466233.22</v>
      </c>
      <c r="L440" s="6" t="n">
        <f aca="false">K440/J440</f>
        <v>7281.48086834296</v>
      </c>
      <c r="M440" s="264" t="s">
        <v>987</v>
      </c>
      <c r="N440" s="6" t="n">
        <v>24477.72</v>
      </c>
      <c r="O440" s="6" t="n">
        <f aca="false">K440+N440</f>
        <v>490710.94</v>
      </c>
      <c r="P440" s="166" t="n">
        <f aca="false">O440/J440</f>
        <v>7663.76604716539</v>
      </c>
      <c r="Q440" s="295"/>
      <c r="R440" s="2" t="s">
        <v>5325</v>
      </c>
      <c r="S440" s="5" t="s">
        <v>29</v>
      </c>
      <c r="T440" s="5" t="s">
        <v>1915</v>
      </c>
      <c r="U440" s="294" t="s">
        <v>31</v>
      </c>
      <c r="V440" s="203" t="n">
        <v>43709</v>
      </c>
      <c r="W440" s="1" t="s">
        <v>5201</v>
      </c>
    </row>
    <row r="441" customFormat="false" ht="12.8" hidden="false" customHeight="false" outlineLevel="0" collapsed="false">
      <c r="B441" s="1" t="n">
        <v>1855</v>
      </c>
      <c r="C441" s="3" t="n">
        <v>43482</v>
      </c>
      <c r="D441" s="171" t="s">
        <v>22</v>
      </c>
      <c r="E441" s="8" t="s">
        <v>3085</v>
      </c>
      <c r="F441" s="1" t="s">
        <v>3086</v>
      </c>
      <c r="G441" s="2" t="n">
        <v>9</v>
      </c>
      <c r="H441" s="2" t="n">
        <v>48</v>
      </c>
      <c r="I441" s="2" t="n">
        <v>2</v>
      </c>
      <c r="J441" s="276" t="n">
        <v>43.62</v>
      </c>
      <c r="K441" s="6" t="n">
        <v>366777.54</v>
      </c>
      <c r="L441" s="6" t="n">
        <f aca="false">K441/J441</f>
        <v>8408.47180192572</v>
      </c>
      <c r="M441" s="264" t="s">
        <v>987</v>
      </c>
      <c r="N441" s="6" t="n">
        <v>16495.16</v>
      </c>
      <c r="O441" s="6" t="n">
        <f aca="false">K441+N441</f>
        <v>383272.7</v>
      </c>
      <c r="P441" s="166" t="n">
        <f aca="false">O441/J441</f>
        <v>8786.62769371848</v>
      </c>
      <c r="Q441" s="295"/>
      <c r="R441" s="2" t="s">
        <v>5034</v>
      </c>
      <c r="S441" s="5" t="s">
        <v>29</v>
      </c>
      <c r="T441" s="5" t="s">
        <v>1915</v>
      </c>
      <c r="U441" s="294" t="s">
        <v>31</v>
      </c>
      <c r="V441" s="203" t="n">
        <v>43709</v>
      </c>
      <c r="W441" s="1" t="s">
        <v>5201</v>
      </c>
    </row>
    <row r="442" customFormat="false" ht="12.8" hidden="false" customHeight="false" outlineLevel="0" collapsed="false">
      <c r="B442" s="1" t="n">
        <v>323</v>
      </c>
      <c r="C442" s="3" t="n">
        <v>43482</v>
      </c>
      <c r="D442" s="171" t="s">
        <v>22</v>
      </c>
      <c r="E442" s="8" t="s">
        <v>229</v>
      </c>
      <c r="F442" s="1" t="s">
        <v>230</v>
      </c>
      <c r="G442" s="2" t="n">
        <v>55</v>
      </c>
      <c r="H442" s="2" t="n">
        <v>12</v>
      </c>
      <c r="I442" s="2" t="n">
        <v>4</v>
      </c>
      <c r="J442" s="276" t="n">
        <v>53.29</v>
      </c>
      <c r="K442" s="6" t="n">
        <v>466921.81</v>
      </c>
      <c r="L442" s="6" t="n">
        <f aca="false">K442/J442</f>
        <v>8761.90298367424</v>
      </c>
      <c r="M442" s="264" t="s">
        <v>5236</v>
      </c>
      <c r="N442" s="6"/>
      <c r="O442" s="6" t="n">
        <f aca="false">K442+N442</f>
        <v>466921.81</v>
      </c>
      <c r="P442" s="166" t="n">
        <f aca="false">O442/J442</f>
        <v>8761.90298367424</v>
      </c>
      <c r="Q442" s="295"/>
      <c r="R442" s="2" t="s">
        <v>5322</v>
      </c>
      <c r="S442" s="5" t="s">
        <v>29</v>
      </c>
      <c r="T442" s="5" t="s">
        <v>1915</v>
      </c>
      <c r="U442" s="294" t="s">
        <v>31</v>
      </c>
      <c r="V442" s="203" t="n">
        <v>43709</v>
      </c>
      <c r="W442" s="1" t="s">
        <v>5151</v>
      </c>
    </row>
    <row r="443" customFormat="false" ht="12.8" hidden="false" customHeight="false" outlineLevel="0" collapsed="false">
      <c r="B443" s="1" t="n">
        <v>310</v>
      </c>
      <c r="C443" s="3" t="n">
        <v>43482</v>
      </c>
      <c r="D443" s="171" t="s">
        <v>22</v>
      </c>
      <c r="E443" s="291" t="s">
        <v>229</v>
      </c>
      <c r="F443" s="1" t="s">
        <v>230</v>
      </c>
      <c r="G443" s="2" t="s">
        <v>3498</v>
      </c>
      <c r="H443" s="2" t="n">
        <v>27</v>
      </c>
      <c r="I443" s="2" t="n">
        <v>4</v>
      </c>
      <c r="J443" s="276" t="n">
        <v>46.36</v>
      </c>
      <c r="K443" s="6" t="n">
        <v>402481.6</v>
      </c>
      <c r="L443" s="6" t="n">
        <f aca="false">K443/J443</f>
        <v>8681.65660051769</v>
      </c>
      <c r="M443" s="264"/>
      <c r="N443" s="6"/>
      <c r="O443" s="6" t="n">
        <f aca="false">K443+N443</f>
        <v>402481.6</v>
      </c>
      <c r="P443" s="166" t="n">
        <f aca="false">O443/J443</f>
        <v>8681.65660051769</v>
      </c>
      <c r="Q443" s="295"/>
      <c r="R443" s="2" t="s">
        <v>5228</v>
      </c>
      <c r="S443" s="5" t="s">
        <v>29</v>
      </c>
      <c r="T443" s="5" t="s">
        <v>1915</v>
      </c>
      <c r="U443" s="294" t="s">
        <v>31</v>
      </c>
      <c r="V443" s="203" t="n">
        <v>43709</v>
      </c>
      <c r="W443" s="1" t="s">
        <v>5151</v>
      </c>
    </row>
    <row r="444" customFormat="false" ht="12.8" hidden="false" customHeight="false" outlineLevel="0" collapsed="false">
      <c r="B444" s="1" t="n">
        <v>549</v>
      </c>
      <c r="C444" s="3" t="n">
        <v>43482</v>
      </c>
      <c r="D444" s="171" t="s">
        <v>22</v>
      </c>
      <c r="E444" s="291" t="s">
        <v>203</v>
      </c>
      <c r="F444" s="1" t="s">
        <v>1209</v>
      </c>
      <c r="G444" s="2" t="s">
        <v>5227</v>
      </c>
      <c r="H444" s="2" t="n">
        <v>12</v>
      </c>
      <c r="I444" s="2" t="n">
        <v>4</v>
      </c>
      <c r="J444" s="276" t="n">
        <v>52.44</v>
      </c>
      <c r="K444" s="6" t="n">
        <v>471906.9</v>
      </c>
      <c r="L444" s="6" t="n">
        <f aca="false">K444/J444</f>
        <v>8998.98741418764</v>
      </c>
      <c r="M444" s="264"/>
      <c r="N444" s="6"/>
      <c r="O444" s="6" t="n">
        <f aca="false">K444+N444</f>
        <v>471906.9</v>
      </c>
      <c r="P444" s="166" t="n">
        <f aca="false">O444/J444</f>
        <v>8998.98741418764</v>
      </c>
      <c r="Q444" s="295"/>
      <c r="R444" s="2" t="s">
        <v>5228</v>
      </c>
      <c r="S444" s="5" t="s">
        <v>29</v>
      </c>
      <c r="T444" s="5" t="s">
        <v>1915</v>
      </c>
      <c r="U444" s="294" t="s">
        <v>31</v>
      </c>
      <c r="V444" s="203" t="n">
        <v>43709</v>
      </c>
      <c r="W444" s="1" t="s">
        <v>5229</v>
      </c>
    </row>
    <row r="445" customFormat="false" ht="12.8" hidden="false" customHeight="false" outlineLevel="0" collapsed="false">
      <c r="B445" s="1" t="s">
        <v>5390</v>
      </c>
      <c r="C445" s="3" t="n">
        <v>43482</v>
      </c>
      <c r="D445" s="2" t="s">
        <v>22</v>
      </c>
      <c r="E445" s="73" t="s">
        <v>3085</v>
      </c>
      <c r="F445" s="1" t="s">
        <v>3086</v>
      </c>
      <c r="G445" s="2" t="s">
        <v>1567</v>
      </c>
      <c r="H445" s="2" t="s">
        <v>112</v>
      </c>
      <c r="I445" s="2" t="n">
        <v>3</v>
      </c>
      <c r="J445" s="276" t="n">
        <v>76.51</v>
      </c>
      <c r="K445" s="7" t="n">
        <v>521524.17</v>
      </c>
      <c r="L445" s="6" t="n">
        <f aca="false">K445/J445</f>
        <v>6816.41837668279</v>
      </c>
      <c r="O445" s="6" t="n">
        <f aca="false">K445+N445</f>
        <v>521524.17</v>
      </c>
      <c r="P445" s="166" t="n">
        <f aca="false">O445/J445</f>
        <v>6816.41837668279</v>
      </c>
      <c r="S445" s="5" t="s">
        <v>29</v>
      </c>
      <c r="T445" s="5" t="s">
        <v>1915</v>
      </c>
      <c r="U445" s="294" t="s">
        <v>31</v>
      </c>
      <c r="V445" s="203" t="n">
        <v>43709</v>
      </c>
    </row>
    <row r="446" customFormat="false" ht="12.8" hidden="false" customHeight="false" outlineLevel="0" collapsed="false">
      <c r="B446" s="1" t="s">
        <v>5391</v>
      </c>
      <c r="C446" s="3" t="n">
        <v>43482</v>
      </c>
      <c r="D446" s="2" t="s">
        <v>22</v>
      </c>
      <c r="E446" s="73" t="s">
        <v>3085</v>
      </c>
      <c r="F446" s="1" t="s">
        <v>3086</v>
      </c>
      <c r="G446" s="2" t="s">
        <v>101</v>
      </c>
      <c r="H446" s="2" t="s">
        <v>336</v>
      </c>
      <c r="I446" s="2" t="n">
        <v>3</v>
      </c>
      <c r="J446" s="276" t="n">
        <v>63.92</v>
      </c>
      <c r="K446" s="7" t="n">
        <v>472986.41</v>
      </c>
      <c r="L446" s="6" t="n">
        <f aca="false">K446/J446</f>
        <v>7399.66223404255</v>
      </c>
      <c r="O446" s="6" t="n">
        <f aca="false">K446+N446</f>
        <v>472986.41</v>
      </c>
      <c r="P446" s="166" t="n">
        <f aca="false">O446/J446</f>
        <v>7399.66223404255</v>
      </c>
      <c r="S446" s="5" t="s">
        <v>29</v>
      </c>
      <c r="T446" s="5" t="s">
        <v>1915</v>
      </c>
      <c r="U446" s="294" t="s">
        <v>31</v>
      </c>
      <c r="V446" s="203" t="n">
        <v>43709</v>
      </c>
    </row>
    <row r="447" customFormat="false" ht="12.8" hidden="false" customHeight="false" outlineLevel="0" collapsed="false">
      <c r="B447" s="1" t="s">
        <v>5392</v>
      </c>
      <c r="C447" s="3" t="n">
        <v>43482</v>
      </c>
      <c r="D447" s="2" t="s">
        <v>22</v>
      </c>
      <c r="E447" s="73" t="s">
        <v>3085</v>
      </c>
      <c r="F447" s="1" t="s">
        <v>3086</v>
      </c>
      <c r="G447" s="2" t="s">
        <v>101</v>
      </c>
      <c r="H447" s="2" t="s">
        <v>26</v>
      </c>
      <c r="I447" s="2" t="n">
        <v>2</v>
      </c>
      <c r="J447" s="276" t="n">
        <v>64.4</v>
      </c>
      <c r="K447" s="7" t="n">
        <v>479413.35</v>
      </c>
      <c r="L447" s="6" t="n">
        <f aca="false">K447/J447</f>
        <v>7444.30667701863</v>
      </c>
      <c r="O447" s="6" t="n">
        <f aca="false">K447+N447</f>
        <v>479413.35</v>
      </c>
      <c r="P447" s="166" t="n">
        <f aca="false">O447/J447</f>
        <v>7444.30667701863</v>
      </c>
      <c r="S447" s="5" t="s">
        <v>29</v>
      </c>
      <c r="T447" s="5" t="s">
        <v>1915</v>
      </c>
      <c r="U447" s="294" t="s">
        <v>31</v>
      </c>
      <c r="V447" s="203" t="n">
        <v>43709</v>
      </c>
    </row>
    <row r="448" customFormat="false" ht="12.8" hidden="false" customHeight="false" outlineLevel="0" collapsed="false">
      <c r="B448" s="1" t="s">
        <v>5393</v>
      </c>
      <c r="C448" s="3" t="n">
        <v>43482</v>
      </c>
      <c r="D448" s="2" t="s">
        <v>22</v>
      </c>
      <c r="E448" s="80" t="s">
        <v>229</v>
      </c>
      <c r="F448" s="1" t="s">
        <v>230</v>
      </c>
      <c r="G448" s="2" t="s">
        <v>3498</v>
      </c>
      <c r="H448" s="2" t="s">
        <v>49</v>
      </c>
      <c r="I448" s="2" t="n">
        <v>1</v>
      </c>
      <c r="J448" s="276" t="n">
        <v>77.95</v>
      </c>
      <c r="K448" s="7" t="n">
        <v>664885</v>
      </c>
      <c r="L448" s="6" t="n">
        <f aca="false">K448/J448</f>
        <v>8529.63438101347</v>
      </c>
      <c r="M448" s="1" t="s">
        <v>5155</v>
      </c>
      <c r="O448" s="6" t="n">
        <f aca="false">K448+N448</f>
        <v>664885</v>
      </c>
      <c r="P448" s="166" t="n">
        <f aca="false">O448/J448</f>
        <v>8529.63438101347</v>
      </c>
      <c r="S448" s="5" t="s">
        <v>29</v>
      </c>
      <c r="T448" s="5" t="s">
        <v>1915</v>
      </c>
      <c r="U448" s="294" t="s">
        <v>31</v>
      </c>
      <c r="V448" s="203" t="n">
        <v>43709</v>
      </c>
    </row>
    <row r="449" customFormat="false" ht="12.8" hidden="false" customHeight="false" outlineLevel="0" collapsed="false">
      <c r="B449" s="1" t="s">
        <v>5394</v>
      </c>
      <c r="C449" s="3" t="n">
        <v>43482</v>
      </c>
      <c r="D449" s="2" t="s">
        <v>22</v>
      </c>
      <c r="E449" s="2" t="s">
        <v>229</v>
      </c>
      <c r="F449" s="1" t="s">
        <v>230</v>
      </c>
      <c r="G449" s="2" t="s">
        <v>3498</v>
      </c>
      <c r="H449" s="2" t="s">
        <v>128</v>
      </c>
      <c r="I449" s="2" t="n">
        <v>5</v>
      </c>
      <c r="J449" s="276" t="n">
        <v>73.78</v>
      </c>
      <c r="K449" s="7" t="n">
        <v>624000</v>
      </c>
      <c r="L449" s="6" t="n">
        <f aca="false">K449/J449</f>
        <v>8457.5765790187</v>
      </c>
      <c r="M449" s="1" t="s">
        <v>5155</v>
      </c>
      <c r="O449" s="6" t="n">
        <f aca="false">K449+N449</f>
        <v>624000</v>
      </c>
      <c r="P449" s="166" t="n">
        <f aca="false">O449/J449</f>
        <v>8457.5765790187</v>
      </c>
      <c r="S449" s="5" t="s">
        <v>29</v>
      </c>
      <c r="T449" s="5" t="s">
        <v>1915</v>
      </c>
      <c r="U449" s="294" t="s">
        <v>31</v>
      </c>
      <c r="V449" s="203" t="n">
        <v>43709</v>
      </c>
    </row>
    <row r="450" customFormat="false" ht="12.8" hidden="false" customHeight="false" outlineLevel="0" collapsed="false">
      <c r="B450" s="1" t="s">
        <v>5395</v>
      </c>
      <c r="C450" s="3" t="n">
        <v>43482</v>
      </c>
      <c r="D450" s="2" t="s">
        <v>22</v>
      </c>
      <c r="E450" s="2" t="s">
        <v>3085</v>
      </c>
      <c r="F450" s="1" t="s">
        <v>323</v>
      </c>
      <c r="G450" s="2" t="s">
        <v>115</v>
      </c>
      <c r="H450" s="2" t="s">
        <v>238</v>
      </c>
      <c r="I450" s="2" t="n">
        <v>7</v>
      </c>
      <c r="J450" s="276" t="n">
        <v>73.62</v>
      </c>
      <c r="K450" s="7" t="n">
        <v>577892.87</v>
      </c>
      <c r="L450" s="302" t="n">
        <f aca="false">K450/J450</f>
        <v>7849.67223580549</v>
      </c>
      <c r="O450" s="6" t="n">
        <f aca="false">K450+N450</f>
        <v>577892.87</v>
      </c>
      <c r="P450" s="166" t="n">
        <f aca="false">O450/J450</f>
        <v>7849.67223580549</v>
      </c>
      <c r="S450" s="5" t="s">
        <v>29</v>
      </c>
      <c r="T450" s="5" t="s">
        <v>1915</v>
      </c>
      <c r="U450" s="294" t="s">
        <v>31</v>
      </c>
      <c r="V450" s="203" t="n">
        <v>43709</v>
      </c>
    </row>
    <row r="451" customFormat="false" ht="12.8" hidden="false" customHeight="false" outlineLevel="0" collapsed="false">
      <c r="B451" s="1" t="s">
        <v>5396</v>
      </c>
      <c r="C451" s="3" t="n">
        <v>43482</v>
      </c>
      <c r="D451" s="2" t="s">
        <v>22</v>
      </c>
      <c r="E451" s="2" t="s">
        <v>3085</v>
      </c>
      <c r="F451" s="1" t="s">
        <v>323</v>
      </c>
      <c r="G451" s="2" t="s">
        <v>115</v>
      </c>
      <c r="H451" s="2" t="s">
        <v>4334</v>
      </c>
      <c r="I451" s="2" t="n">
        <v>6</v>
      </c>
      <c r="J451" s="276" t="n">
        <v>40.77</v>
      </c>
      <c r="K451" s="7" t="n">
        <v>370690.59</v>
      </c>
      <c r="L451" s="302" t="n">
        <f aca="false">K451/J451</f>
        <v>9092.2391464312</v>
      </c>
      <c r="O451" s="6" t="n">
        <f aca="false">K451+N451</f>
        <v>370690.59</v>
      </c>
      <c r="P451" s="166" t="n">
        <f aca="false">O451/J451</f>
        <v>9092.2391464312</v>
      </c>
      <c r="S451" s="5" t="s">
        <v>29</v>
      </c>
      <c r="T451" s="5" t="s">
        <v>1915</v>
      </c>
      <c r="U451" s="294" t="s">
        <v>31</v>
      </c>
      <c r="V451" s="203" t="n">
        <v>43709</v>
      </c>
    </row>
    <row r="452" customFormat="false" ht="12.8" hidden="false" customHeight="false" outlineLevel="0" collapsed="false">
      <c r="B452" s="1" t="s">
        <v>5397</v>
      </c>
      <c r="C452" s="3" t="n">
        <v>43482</v>
      </c>
      <c r="D452" s="2" t="s">
        <v>22</v>
      </c>
      <c r="E452" s="2" t="s">
        <v>3085</v>
      </c>
      <c r="F452" s="1" t="s">
        <v>323</v>
      </c>
      <c r="G452" s="2" t="s">
        <v>115</v>
      </c>
      <c r="H452" s="2" t="s">
        <v>154</v>
      </c>
      <c r="I452" s="2" t="n">
        <v>2</v>
      </c>
      <c r="J452" s="276" t="n">
        <v>55.96</v>
      </c>
      <c r="K452" s="7" t="n">
        <v>432624.97</v>
      </c>
      <c r="L452" s="302" t="n">
        <f aca="false">K452/J452</f>
        <v>7730.96801286633</v>
      </c>
      <c r="O452" s="6" t="n">
        <f aca="false">K452+N452</f>
        <v>432624.97</v>
      </c>
      <c r="P452" s="166" t="n">
        <f aca="false">O452/J452</f>
        <v>7730.96801286633</v>
      </c>
      <c r="S452" s="5" t="s">
        <v>29</v>
      </c>
      <c r="T452" s="5" t="s">
        <v>1915</v>
      </c>
      <c r="U452" s="294" t="s">
        <v>31</v>
      </c>
      <c r="V452" s="203" t="n">
        <v>43709</v>
      </c>
    </row>
    <row r="453" customFormat="false" ht="12.8" hidden="false" customHeight="false" outlineLevel="0" collapsed="false">
      <c r="B453" s="1" t="s">
        <v>5398</v>
      </c>
      <c r="C453" s="3" t="n">
        <v>43482</v>
      </c>
      <c r="D453" s="2" t="s">
        <v>22</v>
      </c>
      <c r="E453" s="2" t="s">
        <v>3085</v>
      </c>
      <c r="F453" s="1" t="s">
        <v>323</v>
      </c>
      <c r="G453" s="2" t="s">
        <v>115</v>
      </c>
      <c r="H453" s="2" t="s">
        <v>154</v>
      </c>
      <c r="I453" s="2" t="n">
        <v>2</v>
      </c>
      <c r="J453" s="276" t="n">
        <v>55.96</v>
      </c>
      <c r="K453" s="7" t="n">
        <v>416257.23</v>
      </c>
      <c r="L453" s="302" t="n">
        <f aca="false">K453/J453</f>
        <v>7438.4780200143</v>
      </c>
      <c r="O453" s="6" t="n">
        <f aca="false">K453+N453</f>
        <v>416257.23</v>
      </c>
      <c r="P453" s="166" t="n">
        <f aca="false">O453/J453</f>
        <v>7438.4780200143</v>
      </c>
      <c r="S453" s="5" t="s">
        <v>29</v>
      </c>
      <c r="T453" s="5" t="s">
        <v>1915</v>
      </c>
      <c r="U453" s="294" t="s">
        <v>31</v>
      </c>
      <c r="V453" s="203" t="n">
        <v>43709</v>
      </c>
    </row>
    <row r="454" customFormat="false" ht="12.8" hidden="false" customHeight="false" outlineLevel="0" collapsed="false">
      <c r="B454" s="1" t="s">
        <v>5399</v>
      </c>
      <c r="C454" s="3" t="n">
        <v>43482</v>
      </c>
      <c r="D454" s="2" t="s">
        <v>22</v>
      </c>
      <c r="E454" s="2" t="s">
        <v>3085</v>
      </c>
      <c r="F454" s="1" t="s">
        <v>323</v>
      </c>
      <c r="G454" s="2" t="s">
        <v>115</v>
      </c>
      <c r="H454" s="2" t="s">
        <v>266</v>
      </c>
      <c r="I454" s="2" t="n">
        <v>5</v>
      </c>
      <c r="J454" s="276" t="n">
        <v>47.09</v>
      </c>
      <c r="K454" s="7" t="n">
        <v>441961.97</v>
      </c>
      <c r="L454" s="302" t="n">
        <f aca="false">K454/J454</f>
        <v>9385.47398598429</v>
      </c>
      <c r="O454" s="6" t="n">
        <f aca="false">K454+N454</f>
        <v>441961.97</v>
      </c>
      <c r="P454" s="166" t="n">
        <f aca="false">O454/J454</f>
        <v>9385.47398598429</v>
      </c>
      <c r="S454" s="5" t="s">
        <v>29</v>
      </c>
      <c r="T454" s="5" t="s">
        <v>1915</v>
      </c>
      <c r="U454" s="294" t="s">
        <v>31</v>
      </c>
      <c r="V454" s="203" t="n">
        <v>43709</v>
      </c>
    </row>
    <row r="455" s="32" customFormat="true" ht="12.8" hidden="false" customHeight="false" outlineLevel="0" collapsed="false">
      <c r="A455" s="1"/>
      <c r="B455" s="73" t="s">
        <v>5400</v>
      </c>
      <c r="C455" s="185" t="n">
        <v>43482</v>
      </c>
      <c r="D455" s="80" t="s">
        <v>22</v>
      </c>
      <c r="E455" s="73" t="s">
        <v>1380</v>
      </c>
      <c r="F455" s="72" t="s">
        <v>2320</v>
      </c>
      <c r="G455" s="73" t="s">
        <v>180</v>
      </c>
      <c r="H455" s="73" t="s">
        <v>36</v>
      </c>
      <c r="I455" s="73" t="s">
        <v>5401</v>
      </c>
      <c r="J455" s="74" t="n">
        <v>112.98</v>
      </c>
      <c r="K455" s="75" t="n">
        <v>1297000</v>
      </c>
      <c r="L455" s="302" t="n">
        <f aca="false">K455/J455</f>
        <v>11479.9079483094</v>
      </c>
      <c r="M455" s="32" t="s">
        <v>5402</v>
      </c>
      <c r="N455" s="293"/>
      <c r="O455" s="302" t="n">
        <f aca="false">K455+N455</f>
        <v>1297000</v>
      </c>
      <c r="P455" s="304" t="n">
        <f aca="false">O455/J455</f>
        <v>11479.9079483094</v>
      </c>
      <c r="R455" s="80"/>
      <c r="S455" s="73" t="s">
        <v>29</v>
      </c>
      <c r="T455" s="73" t="s">
        <v>1915</v>
      </c>
      <c r="U455" s="307" t="s">
        <v>31</v>
      </c>
      <c r="V455" s="308" t="n">
        <v>43709</v>
      </c>
    </row>
    <row r="456" s="32" customFormat="true" ht="13.15" hidden="false" customHeight="true" outlineLevel="0" collapsed="false">
      <c r="A456" s="1"/>
      <c r="B456" s="73" t="s">
        <v>5403</v>
      </c>
      <c r="C456" s="185" t="n">
        <v>43482</v>
      </c>
      <c r="D456" s="80" t="s">
        <v>22</v>
      </c>
      <c r="E456" s="73" t="s">
        <v>372</v>
      </c>
      <c r="F456" s="72" t="s">
        <v>2354</v>
      </c>
      <c r="G456" s="73" t="s">
        <v>217</v>
      </c>
      <c r="H456" s="73" t="s">
        <v>314</v>
      </c>
      <c r="I456" s="73" t="n">
        <v>8</v>
      </c>
      <c r="J456" s="74" t="n">
        <v>104.54</v>
      </c>
      <c r="K456" s="75" t="n">
        <v>1070000</v>
      </c>
      <c r="L456" s="302" t="n">
        <f aca="false">K456/J456</f>
        <v>10235.3166252152</v>
      </c>
      <c r="M456" s="32" t="s">
        <v>1739</v>
      </c>
      <c r="N456" s="293"/>
      <c r="O456" s="302" t="n">
        <f aca="false">K456+N456</f>
        <v>1070000</v>
      </c>
      <c r="P456" s="304" t="n">
        <f aca="false">O456/J456</f>
        <v>10235.3166252152</v>
      </c>
      <c r="R456" s="80"/>
      <c r="S456" s="73" t="s">
        <v>29</v>
      </c>
      <c r="T456" s="73" t="s">
        <v>1915</v>
      </c>
      <c r="U456" s="307" t="s">
        <v>31</v>
      </c>
      <c r="V456" s="308" t="n">
        <v>43709</v>
      </c>
    </row>
    <row r="457" customFormat="false" ht="12.8" hidden="false" customHeight="false" outlineLevel="0" collapsed="false">
      <c r="B457" s="1" t="n">
        <v>365</v>
      </c>
      <c r="C457" s="3" t="n">
        <v>43483</v>
      </c>
      <c r="D457" s="171" t="s">
        <v>22</v>
      </c>
      <c r="E457" s="5" t="s">
        <v>140</v>
      </c>
      <c r="F457" s="1" t="s">
        <v>138</v>
      </c>
      <c r="G457" s="2" t="s">
        <v>4239</v>
      </c>
      <c r="H457" s="2" t="n">
        <v>16</v>
      </c>
      <c r="I457" s="2" t="n">
        <v>4</v>
      </c>
      <c r="J457" s="276" t="n">
        <v>46.31</v>
      </c>
      <c r="K457" s="6" t="n">
        <v>501162.2</v>
      </c>
      <c r="L457" s="6" t="n">
        <f aca="false">K457/J457</f>
        <v>10821.9002375297</v>
      </c>
      <c r="M457" s="264" t="s">
        <v>987</v>
      </c>
      <c r="N457" s="6" t="n">
        <v>27500</v>
      </c>
      <c r="O457" s="6" t="n">
        <f aca="false">K457+N457</f>
        <v>528662.2</v>
      </c>
      <c r="P457" s="166" t="n">
        <f aca="false">O457/J457</f>
        <v>11415.7244655582</v>
      </c>
      <c r="Q457" s="295"/>
      <c r="R457" s="2" t="s">
        <v>5228</v>
      </c>
      <c r="S457" s="5" t="s">
        <v>29</v>
      </c>
      <c r="T457" s="5" t="s">
        <v>1915</v>
      </c>
      <c r="U457" s="294" t="s">
        <v>31</v>
      </c>
      <c r="V457" s="203" t="n">
        <v>43709</v>
      </c>
      <c r="W457" s="1" t="s">
        <v>5195</v>
      </c>
    </row>
    <row r="458" customFormat="false" ht="12.8" hidden="false" customHeight="false" outlineLevel="0" collapsed="false">
      <c r="B458" s="1" t="n">
        <v>357</v>
      </c>
      <c r="C458" s="3" t="n">
        <v>43483</v>
      </c>
      <c r="D458" s="171" t="s">
        <v>22</v>
      </c>
      <c r="E458" s="5" t="s">
        <v>140</v>
      </c>
      <c r="F458" s="1" t="s">
        <v>138</v>
      </c>
      <c r="G458" s="2" t="s">
        <v>4239</v>
      </c>
      <c r="H458" s="2" t="n">
        <v>15</v>
      </c>
      <c r="I458" s="2" t="n">
        <v>4</v>
      </c>
      <c r="J458" s="276" t="n">
        <v>47.65</v>
      </c>
      <c r="K458" s="6" t="n">
        <v>519325.95</v>
      </c>
      <c r="L458" s="6" t="n">
        <f aca="false">K458/J458</f>
        <v>10898.7607555089</v>
      </c>
      <c r="M458" s="264" t="s">
        <v>5236</v>
      </c>
      <c r="N458" s="6" t="n">
        <v>27500</v>
      </c>
      <c r="O458" s="6" t="n">
        <f aca="false">K458+N458</f>
        <v>546825.95</v>
      </c>
      <c r="P458" s="166" t="n">
        <f aca="false">O458/J458</f>
        <v>11475.8856243442</v>
      </c>
      <c r="Q458" s="295"/>
      <c r="R458" s="2" t="s">
        <v>5228</v>
      </c>
      <c r="S458" s="5" t="s">
        <v>29</v>
      </c>
      <c r="T458" s="5" t="s">
        <v>1915</v>
      </c>
      <c r="U458" s="294" t="s">
        <v>31</v>
      </c>
      <c r="V458" s="203" t="n">
        <v>43709</v>
      </c>
      <c r="W458" s="1" t="s">
        <v>5195</v>
      </c>
    </row>
    <row r="459" customFormat="false" ht="12.8" hidden="false" customHeight="false" outlineLevel="0" collapsed="false">
      <c r="B459" s="1" t="n">
        <v>493</v>
      </c>
      <c r="C459" s="3" t="n">
        <v>43483</v>
      </c>
      <c r="D459" s="171" t="s">
        <v>22</v>
      </c>
      <c r="E459" s="8" t="s">
        <v>962</v>
      </c>
      <c r="F459" s="1" t="s">
        <v>5326</v>
      </c>
      <c r="G459" s="2" t="n">
        <v>2</v>
      </c>
      <c r="H459" s="2" t="n">
        <v>13</v>
      </c>
      <c r="I459" s="2" t="n">
        <v>2</v>
      </c>
      <c r="J459" s="276" t="n">
        <v>62.94</v>
      </c>
      <c r="K459" s="6" t="n">
        <v>545000</v>
      </c>
      <c r="L459" s="6" t="n">
        <f aca="false">K459/J459</f>
        <v>8659.0403558945</v>
      </c>
      <c r="M459" s="264" t="s">
        <v>987</v>
      </c>
      <c r="N459" s="6"/>
      <c r="O459" s="6" t="n">
        <f aca="false">K459+N459</f>
        <v>545000</v>
      </c>
      <c r="P459" s="166" t="n">
        <f aca="false">O459/J459</f>
        <v>8659.0403558945</v>
      </c>
      <c r="Q459" s="295"/>
      <c r="R459" s="2" t="s">
        <v>5034</v>
      </c>
      <c r="S459" s="5" t="s">
        <v>29</v>
      </c>
      <c r="T459" s="5" t="s">
        <v>1915</v>
      </c>
      <c r="U459" s="294" t="s">
        <v>31</v>
      </c>
      <c r="V459" s="203" t="n">
        <v>43709</v>
      </c>
      <c r="W459" s="1" t="s">
        <v>5327</v>
      </c>
    </row>
    <row r="460" s="32" customFormat="true" ht="12.8" hidden="false" customHeight="false" outlineLevel="0" collapsed="false">
      <c r="A460" s="1"/>
      <c r="B460" s="80" t="s">
        <v>5404</v>
      </c>
      <c r="C460" s="185" t="n">
        <v>43483</v>
      </c>
      <c r="D460" s="80" t="s">
        <v>22</v>
      </c>
      <c r="E460" s="73" t="s">
        <v>962</v>
      </c>
      <c r="F460" s="72" t="s">
        <v>5326</v>
      </c>
      <c r="G460" s="73" t="s">
        <v>36</v>
      </c>
      <c r="H460" s="47" t="s">
        <v>294</v>
      </c>
      <c r="I460" s="47" t="n">
        <v>2</v>
      </c>
      <c r="J460" s="74" t="n">
        <v>62.94</v>
      </c>
      <c r="K460" s="75" t="n">
        <v>545000</v>
      </c>
      <c r="L460" s="302" t="n">
        <f aca="false">K460/J460</f>
        <v>8659.0403558945</v>
      </c>
      <c r="M460" s="32" t="s">
        <v>940</v>
      </c>
      <c r="N460" s="293"/>
      <c r="O460" s="302" t="n">
        <f aca="false">K460+N460</f>
        <v>545000</v>
      </c>
      <c r="P460" s="304" t="n">
        <f aca="false">O460/J460</f>
        <v>8659.0403558945</v>
      </c>
      <c r="R460" s="80"/>
      <c r="S460" s="5" t="s">
        <v>29</v>
      </c>
      <c r="T460" s="5" t="s">
        <v>1915</v>
      </c>
      <c r="U460" s="294" t="s">
        <v>31</v>
      </c>
      <c r="V460" s="203" t="n">
        <v>43709</v>
      </c>
    </row>
    <row r="461" customFormat="false" ht="12.8" hidden="false" customHeight="false" outlineLevel="0" collapsed="false">
      <c r="B461" s="73" t="s">
        <v>5405</v>
      </c>
      <c r="C461" s="185" t="n">
        <v>43483</v>
      </c>
      <c r="D461" s="80" t="s">
        <v>22</v>
      </c>
      <c r="E461" s="73" t="s">
        <v>1380</v>
      </c>
      <c r="F461" s="190" t="s">
        <v>2320</v>
      </c>
      <c r="G461" s="73" t="s">
        <v>55</v>
      </c>
      <c r="H461" s="73" t="s">
        <v>36</v>
      </c>
      <c r="I461" s="73" t="s">
        <v>5401</v>
      </c>
      <c r="J461" s="74" t="n">
        <v>112.87</v>
      </c>
      <c r="K461" s="75" t="n">
        <v>1300000</v>
      </c>
      <c r="L461" s="302" t="n">
        <f aca="false">K461/J461</f>
        <v>11517.6752015593</v>
      </c>
      <c r="M461" s="32" t="s">
        <v>5402</v>
      </c>
      <c r="N461" s="293"/>
      <c r="O461" s="302" t="n">
        <f aca="false">K461+N461</f>
        <v>1300000</v>
      </c>
      <c r="P461" s="304" t="n">
        <f aca="false">O461/J461</f>
        <v>11517.6752015593</v>
      </c>
      <c r="R461" s="80"/>
      <c r="S461" s="73" t="s">
        <v>29</v>
      </c>
      <c r="T461" s="73" t="s">
        <v>1915</v>
      </c>
      <c r="U461" s="307" t="s">
        <v>31</v>
      </c>
      <c r="V461" s="308" t="n">
        <v>43709</v>
      </c>
    </row>
    <row r="462" customFormat="false" ht="12.8" hidden="false" customHeight="false" outlineLevel="0" collapsed="false">
      <c r="B462" s="1" t="s">
        <v>5406</v>
      </c>
      <c r="C462" s="3" t="n">
        <v>43485</v>
      </c>
      <c r="D462" s="2" t="s">
        <v>22</v>
      </c>
      <c r="E462" s="2" t="s">
        <v>717</v>
      </c>
      <c r="F462" s="1" t="s">
        <v>5101</v>
      </c>
      <c r="G462" s="2" t="s">
        <v>336</v>
      </c>
      <c r="H462" s="2" t="s">
        <v>180</v>
      </c>
      <c r="I462" s="2" t="n">
        <v>1</v>
      </c>
      <c r="J462" s="276" t="n">
        <v>45.9</v>
      </c>
      <c r="K462" s="7" t="n">
        <v>376379.87</v>
      </c>
      <c r="L462" s="6" t="n">
        <f aca="false">K462/J462</f>
        <v>8199.99716775599</v>
      </c>
      <c r="M462" s="1" t="s">
        <v>1694</v>
      </c>
      <c r="O462" s="6" t="n">
        <f aca="false">K462+N462</f>
        <v>376379.87</v>
      </c>
      <c r="P462" s="166" t="n">
        <f aca="false">O462/J462</f>
        <v>8199.99716775599</v>
      </c>
      <c r="S462" s="5" t="s">
        <v>1140</v>
      </c>
      <c r="T462" s="5" t="s">
        <v>1915</v>
      </c>
      <c r="U462" s="294" t="s">
        <v>31</v>
      </c>
      <c r="V462" s="203" t="n">
        <v>43709</v>
      </c>
    </row>
    <row r="463" customFormat="false" ht="12.8" hidden="false" customHeight="false" outlineLevel="0" collapsed="false">
      <c r="B463" s="1" t="n">
        <v>364</v>
      </c>
      <c r="C463" s="3" t="n">
        <v>43486</v>
      </c>
      <c r="D463" s="171" t="s">
        <v>22</v>
      </c>
      <c r="E463" s="8" t="s">
        <v>4292</v>
      </c>
      <c r="F463" s="1" t="s">
        <v>5288</v>
      </c>
      <c r="G463" s="2" t="n">
        <v>7</v>
      </c>
      <c r="H463" s="2" t="n">
        <v>8</v>
      </c>
      <c r="I463" s="300" t="s">
        <v>1214</v>
      </c>
      <c r="J463" s="276" t="n">
        <v>68.61</v>
      </c>
      <c r="K463" s="6" t="n">
        <v>974860</v>
      </c>
      <c r="L463" s="6" t="n">
        <f aca="false">K463/J463</f>
        <v>14208.7159306224</v>
      </c>
      <c r="M463" s="264" t="s">
        <v>3302</v>
      </c>
      <c r="N463" s="6"/>
      <c r="O463" s="6" t="n">
        <f aca="false">K463+N463</f>
        <v>974860</v>
      </c>
      <c r="P463" s="166" t="n">
        <f aca="false">O463/J463</f>
        <v>14208.7159306224</v>
      </c>
      <c r="Q463" s="295"/>
      <c r="R463" s="301" t="s">
        <v>5239</v>
      </c>
      <c r="S463" s="5" t="s">
        <v>29</v>
      </c>
      <c r="T463" s="5" t="s">
        <v>1915</v>
      </c>
      <c r="U463" s="294" t="s">
        <v>31</v>
      </c>
      <c r="V463" s="203" t="n">
        <v>43709</v>
      </c>
      <c r="W463" s="1" t="s">
        <v>4761</v>
      </c>
      <c r="X463" s="1" t="s">
        <v>5317</v>
      </c>
    </row>
    <row r="464" customFormat="false" ht="12.8" hidden="false" customHeight="false" outlineLevel="0" collapsed="false">
      <c r="B464" s="1" t="n">
        <v>674</v>
      </c>
      <c r="C464" s="3" t="n">
        <v>43486</v>
      </c>
      <c r="D464" s="171" t="s">
        <v>22</v>
      </c>
      <c r="E464" s="8" t="s">
        <v>229</v>
      </c>
      <c r="F464" s="1" t="s">
        <v>230</v>
      </c>
      <c r="G464" s="2" t="n">
        <v>57</v>
      </c>
      <c r="H464" s="2" t="n">
        <v>67</v>
      </c>
      <c r="I464" s="2" t="n">
        <v>6</v>
      </c>
      <c r="J464" s="276" t="n">
        <v>45.66</v>
      </c>
      <c r="K464" s="6" t="n">
        <v>379252.46</v>
      </c>
      <c r="L464" s="6" t="n">
        <f aca="false">K464/J464</f>
        <v>8306.01095050372</v>
      </c>
      <c r="M464" s="264"/>
      <c r="N464" s="6"/>
      <c r="O464" s="6" t="n">
        <f aca="false">K464+N464</f>
        <v>379252.46</v>
      </c>
      <c r="P464" s="166" t="n">
        <f aca="false">O464/J464</f>
        <v>8306.01095050372</v>
      </c>
      <c r="Q464" s="295"/>
      <c r="R464" s="2" t="s">
        <v>5228</v>
      </c>
      <c r="S464" s="5" t="s">
        <v>29</v>
      </c>
      <c r="T464" s="5" t="s">
        <v>1915</v>
      </c>
      <c r="U464" s="294" t="s">
        <v>31</v>
      </c>
      <c r="V464" s="203" t="n">
        <v>43709</v>
      </c>
      <c r="W464" s="1" t="s">
        <v>5151</v>
      </c>
    </row>
    <row r="465" customFormat="false" ht="12.8" hidden="false" customHeight="false" outlineLevel="0" collapsed="false">
      <c r="B465" s="1" t="n">
        <v>473</v>
      </c>
      <c r="C465" s="3" t="n">
        <v>43486</v>
      </c>
      <c r="D465" s="171" t="s">
        <v>22</v>
      </c>
      <c r="E465" s="8" t="s">
        <v>229</v>
      </c>
      <c r="F465" s="1" t="s">
        <v>230</v>
      </c>
      <c r="G465" s="2" t="s">
        <v>3498</v>
      </c>
      <c r="H465" s="2" t="n">
        <v>13</v>
      </c>
      <c r="I465" s="2" t="n">
        <v>2</v>
      </c>
      <c r="J465" s="276" t="n">
        <v>46.28</v>
      </c>
      <c r="K465" s="6" t="n">
        <v>381836</v>
      </c>
      <c r="L465" s="6" t="n">
        <f aca="false">K465/J465</f>
        <v>8250.56179775281</v>
      </c>
      <c r="M465" s="264" t="s">
        <v>3302</v>
      </c>
      <c r="N465" s="6"/>
      <c r="O465" s="6" t="n">
        <f aca="false">K465+N465</f>
        <v>381836</v>
      </c>
      <c r="P465" s="166" t="n">
        <f aca="false">O465/J465</f>
        <v>8250.56179775281</v>
      </c>
      <c r="Q465" s="295"/>
      <c r="R465" s="2" t="s">
        <v>5228</v>
      </c>
      <c r="S465" s="5" t="s">
        <v>29</v>
      </c>
      <c r="T465" s="5" t="s">
        <v>1915</v>
      </c>
      <c r="U465" s="294" t="s">
        <v>31</v>
      </c>
      <c r="V465" s="203" t="n">
        <v>43709</v>
      </c>
      <c r="W465" s="1" t="s">
        <v>5151</v>
      </c>
    </row>
    <row r="466" customFormat="false" ht="12.8" hidden="false" customHeight="false" outlineLevel="0" collapsed="false">
      <c r="B466" s="1" t="s">
        <v>5407</v>
      </c>
      <c r="C466" s="3" t="n">
        <v>43486</v>
      </c>
      <c r="D466" s="2" t="s">
        <v>22</v>
      </c>
      <c r="E466" s="2" t="s">
        <v>229</v>
      </c>
      <c r="F466" s="1" t="s">
        <v>230</v>
      </c>
      <c r="G466" s="2" t="s">
        <v>3498</v>
      </c>
      <c r="H466" s="2" t="s">
        <v>78</v>
      </c>
      <c r="I466" s="2" t="n">
        <v>7</v>
      </c>
      <c r="J466" s="276" t="n">
        <v>84.27</v>
      </c>
      <c r="K466" s="7" t="n">
        <v>709445.87</v>
      </c>
      <c r="L466" s="6" t="n">
        <f aca="false">K466/J466</f>
        <v>8418.7239824374</v>
      </c>
      <c r="M466" s="1" t="s">
        <v>2431</v>
      </c>
      <c r="O466" s="6" t="n">
        <f aca="false">K466+N466</f>
        <v>709445.87</v>
      </c>
      <c r="P466" s="166" t="n">
        <f aca="false">O466/J466</f>
        <v>8418.7239824374</v>
      </c>
      <c r="S466" s="5" t="s">
        <v>29</v>
      </c>
      <c r="T466" s="5" t="s">
        <v>1915</v>
      </c>
      <c r="U466" s="294" t="s">
        <v>31</v>
      </c>
      <c r="V466" s="203" t="n">
        <v>43709</v>
      </c>
    </row>
    <row r="467" customFormat="false" ht="12.8" hidden="false" customHeight="false" outlineLevel="0" collapsed="false">
      <c r="B467" s="1" t="s">
        <v>5408</v>
      </c>
      <c r="C467" s="3" t="n">
        <v>43486</v>
      </c>
      <c r="D467" s="2" t="s">
        <v>22</v>
      </c>
      <c r="E467" s="2" t="s">
        <v>229</v>
      </c>
      <c r="F467" s="1" t="s">
        <v>230</v>
      </c>
      <c r="G467" s="2" t="s">
        <v>3498</v>
      </c>
      <c r="H467" s="2" t="s">
        <v>294</v>
      </c>
      <c r="I467" s="2" t="n">
        <v>2</v>
      </c>
      <c r="J467" s="276" t="n">
        <v>46.28</v>
      </c>
      <c r="K467" s="7" t="n">
        <v>381836</v>
      </c>
      <c r="L467" s="6" t="n">
        <f aca="false">K467/J467</f>
        <v>8250.56179775281</v>
      </c>
      <c r="M467" s="1" t="s">
        <v>1739</v>
      </c>
      <c r="O467" s="6" t="n">
        <f aca="false">K467+N467</f>
        <v>381836</v>
      </c>
      <c r="P467" s="166" t="n">
        <f aca="false">O467/J467</f>
        <v>8250.56179775281</v>
      </c>
      <c r="S467" s="5" t="s">
        <v>29</v>
      </c>
      <c r="T467" s="5" t="s">
        <v>1915</v>
      </c>
      <c r="U467" s="294" t="s">
        <v>31</v>
      </c>
      <c r="V467" s="203" t="n">
        <v>43709</v>
      </c>
    </row>
    <row r="468" s="32" customFormat="true" ht="12.8" hidden="false" customHeight="false" outlineLevel="0" collapsed="false">
      <c r="B468" s="73" t="s">
        <v>5409</v>
      </c>
      <c r="C468" s="185" t="n">
        <v>43486</v>
      </c>
      <c r="D468" s="80" t="s">
        <v>22</v>
      </c>
      <c r="E468" s="73" t="s">
        <v>433</v>
      </c>
      <c r="F468" s="72" t="s">
        <v>434</v>
      </c>
      <c r="G468" s="73" t="s">
        <v>1567</v>
      </c>
      <c r="H468" s="73" t="s">
        <v>5410</v>
      </c>
      <c r="I468" s="73" t="n">
        <v>1</v>
      </c>
      <c r="J468" s="74" t="n">
        <v>30</v>
      </c>
      <c r="K468" s="75" t="n">
        <v>267352</v>
      </c>
      <c r="L468" s="302" t="n">
        <f aca="false">K468/J468</f>
        <v>8911.73333333333</v>
      </c>
      <c r="M468" s="32" t="s">
        <v>2434</v>
      </c>
      <c r="N468" s="293"/>
      <c r="O468" s="6" t="n">
        <f aca="false">K468+N468</f>
        <v>267352</v>
      </c>
      <c r="P468" s="166" t="n">
        <f aca="false">O468/J468</f>
        <v>8911.73333333333</v>
      </c>
      <c r="R468" s="80"/>
      <c r="S468" s="5" t="s">
        <v>29</v>
      </c>
      <c r="T468" s="5" t="s">
        <v>1915</v>
      </c>
      <c r="U468" s="294" t="s">
        <v>31</v>
      </c>
      <c r="V468" s="203" t="n">
        <v>43709</v>
      </c>
    </row>
    <row r="469" customFormat="false" ht="12.8" hidden="false" customHeight="false" outlineLevel="0" collapsed="false">
      <c r="A469" s="32"/>
      <c r="B469" s="73" t="s">
        <v>5411</v>
      </c>
      <c r="C469" s="185" t="n">
        <v>43486</v>
      </c>
      <c r="D469" s="80" t="s">
        <v>22</v>
      </c>
      <c r="E469" s="73" t="s">
        <v>433</v>
      </c>
      <c r="F469" s="190" t="s">
        <v>434</v>
      </c>
      <c r="G469" s="73" t="s">
        <v>1567</v>
      </c>
      <c r="H469" s="73" t="s">
        <v>5412</v>
      </c>
      <c r="I469" s="73" t="n">
        <v>2</v>
      </c>
      <c r="J469" s="74" t="n">
        <v>30.5</v>
      </c>
      <c r="K469" s="78" t="n">
        <v>286012.59</v>
      </c>
      <c r="L469" s="302" t="n">
        <f aca="false">K469/J469</f>
        <v>9377.46196721312</v>
      </c>
      <c r="M469" s="32" t="s">
        <v>5155</v>
      </c>
      <c r="N469" s="293"/>
      <c r="O469" s="6" t="n">
        <f aca="false">K469+N469</f>
        <v>286012.59</v>
      </c>
      <c r="P469" s="166" t="n">
        <f aca="false">O469/J469</f>
        <v>9377.46196721312</v>
      </c>
      <c r="R469" s="80"/>
      <c r="S469" s="5" t="s">
        <v>29</v>
      </c>
      <c r="T469" s="5" t="s">
        <v>1915</v>
      </c>
      <c r="U469" s="294" t="s">
        <v>31</v>
      </c>
      <c r="V469" s="203" t="n">
        <v>43709</v>
      </c>
    </row>
    <row r="470" customFormat="false" ht="12.8" hidden="false" customHeight="false" outlineLevel="0" collapsed="false">
      <c r="B470" s="1" t="s">
        <v>5413</v>
      </c>
      <c r="C470" s="3" t="n">
        <v>43486</v>
      </c>
      <c r="D470" s="2" t="s">
        <v>22</v>
      </c>
      <c r="E470" s="73" t="s">
        <v>962</v>
      </c>
      <c r="F470" s="1" t="s">
        <v>963</v>
      </c>
      <c r="G470" s="2" t="s">
        <v>49</v>
      </c>
      <c r="H470" s="2" t="s">
        <v>380</v>
      </c>
      <c r="I470" s="2" t="n">
        <v>3</v>
      </c>
      <c r="J470" s="276" t="n">
        <v>78.1</v>
      </c>
      <c r="K470" s="7" t="n">
        <v>760000</v>
      </c>
      <c r="L470" s="302" t="n">
        <f aca="false">K470/J470</f>
        <v>9731.11395646607</v>
      </c>
      <c r="M470" s="1" t="s">
        <v>5414</v>
      </c>
      <c r="O470" s="302" t="n">
        <f aca="false">K470+N470</f>
        <v>760000</v>
      </c>
      <c r="P470" s="304" t="n">
        <f aca="false">O470/J470</f>
        <v>9731.11395646607</v>
      </c>
      <c r="S470" s="5" t="s">
        <v>29</v>
      </c>
      <c r="T470" s="5" t="s">
        <v>1915</v>
      </c>
      <c r="U470" s="294" t="s">
        <v>31</v>
      </c>
      <c r="V470" s="203" t="n">
        <v>43709</v>
      </c>
    </row>
    <row r="471" s="32" customFormat="true" ht="16.9" hidden="false" customHeight="true" outlineLevel="0" collapsed="false">
      <c r="A471" s="1"/>
      <c r="B471" s="80" t="s">
        <v>5415</v>
      </c>
      <c r="C471" s="185" t="n">
        <v>43486</v>
      </c>
      <c r="D471" s="80" t="s">
        <v>22</v>
      </c>
      <c r="E471" s="73" t="s">
        <v>5416</v>
      </c>
      <c r="F471" s="72" t="s">
        <v>2354</v>
      </c>
      <c r="G471" s="73" t="s">
        <v>217</v>
      </c>
      <c r="H471" s="47" t="s">
        <v>601</v>
      </c>
      <c r="I471" s="47" t="s">
        <v>5417</v>
      </c>
      <c r="J471" s="74" t="n">
        <v>66.14</v>
      </c>
      <c r="K471" s="75" t="n">
        <v>710000</v>
      </c>
      <c r="L471" s="302" t="n">
        <f aca="false">K471/J471</f>
        <v>10734.8049591775</v>
      </c>
      <c r="M471" s="32" t="s">
        <v>1739</v>
      </c>
      <c r="N471" s="293"/>
      <c r="O471" s="302" t="n">
        <f aca="false">K471+N471</f>
        <v>710000</v>
      </c>
      <c r="P471" s="304" t="n">
        <f aca="false">O471/J471</f>
        <v>10734.8049591775</v>
      </c>
      <c r="R471" s="80"/>
      <c r="S471" s="73" t="s">
        <v>29</v>
      </c>
      <c r="T471" s="73" t="s">
        <v>1915</v>
      </c>
      <c r="U471" s="307" t="s">
        <v>31</v>
      </c>
      <c r="V471" s="308" t="n">
        <v>43709</v>
      </c>
    </row>
    <row r="472" customFormat="false" ht="12.8" hidden="false" customHeight="false" outlineLevel="0" collapsed="false">
      <c r="B472" s="1" t="n">
        <v>2285</v>
      </c>
      <c r="C472" s="3" t="n">
        <v>43487</v>
      </c>
      <c r="D472" s="171" t="s">
        <v>22</v>
      </c>
      <c r="E472" s="8" t="s">
        <v>3085</v>
      </c>
      <c r="F472" s="1" t="s">
        <v>323</v>
      </c>
      <c r="G472" s="2" t="n">
        <v>17</v>
      </c>
      <c r="H472" s="2" t="n">
        <v>106</v>
      </c>
      <c r="I472" s="2" t="n">
        <v>4</v>
      </c>
      <c r="J472" s="276" t="n">
        <v>40.81</v>
      </c>
      <c r="K472" s="6" t="n">
        <v>396162.46</v>
      </c>
      <c r="L472" s="6" t="n">
        <f aca="false">K472/J472</f>
        <v>9707.48493016418</v>
      </c>
      <c r="M472" s="264" t="s">
        <v>987</v>
      </c>
      <c r="N472" s="6" t="n">
        <v>26754.91</v>
      </c>
      <c r="O472" s="6" t="n">
        <f aca="false">K472+N472</f>
        <v>422917.37</v>
      </c>
      <c r="P472" s="166" t="n">
        <f aca="false">O472/J472</f>
        <v>10363.0818426856</v>
      </c>
      <c r="Q472" s="295"/>
      <c r="R472" s="2" t="s">
        <v>5228</v>
      </c>
      <c r="S472" s="5" t="s">
        <v>29</v>
      </c>
      <c r="T472" s="5" t="s">
        <v>1915</v>
      </c>
      <c r="U472" s="294" t="s">
        <v>31</v>
      </c>
      <c r="V472" s="203" t="n">
        <v>43709</v>
      </c>
      <c r="W472" s="1" t="s">
        <v>5201</v>
      </c>
    </row>
    <row r="473" customFormat="false" ht="12.8" hidden="false" customHeight="false" outlineLevel="0" collapsed="false">
      <c r="B473" s="1" t="n">
        <v>2231</v>
      </c>
      <c r="C473" s="3" t="n">
        <v>43487</v>
      </c>
      <c r="D473" s="171" t="s">
        <v>22</v>
      </c>
      <c r="E473" s="8" t="s">
        <v>3085</v>
      </c>
      <c r="F473" s="1" t="s">
        <v>3086</v>
      </c>
      <c r="G473" s="2" t="n">
        <v>9</v>
      </c>
      <c r="H473" s="2" t="n">
        <v>13</v>
      </c>
      <c r="I473" s="2" t="n">
        <v>5</v>
      </c>
      <c r="J473" s="276" t="n">
        <v>54.37</v>
      </c>
      <c r="K473" s="6" t="n">
        <v>471668.85</v>
      </c>
      <c r="L473" s="6" t="n">
        <f aca="false">K473/J473</f>
        <v>8675.16737171234</v>
      </c>
      <c r="M473" s="264" t="s">
        <v>987</v>
      </c>
      <c r="N473" s="6" t="n">
        <v>25000</v>
      </c>
      <c r="O473" s="6" t="n">
        <f aca="false">K473+N473</f>
        <v>496668.85</v>
      </c>
      <c r="P473" s="166" t="n">
        <f aca="false">O473/J473</f>
        <v>9134.97976825455</v>
      </c>
      <c r="Q473" s="295"/>
      <c r="R473" s="301" t="s">
        <v>5239</v>
      </c>
      <c r="S473" s="5" t="s">
        <v>29</v>
      </c>
      <c r="T473" s="5" t="s">
        <v>1915</v>
      </c>
      <c r="U473" s="294" t="s">
        <v>31</v>
      </c>
      <c r="V473" s="203" t="n">
        <v>43709</v>
      </c>
      <c r="W473" s="1" t="s">
        <v>5201</v>
      </c>
    </row>
    <row r="474" customFormat="false" ht="12.8" hidden="false" customHeight="false" outlineLevel="0" collapsed="false">
      <c r="B474" s="1" t="n">
        <v>525</v>
      </c>
      <c r="C474" s="3" t="n">
        <v>43487</v>
      </c>
      <c r="D474" s="171" t="s">
        <v>22</v>
      </c>
      <c r="E474" s="291" t="s">
        <v>229</v>
      </c>
      <c r="F474" s="1" t="s">
        <v>230</v>
      </c>
      <c r="G474" s="2" t="n">
        <v>55</v>
      </c>
      <c r="H474" s="2" t="n">
        <v>6</v>
      </c>
      <c r="I474" s="2" t="n">
        <v>3</v>
      </c>
      <c r="J474" s="276" t="n">
        <v>73.39</v>
      </c>
      <c r="K474" s="6" t="n">
        <v>623000</v>
      </c>
      <c r="L474" s="6" t="n">
        <f aca="false">K474/J474</f>
        <v>8488.89494481537</v>
      </c>
      <c r="M474" s="264" t="s">
        <v>987</v>
      </c>
      <c r="N474" s="6"/>
      <c r="O474" s="6" t="n">
        <f aca="false">K474+N474</f>
        <v>623000</v>
      </c>
      <c r="P474" s="166" t="n">
        <f aca="false">O474/J474</f>
        <v>8488.89494481537</v>
      </c>
      <c r="Q474" s="295"/>
      <c r="R474" s="2" t="s">
        <v>5324</v>
      </c>
      <c r="S474" s="5" t="s">
        <v>29</v>
      </c>
      <c r="T474" s="5" t="s">
        <v>1915</v>
      </c>
      <c r="U474" s="294" t="s">
        <v>31</v>
      </c>
      <c r="V474" s="203" t="n">
        <v>43709</v>
      </c>
      <c r="W474" s="1" t="s">
        <v>5151</v>
      </c>
    </row>
    <row r="475" customFormat="false" ht="12.8" hidden="false" customHeight="false" outlineLevel="0" collapsed="false">
      <c r="B475" s="1" t="n">
        <v>451</v>
      </c>
      <c r="C475" s="3" t="n">
        <v>43487</v>
      </c>
      <c r="D475" s="171" t="s">
        <v>22</v>
      </c>
      <c r="E475" s="73" t="s">
        <v>1380</v>
      </c>
      <c r="F475" s="1" t="s">
        <v>1381</v>
      </c>
      <c r="G475" s="2" t="s">
        <v>384</v>
      </c>
      <c r="H475" s="2" t="n">
        <v>3</v>
      </c>
      <c r="I475" s="2" t="n">
        <v>1</v>
      </c>
      <c r="J475" s="276" t="n">
        <v>87.41</v>
      </c>
      <c r="K475" s="6" t="n">
        <v>691000</v>
      </c>
      <c r="L475" s="6" t="n">
        <f aca="false">K475/J475</f>
        <v>7905.27399611029</v>
      </c>
      <c r="M475" s="264" t="s">
        <v>5282</v>
      </c>
      <c r="N475" s="6"/>
      <c r="O475" s="6" t="n">
        <f aca="false">K475+N475</f>
        <v>691000</v>
      </c>
      <c r="P475" s="166" t="n">
        <f aca="false">O475/J475</f>
        <v>7905.27399611029</v>
      </c>
      <c r="Q475" s="295"/>
      <c r="R475" s="2" t="s">
        <v>5325</v>
      </c>
      <c r="S475" s="5" t="s">
        <v>29</v>
      </c>
      <c r="T475" s="5" t="s">
        <v>1915</v>
      </c>
      <c r="U475" s="294" t="s">
        <v>31</v>
      </c>
      <c r="V475" s="203" t="n">
        <v>43709</v>
      </c>
      <c r="W475" s="1" t="s">
        <v>5345</v>
      </c>
    </row>
    <row r="476" customFormat="false" ht="12.8" hidden="false" customHeight="false" outlineLevel="0" collapsed="false">
      <c r="B476" s="1" t="s">
        <v>5418</v>
      </c>
      <c r="C476" s="3" t="n">
        <v>43487</v>
      </c>
      <c r="D476" s="2" t="s">
        <v>22</v>
      </c>
      <c r="E476" s="73" t="s">
        <v>3085</v>
      </c>
      <c r="F476" s="1" t="s">
        <v>3086</v>
      </c>
      <c r="G476" s="2" t="s">
        <v>1567</v>
      </c>
      <c r="H476" s="2" t="s">
        <v>105</v>
      </c>
      <c r="I476" s="2" t="n">
        <v>5</v>
      </c>
      <c r="J476" s="276" t="n">
        <v>34.25</v>
      </c>
      <c r="K476" s="7" t="n">
        <v>314841.9</v>
      </c>
      <c r="L476" s="6" t="n">
        <f aca="false">K476/J476</f>
        <v>9192.46423357664</v>
      </c>
      <c r="O476" s="6" t="n">
        <f aca="false">K476+N476</f>
        <v>314841.9</v>
      </c>
      <c r="P476" s="166" t="n">
        <f aca="false">O476/J476</f>
        <v>9192.46423357664</v>
      </c>
      <c r="S476" s="5" t="s">
        <v>29</v>
      </c>
      <c r="T476" s="5" t="s">
        <v>1915</v>
      </c>
      <c r="U476" s="294" t="s">
        <v>31</v>
      </c>
      <c r="V476" s="203" t="n">
        <v>43709</v>
      </c>
    </row>
    <row r="477" customFormat="false" ht="12.8" hidden="false" customHeight="false" outlineLevel="0" collapsed="false">
      <c r="B477" s="1" t="s">
        <v>5419</v>
      </c>
      <c r="C477" s="3" t="n">
        <v>43487</v>
      </c>
      <c r="D477" s="2" t="s">
        <v>22</v>
      </c>
      <c r="E477" s="73" t="s">
        <v>3085</v>
      </c>
      <c r="F477" s="1" t="s">
        <v>3086</v>
      </c>
      <c r="G477" s="2" t="s">
        <v>1567</v>
      </c>
      <c r="H477" s="2" t="s">
        <v>657</v>
      </c>
      <c r="I477" s="2" t="n">
        <v>8</v>
      </c>
      <c r="J477" s="276" t="n">
        <v>34.36</v>
      </c>
      <c r="K477" s="7" t="n">
        <v>325954</v>
      </c>
      <c r="L477" s="6" t="n">
        <f aca="false">K477/J477</f>
        <v>9486.43771827707</v>
      </c>
      <c r="O477" s="6" t="n">
        <f aca="false">K477+N477</f>
        <v>325954</v>
      </c>
      <c r="P477" s="166" t="n">
        <f aca="false">O477/J477</f>
        <v>9486.43771827707</v>
      </c>
      <c r="S477" s="5" t="s">
        <v>29</v>
      </c>
      <c r="T477" s="5" t="s">
        <v>1915</v>
      </c>
      <c r="U477" s="294" t="s">
        <v>31</v>
      </c>
      <c r="V477" s="203" t="n">
        <v>43709</v>
      </c>
    </row>
    <row r="478" customFormat="false" ht="12.8" hidden="false" customHeight="false" outlineLevel="0" collapsed="false">
      <c r="B478" s="1" t="s">
        <v>5420</v>
      </c>
      <c r="C478" s="3" t="n">
        <v>43487</v>
      </c>
      <c r="D478" s="2" t="s">
        <v>22</v>
      </c>
      <c r="E478" s="73" t="s">
        <v>3085</v>
      </c>
      <c r="F478" s="1" t="s">
        <v>3086</v>
      </c>
      <c r="G478" s="2" t="s">
        <v>1567</v>
      </c>
      <c r="H478" s="2" t="s">
        <v>48</v>
      </c>
      <c r="I478" s="2" t="n">
        <v>2</v>
      </c>
      <c r="J478" s="276" t="n">
        <v>34.25</v>
      </c>
      <c r="K478" s="7" t="n">
        <v>340878.65</v>
      </c>
      <c r="L478" s="6" t="n">
        <f aca="false">K478/J478</f>
        <v>9952.66131386861</v>
      </c>
      <c r="O478" s="6" t="n">
        <f aca="false">K478+N478</f>
        <v>340878.65</v>
      </c>
      <c r="P478" s="166" t="n">
        <f aca="false">O478/J478</f>
        <v>9952.66131386861</v>
      </c>
      <c r="S478" s="5" t="s">
        <v>29</v>
      </c>
      <c r="T478" s="5" t="s">
        <v>1915</v>
      </c>
      <c r="U478" s="294" t="s">
        <v>31</v>
      </c>
      <c r="V478" s="203" t="n">
        <v>43709</v>
      </c>
    </row>
    <row r="479" customFormat="false" ht="12.8" hidden="false" customHeight="false" outlineLevel="0" collapsed="false">
      <c r="B479" s="1" t="s">
        <v>5421</v>
      </c>
      <c r="C479" s="3" t="n">
        <v>43487</v>
      </c>
      <c r="D479" s="2" t="s">
        <v>22</v>
      </c>
      <c r="E479" s="73" t="s">
        <v>3085</v>
      </c>
      <c r="F479" s="1" t="s">
        <v>3086</v>
      </c>
      <c r="G479" s="2" t="s">
        <v>1567</v>
      </c>
      <c r="H479" s="2" t="s">
        <v>26</v>
      </c>
      <c r="I479" s="2" t="n">
        <v>1</v>
      </c>
      <c r="J479" s="276" t="n">
        <v>50.51</v>
      </c>
      <c r="K479" s="7" t="n">
        <v>434939.22</v>
      </c>
      <c r="L479" s="6" t="n">
        <f aca="false">K479/J479</f>
        <v>8610.9526826371</v>
      </c>
      <c r="M479" s="1" t="s">
        <v>1694</v>
      </c>
      <c r="O479" s="6" t="n">
        <f aca="false">K479+N479</f>
        <v>434939.22</v>
      </c>
      <c r="P479" s="166" t="n">
        <f aca="false">O479/J479</f>
        <v>8610.9526826371</v>
      </c>
      <c r="S479" s="5" t="s">
        <v>29</v>
      </c>
      <c r="T479" s="5" t="s">
        <v>1915</v>
      </c>
      <c r="U479" s="294" t="s">
        <v>31</v>
      </c>
      <c r="V479" s="203" t="n">
        <v>43709</v>
      </c>
    </row>
    <row r="480" customFormat="false" ht="12.8" hidden="false" customHeight="false" outlineLevel="0" collapsed="false">
      <c r="B480" s="1" t="s">
        <v>5422</v>
      </c>
      <c r="C480" s="3" t="n">
        <v>43487</v>
      </c>
      <c r="D480" s="2" t="s">
        <v>22</v>
      </c>
      <c r="E480" s="73" t="s">
        <v>3085</v>
      </c>
      <c r="F480" s="1" t="s">
        <v>3086</v>
      </c>
      <c r="G480" s="2" t="s">
        <v>101</v>
      </c>
      <c r="H480" s="2" t="s">
        <v>253</v>
      </c>
      <c r="I480" s="2" t="n">
        <v>8</v>
      </c>
      <c r="J480" s="276" t="n">
        <v>68.97</v>
      </c>
      <c r="K480" s="7" t="n">
        <v>563069.85</v>
      </c>
      <c r="L480" s="6" t="n">
        <f aca="false">K480/J480</f>
        <v>8163.9821661592</v>
      </c>
      <c r="O480" s="6" t="n">
        <f aca="false">K480+N480</f>
        <v>563069.85</v>
      </c>
      <c r="P480" s="166" t="n">
        <f aca="false">O480/J480</f>
        <v>8163.9821661592</v>
      </c>
      <c r="S480" s="5" t="s">
        <v>29</v>
      </c>
      <c r="T480" s="5" t="s">
        <v>1915</v>
      </c>
      <c r="U480" s="294" t="s">
        <v>31</v>
      </c>
      <c r="V480" s="203" t="n">
        <v>43709</v>
      </c>
    </row>
    <row r="481" customFormat="false" ht="12.8" hidden="false" customHeight="false" outlineLevel="0" collapsed="false">
      <c r="B481" s="1" t="s">
        <v>5423</v>
      </c>
      <c r="C481" s="3" t="n">
        <v>43487</v>
      </c>
      <c r="D481" s="2" t="s">
        <v>22</v>
      </c>
      <c r="E481" s="73" t="s">
        <v>3085</v>
      </c>
      <c r="F481" s="1" t="s">
        <v>3086</v>
      </c>
      <c r="G481" s="2" t="s">
        <v>101</v>
      </c>
      <c r="H481" s="2" t="s">
        <v>515</v>
      </c>
      <c r="I481" s="2" t="n">
        <v>6</v>
      </c>
      <c r="J481" s="276" t="n">
        <v>80.07</v>
      </c>
      <c r="K481" s="7" t="n">
        <v>676510.74</v>
      </c>
      <c r="L481" s="6" t="n">
        <f aca="false">K481/J481</f>
        <v>8448.99138254028</v>
      </c>
      <c r="O481" s="6" t="n">
        <f aca="false">K481+N481</f>
        <v>676510.74</v>
      </c>
      <c r="P481" s="166" t="n">
        <f aca="false">O481/J481</f>
        <v>8448.99138254028</v>
      </c>
      <c r="S481" s="5" t="s">
        <v>29</v>
      </c>
      <c r="T481" s="5" t="s">
        <v>1915</v>
      </c>
      <c r="U481" s="294" t="s">
        <v>31</v>
      </c>
      <c r="V481" s="203" t="n">
        <v>43709</v>
      </c>
    </row>
    <row r="482" customFormat="false" ht="12.8" hidden="false" customHeight="false" outlineLevel="0" collapsed="false">
      <c r="B482" s="1" t="s">
        <v>5424</v>
      </c>
      <c r="C482" s="3" t="n">
        <v>43487</v>
      </c>
      <c r="D482" s="2" t="s">
        <v>22</v>
      </c>
      <c r="E482" s="73" t="s">
        <v>3085</v>
      </c>
      <c r="F482" s="1" t="s">
        <v>3086</v>
      </c>
      <c r="G482" s="2" t="s">
        <v>101</v>
      </c>
      <c r="H482" s="2" t="s">
        <v>730</v>
      </c>
      <c r="I482" s="2" t="n">
        <v>6</v>
      </c>
      <c r="J482" s="276" t="n">
        <v>52.84</v>
      </c>
      <c r="K482" s="7" t="n">
        <v>459865.29</v>
      </c>
      <c r="L482" s="6" t="n">
        <f aca="false">K482/J482</f>
        <v>8702.97672218016</v>
      </c>
      <c r="O482" s="6" t="n">
        <f aca="false">K482+N482</f>
        <v>459865.29</v>
      </c>
      <c r="P482" s="166" t="n">
        <f aca="false">O482/J482</f>
        <v>8702.97672218016</v>
      </c>
      <c r="S482" s="5" t="s">
        <v>29</v>
      </c>
      <c r="T482" s="5" t="s">
        <v>1915</v>
      </c>
      <c r="U482" s="294" t="s">
        <v>31</v>
      </c>
      <c r="V482" s="203" t="n">
        <v>43709</v>
      </c>
    </row>
    <row r="483" customFormat="false" ht="12.8" hidden="false" customHeight="false" outlineLevel="0" collapsed="false">
      <c r="B483" s="1" t="s">
        <v>5425</v>
      </c>
      <c r="C483" s="3" t="n">
        <v>43487</v>
      </c>
      <c r="D483" s="2" t="s">
        <v>22</v>
      </c>
      <c r="E483" s="80" t="s">
        <v>229</v>
      </c>
      <c r="F483" s="1" t="s">
        <v>230</v>
      </c>
      <c r="G483" s="2" t="s">
        <v>3498</v>
      </c>
      <c r="H483" s="2" t="s">
        <v>55</v>
      </c>
      <c r="I483" s="2" t="n">
        <v>3</v>
      </c>
      <c r="J483" s="276" t="n">
        <v>73.87</v>
      </c>
      <c r="K483" s="7" t="n">
        <v>616630</v>
      </c>
      <c r="L483" s="6" t="n">
        <f aca="false">K483/J483</f>
        <v>8347.50236902667</v>
      </c>
      <c r="M483" s="1" t="s">
        <v>940</v>
      </c>
      <c r="O483" s="6" t="n">
        <f aca="false">K483+N483</f>
        <v>616630</v>
      </c>
      <c r="P483" s="166" t="n">
        <f aca="false">O483/J483</f>
        <v>8347.50236902667</v>
      </c>
      <c r="S483" s="5" t="s">
        <v>29</v>
      </c>
      <c r="T483" s="5" t="s">
        <v>1915</v>
      </c>
      <c r="U483" s="294" t="s">
        <v>31</v>
      </c>
      <c r="V483" s="203" t="n">
        <v>43709</v>
      </c>
    </row>
    <row r="484" customFormat="false" ht="12.8" hidden="false" customHeight="false" outlineLevel="0" collapsed="false">
      <c r="B484" s="1" t="s">
        <v>5426</v>
      </c>
      <c r="C484" s="3" t="n">
        <v>43487</v>
      </c>
      <c r="D484" s="2" t="s">
        <v>22</v>
      </c>
      <c r="E484" s="80" t="s">
        <v>229</v>
      </c>
      <c r="F484" s="1" t="s">
        <v>230</v>
      </c>
      <c r="G484" s="2" t="s">
        <v>275</v>
      </c>
      <c r="H484" s="2" t="s">
        <v>25</v>
      </c>
      <c r="I484" s="2" t="n">
        <v>3</v>
      </c>
      <c r="J484" s="276" t="n">
        <v>73.39</v>
      </c>
      <c r="K484" s="7" t="n">
        <v>623000</v>
      </c>
      <c r="L484" s="6" t="n">
        <f aca="false">K484/J484</f>
        <v>8488.89494481537</v>
      </c>
      <c r="M484" s="1" t="s">
        <v>940</v>
      </c>
      <c r="O484" s="6" t="n">
        <f aca="false">K484+N484</f>
        <v>623000</v>
      </c>
      <c r="P484" s="166" t="n">
        <f aca="false">O484/J484</f>
        <v>8488.89494481537</v>
      </c>
      <c r="S484" s="5" t="s">
        <v>29</v>
      </c>
      <c r="T484" s="5" t="s">
        <v>1915</v>
      </c>
      <c r="U484" s="294" t="s">
        <v>31</v>
      </c>
      <c r="V484" s="203" t="n">
        <v>43709</v>
      </c>
    </row>
    <row r="485" customFormat="false" ht="12.8" hidden="false" customHeight="false" outlineLevel="0" collapsed="false">
      <c r="B485" s="1" t="s">
        <v>5427</v>
      </c>
      <c r="C485" s="3" t="n">
        <v>43487</v>
      </c>
      <c r="D485" s="2" t="s">
        <v>22</v>
      </c>
      <c r="E485" s="2" t="s">
        <v>229</v>
      </c>
      <c r="F485" s="1" t="s">
        <v>230</v>
      </c>
      <c r="G485" s="2" t="s">
        <v>275</v>
      </c>
      <c r="H485" s="2" t="s">
        <v>464</v>
      </c>
      <c r="I485" s="2" t="n">
        <v>2</v>
      </c>
      <c r="J485" s="276" t="n">
        <v>43.14</v>
      </c>
      <c r="K485" s="7" t="n">
        <v>344963</v>
      </c>
      <c r="L485" s="6" t="n">
        <f aca="false">K485/J485</f>
        <v>7996.36068613816</v>
      </c>
      <c r="O485" s="6" t="n">
        <f aca="false">K485+N485</f>
        <v>344963</v>
      </c>
      <c r="P485" s="166" t="n">
        <f aca="false">O485/J485</f>
        <v>7996.36068613816</v>
      </c>
      <c r="S485" s="5" t="s">
        <v>29</v>
      </c>
      <c r="T485" s="5" t="s">
        <v>1915</v>
      </c>
      <c r="U485" s="294" t="s">
        <v>31</v>
      </c>
      <c r="V485" s="203" t="n">
        <v>43709</v>
      </c>
    </row>
    <row r="486" customFormat="false" ht="12.8" hidden="false" customHeight="false" outlineLevel="0" collapsed="false">
      <c r="B486" s="1" t="s">
        <v>5428</v>
      </c>
      <c r="C486" s="3" t="n">
        <v>43487</v>
      </c>
      <c r="D486" s="2" t="s">
        <v>22</v>
      </c>
      <c r="E486" s="2" t="s">
        <v>229</v>
      </c>
      <c r="F486" s="1" t="s">
        <v>230</v>
      </c>
      <c r="G486" s="2" t="s">
        <v>275</v>
      </c>
      <c r="H486" s="2" t="s">
        <v>112</v>
      </c>
      <c r="I486" s="2" t="n">
        <v>3</v>
      </c>
      <c r="J486" s="276" t="n">
        <v>53.22</v>
      </c>
      <c r="K486" s="7" t="n">
        <v>463647.48</v>
      </c>
      <c r="L486" s="6" t="n">
        <f aca="false">K486/J486</f>
        <v>8711.90304396843</v>
      </c>
      <c r="M486" s="1" t="s">
        <v>5155</v>
      </c>
      <c r="O486" s="6" t="n">
        <f aca="false">K486+N486</f>
        <v>463647.48</v>
      </c>
      <c r="P486" s="166" t="n">
        <f aca="false">O486/J486</f>
        <v>8711.90304396843</v>
      </c>
      <c r="S486" s="5" t="s">
        <v>29</v>
      </c>
      <c r="T486" s="5" t="s">
        <v>1915</v>
      </c>
      <c r="U486" s="294" t="s">
        <v>31</v>
      </c>
      <c r="V486" s="203" t="n">
        <v>43709</v>
      </c>
    </row>
    <row r="487" customFormat="false" ht="12.8" hidden="false" customHeight="false" outlineLevel="0" collapsed="false">
      <c r="B487" s="1" t="s">
        <v>5429</v>
      </c>
      <c r="C487" s="3" t="n">
        <v>43487</v>
      </c>
      <c r="D487" s="2" t="s">
        <v>22</v>
      </c>
      <c r="E487" s="2" t="s">
        <v>3085</v>
      </c>
      <c r="F487" s="1" t="s">
        <v>323</v>
      </c>
      <c r="G487" s="2" t="s">
        <v>115</v>
      </c>
      <c r="H487" s="2" t="s">
        <v>88</v>
      </c>
      <c r="I487" s="2" t="n">
        <v>3</v>
      </c>
      <c r="J487" s="276" t="n">
        <v>72.03</v>
      </c>
      <c r="K487" s="7" t="n">
        <v>503344.41</v>
      </c>
      <c r="L487" s="302" t="n">
        <f aca="false">K487/J487</f>
        <v>6987.98292378176</v>
      </c>
      <c r="O487" s="6" t="n">
        <f aca="false">K487+N487</f>
        <v>503344.41</v>
      </c>
      <c r="P487" s="166" t="n">
        <f aca="false">O487/J487</f>
        <v>6987.98292378176</v>
      </c>
      <c r="S487" s="5" t="s">
        <v>29</v>
      </c>
      <c r="T487" s="5" t="s">
        <v>1915</v>
      </c>
      <c r="U487" s="294" t="s">
        <v>31</v>
      </c>
      <c r="V487" s="203" t="n">
        <v>43709</v>
      </c>
    </row>
    <row r="488" customFormat="false" ht="12.8" hidden="false" customHeight="false" outlineLevel="0" collapsed="false">
      <c r="B488" s="1" t="s">
        <v>5430</v>
      </c>
      <c r="C488" s="3" t="n">
        <v>43487</v>
      </c>
      <c r="D488" s="2" t="s">
        <v>22</v>
      </c>
      <c r="E488" s="2" t="s">
        <v>3085</v>
      </c>
      <c r="F488" s="1" t="s">
        <v>323</v>
      </c>
      <c r="G488" s="2" t="s">
        <v>115</v>
      </c>
      <c r="H488" s="2" t="s">
        <v>200</v>
      </c>
      <c r="I488" s="2" t="n">
        <v>5</v>
      </c>
      <c r="J488" s="276" t="n">
        <v>65.49</v>
      </c>
      <c r="K488" s="7" t="n">
        <v>484755.75</v>
      </c>
      <c r="L488" s="302" t="n">
        <f aca="false">K488/J488</f>
        <v>7401.98121850664</v>
      </c>
      <c r="O488" s="6" t="n">
        <f aca="false">K488+N488</f>
        <v>484755.75</v>
      </c>
      <c r="P488" s="166" t="n">
        <f aca="false">O488/J488</f>
        <v>7401.98121850664</v>
      </c>
      <c r="S488" s="5" t="s">
        <v>29</v>
      </c>
      <c r="T488" s="5" t="s">
        <v>1915</v>
      </c>
      <c r="U488" s="294" t="s">
        <v>31</v>
      </c>
      <c r="V488" s="203" t="n">
        <v>43709</v>
      </c>
    </row>
    <row r="489" customFormat="false" ht="12.8" hidden="false" customHeight="false" outlineLevel="0" collapsed="false">
      <c r="B489" s="1" t="s">
        <v>5431</v>
      </c>
      <c r="C489" s="3" t="n">
        <v>43487</v>
      </c>
      <c r="D489" s="2" t="s">
        <v>22</v>
      </c>
      <c r="E489" s="2" t="s">
        <v>3085</v>
      </c>
      <c r="F489" s="1" t="s">
        <v>323</v>
      </c>
      <c r="G489" s="2" t="s">
        <v>115</v>
      </c>
      <c r="H489" s="2" t="s">
        <v>472</v>
      </c>
      <c r="I489" s="2" t="n">
        <v>7</v>
      </c>
      <c r="J489" s="276" t="n">
        <v>40.68</v>
      </c>
      <c r="K489" s="7" t="n">
        <v>406125.32</v>
      </c>
      <c r="L489" s="302" t="n">
        <f aca="false">K489/J489</f>
        <v>9983.41494591937</v>
      </c>
      <c r="O489" s="6" t="n">
        <f aca="false">K489+N489</f>
        <v>406125.32</v>
      </c>
      <c r="P489" s="166" t="n">
        <f aca="false">O489/J489</f>
        <v>9983.41494591937</v>
      </c>
      <c r="S489" s="5" t="s">
        <v>29</v>
      </c>
      <c r="T489" s="5" t="s">
        <v>1915</v>
      </c>
      <c r="U489" s="294" t="s">
        <v>31</v>
      </c>
      <c r="V489" s="203" t="n">
        <v>43709</v>
      </c>
    </row>
    <row r="490" customFormat="false" ht="12.8" hidden="false" customHeight="false" outlineLevel="0" collapsed="false">
      <c r="B490" s="1" t="s">
        <v>5431</v>
      </c>
      <c r="C490" s="3" t="n">
        <v>43487</v>
      </c>
      <c r="D490" s="2" t="s">
        <v>22</v>
      </c>
      <c r="E490" s="2" t="s">
        <v>3085</v>
      </c>
      <c r="F490" s="1" t="s">
        <v>323</v>
      </c>
      <c r="G490" s="2" t="s">
        <v>115</v>
      </c>
      <c r="H490" s="2" t="s">
        <v>472</v>
      </c>
      <c r="I490" s="2" t="n">
        <v>7</v>
      </c>
      <c r="J490" s="276" t="n">
        <v>40.68</v>
      </c>
      <c r="K490" s="7" t="n">
        <v>406125.32</v>
      </c>
      <c r="L490" s="302" t="n">
        <f aca="false">K490/J490</f>
        <v>9983.41494591937</v>
      </c>
      <c r="O490" s="6" t="n">
        <f aca="false">K490+N490</f>
        <v>406125.32</v>
      </c>
      <c r="P490" s="166" t="n">
        <f aca="false">O490/J490</f>
        <v>9983.41494591937</v>
      </c>
      <c r="S490" s="5" t="s">
        <v>29</v>
      </c>
      <c r="T490" s="5" t="s">
        <v>1915</v>
      </c>
      <c r="U490" s="294" t="s">
        <v>31</v>
      </c>
      <c r="V490" s="203" t="n">
        <v>43709</v>
      </c>
    </row>
    <row r="491" customFormat="false" ht="12.8" hidden="false" customHeight="false" outlineLevel="0" collapsed="false">
      <c r="B491" s="1" t="s">
        <v>5432</v>
      </c>
      <c r="C491" s="3" t="n">
        <v>43487</v>
      </c>
      <c r="D491" s="2" t="s">
        <v>22</v>
      </c>
      <c r="E491" s="73" t="s">
        <v>962</v>
      </c>
      <c r="F491" s="1" t="s">
        <v>963</v>
      </c>
      <c r="G491" s="2" t="s">
        <v>27</v>
      </c>
      <c r="H491" s="2" t="s">
        <v>48</v>
      </c>
      <c r="I491" s="2" t="n">
        <v>2</v>
      </c>
      <c r="J491" s="276" t="n">
        <v>42.59</v>
      </c>
      <c r="K491" s="7" t="n">
        <v>354350</v>
      </c>
      <c r="L491" s="302" t="n">
        <f aca="false">K491/J491</f>
        <v>8320.02817562808</v>
      </c>
      <c r="M491" s="1" t="s">
        <v>5433</v>
      </c>
      <c r="O491" s="302" t="n">
        <f aca="false">K491+N491</f>
        <v>354350</v>
      </c>
      <c r="P491" s="304" t="n">
        <f aca="false">O491/J491</f>
        <v>8320.02817562808</v>
      </c>
      <c r="S491" s="5" t="s">
        <v>29</v>
      </c>
      <c r="T491" s="5" t="s">
        <v>1915</v>
      </c>
      <c r="U491" s="294" t="s">
        <v>31</v>
      </c>
      <c r="V491" s="203" t="n">
        <v>43709</v>
      </c>
    </row>
    <row r="492" customFormat="false" ht="12.8" hidden="false" customHeight="false" outlineLevel="0" collapsed="false">
      <c r="B492" s="1" t="n">
        <v>677</v>
      </c>
      <c r="C492" s="3" t="n">
        <v>43488</v>
      </c>
      <c r="D492" s="171" t="s">
        <v>22</v>
      </c>
      <c r="E492" s="222" t="s">
        <v>962</v>
      </c>
      <c r="F492" s="1" t="s">
        <v>963</v>
      </c>
      <c r="G492" s="2" t="n">
        <v>1</v>
      </c>
      <c r="H492" s="2" t="n">
        <v>61</v>
      </c>
      <c r="I492" s="2" t="n">
        <v>5</v>
      </c>
      <c r="J492" s="276" t="n">
        <v>53.16</v>
      </c>
      <c r="K492" s="6" t="n">
        <v>458000</v>
      </c>
      <c r="L492" s="6" t="n">
        <f aca="false">K492/J492</f>
        <v>8615.50037622273</v>
      </c>
      <c r="M492" s="264" t="s">
        <v>5236</v>
      </c>
      <c r="N492" s="6"/>
      <c r="O492" s="6" t="n">
        <f aca="false">K492+N492</f>
        <v>458000</v>
      </c>
      <c r="P492" s="166" t="n">
        <f aca="false">O492/J492</f>
        <v>8615.50037622273</v>
      </c>
      <c r="Q492" s="295"/>
      <c r="R492" s="2" t="s">
        <v>5228</v>
      </c>
      <c r="S492" s="5" t="s">
        <v>29</v>
      </c>
      <c r="T492" s="5" t="s">
        <v>1915</v>
      </c>
      <c r="U492" s="294" t="s">
        <v>31</v>
      </c>
      <c r="V492" s="203" t="n">
        <v>43709</v>
      </c>
      <c r="W492" s="1" t="s">
        <v>4939</v>
      </c>
    </row>
    <row r="493" customFormat="false" ht="12.8" hidden="false" customHeight="false" outlineLevel="0" collapsed="false">
      <c r="B493" s="1" t="n">
        <v>631</v>
      </c>
      <c r="C493" s="3" t="n">
        <v>43488</v>
      </c>
      <c r="D493" s="171" t="s">
        <v>22</v>
      </c>
      <c r="E493" s="8" t="s">
        <v>229</v>
      </c>
      <c r="F493" s="1" t="s">
        <v>230</v>
      </c>
      <c r="G493" s="2" t="n">
        <v>57</v>
      </c>
      <c r="H493" s="2" t="n">
        <v>64</v>
      </c>
      <c r="I493" s="2" t="n">
        <v>5</v>
      </c>
      <c r="J493" s="276" t="n">
        <v>40.14</v>
      </c>
      <c r="K493" s="6" t="n">
        <v>357523.65</v>
      </c>
      <c r="L493" s="6" t="n">
        <f aca="false">K493/J493</f>
        <v>8906.91704035875</v>
      </c>
      <c r="M493" s="264" t="s">
        <v>3302</v>
      </c>
      <c r="N493" s="6"/>
      <c r="O493" s="6" t="n">
        <f aca="false">K493+N493</f>
        <v>357523.65</v>
      </c>
      <c r="P493" s="166" t="n">
        <f aca="false">O493/J493</f>
        <v>8906.91704035875</v>
      </c>
      <c r="Q493" s="295"/>
      <c r="R493" s="2" t="s">
        <v>5228</v>
      </c>
      <c r="S493" s="5" t="s">
        <v>29</v>
      </c>
      <c r="T493" s="5" t="s">
        <v>1915</v>
      </c>
      <c r="U493" s="294" t="s">
        <v>31</v>
      </c>
      <c r="V493" s="203" t="n">
        <v>43709</v>
      </c>
      <c r="W493" s="1" t="s">
        <v>5151</v>
      </c>
    </row>
    <row r="494" customFormat="false" ht="12.8" hidden="false" customHeight="false" outlineLevel="0" collapsed="false">
      <c r="B494" s="1" t="s">
        <v>5434</v>
      </c>
      <c r="C494" s="3" t="n">
        <v>43488</v>
      </c>
      <c r="D494" s="2" t="s">
        <v>22</v>
      </c>
      <c r="E494" s="2" t="s">
        <v>229</v>
      </c>
      <c r="F494" s="1" t="s">
        <v>230</v>
      </c>
      <c r="G494" s="2" t="s">
        <v>275</v>
      </c>
      <c r="H494" s="2" t="s">
        <v>78</v>
      </c>
      <c r="I494" s="2" t="n">
        <v>4</v>
      </c>
      <c r="J494" s="276" t="n">
        <v>43.27</v>
      </c>
      <c r="K494" s="7" t="n">
        <v>349277</v>
      </c>
      <c r="L494" s="6" t="n">
        <f aca="false">K494/J494</f>
        <v>8072.0360526924</v>
      </c>
      <c r="O494" s="6" t="n">
        <f aca="false">K494+N494</f>
        <v>349277</v>
      </c>
      <c r="P494" s="166" t="n">
        <f aca="false">O494/J494</f>
        <v>8072.0360526924</v>
      </c>
      <c r="S494" s="5" t="s">
        <v>29</v>
      </c>
      <c r="T494" s="5" t="s">
        <v>1915</v>
      </c>
      <c r="U494" s="294" t="s">
        <v>31</v>
      </c>
      <c r="V494" s="203" t="n">
        <v>43709</v>
      </c>
    </row>
    <row r="495" customFormat="false" ht="12.8" hidden="false" customHeight="false" outlineLevel="0" collapsed="false">
      <c r="B495" s="1" t="s">
        <v>5435</v>
      </c>
      <c r="C495" s="3" t="n">
        <v>43488</v>
      </c>
      <c r="D495" s="2" t="s">
        <v>22</v>
      </c>
      <c r="E495" s="2" t="s">
        <v>229</v>
      </c>
      <c r="F495" s="1" t="s">
        <v>230</v>
      </c>
      <c r="G495" s="2" t="s">
        <v>275</v>
      </c>
      <c r="H495" s="2" t="s">
        <v>111</v>
      </c>
      <c r="I495" s="2" t="n">
        <v>4</v>
      </c>
      <c r="J495" s="276" t="n">
        <v>73.45</v>
      </c>
      <c r="K495" s="7" t="n">
        <v>623000</v>
      </c>
      <c r="L495" s="6" t="n">
        <f aca="false">K495/J495</f>
        <v>8481.96051735875</v>
      </c>
      <c r="M495" s="1" t="s">
        <v>940</v>
      </c>
      <c r="O495" s="6" t="n">
        <f aca="false">K495+N495</f>
        <v>623000</v>
      </c>
      <c r="P495" s="166" t="n">
        <f aca="false">O495/J495</f>
        <v>8481.96051735875</v>
      </c>
      <c r="S495" s="5" t="s">
        <v>29</v>
      </c>
      <c r="T495" s="5" t="s">
        <v>1915</v>
      </c>
      <c r="U495" s="294" t="s">
        <v>31</v>
      </c>
      <c r="V495" s="203" t="n">
        <v>43709</v>
      </c>
    </row>
    <row r="496" customFormat="false" ht="12.8" hidden="false" customHeight="false" outlineLevel="0" collapsed="false">
      <c r="B496" s="1" t="s">
        <v>5436</v>
      </c>
      <c r="C496" s="3" t="n">
        <v>43488</v>
      </c>
      <c r="D496" s="2" t="s">
        <v>22</v>
      </c>
      <c r="E496" s="2" t="s">
        <v>229</v>
      </c>
      <c r="F496" s="1" t="s">
        <v>230</v>
      </c>
      <c r="G496" s="2" t="s">
        <v>249</v>
      </c>
      <c r="H496" s="2" t="s">
        <v>193</v>
      </c>
      <c r="I496" s="2" t="n">
        <v>4</v>
      </c>
      <c r="J496" s="276" t="n">
        <v>48.43</v>
      </c>
      <c r="K496" s="7" t="n">
        <v>388000</v>
      </c>
      <c r="L496" s="6" t="n">
        <f aca="false">K496/J496</f>
        <v>8011.56308073508</v>
      </c>
      <c r="O496" s="6" t="n">
        <f aca="false">K496+N496</f>
        <v>388000</v>
      </c>
      <c r="P496" s="166" t="n">
        <f aca="false">O496/J496</f>
        <v>8011.56308073508</v>
      </c>
      <c r="S496" s="5" t="s">
        <v>29</v>
      </c>
      <c r="T496" s="5" t="s">
        <v>1915</v>
      </c>
      <c r="U496" s="294" t="s">
        <v>31</v>
      </c>
      <c r="V496" s="203" t="n">
        <v>43709</v>
      </c>
    </row>
    <row r="497" customFormat="false" ht="12.8" hidden="false" customHeight="false" outlineLevel="0" collapsed="false">
      <c r="B497" s="1" t="s">
        <v>5437</v>
      </c>
      <c r="C497" s="3" t="n">
        <v>43488</v>
      </c>
      <c r="D497" s="2" t="s">
        <v>22</v>
      </c>
      <c r="E497" s="2" t="s">
        <v>229</v>
      </c>
      <c r="F497" s="1" t="s">
        <v>230</v>
      </c>
      <c r="G497" s="2" t="s">
        <v>249</v>
      </c>
      <c r="H497" s="2" t="s">
        <v>147</v>
      </c>
      <c r="I497" s="2" t="n">
        <v>7</v>
      </c>
      <c r="J497" s="276" t="n">
        <v>113.27</v>
      </c>
      <c r="K497" s="7" t="n">
        <v>986000</v>
      </c>
      <c r="L497" s="6" t="n">
        <f aca="false">K497/J497</f>
        <v>8704.86448309349</v>
      </c>
      <c r="M497" s="1" t="s">
        <v>5438</v>
      </c>
      <c r="O497" s="6" t="n">
        <f aca="false">K497+N497</f>
        <v>986000</v>
      </c>
      <c r="P497" s="166" t="n">
        <f aca="false">O497/J497</f>
        <v>8704.86448309349</v>
      </c>
      <c r="S497" s="5" t="s">
        <v>29</v>
      </c>
      <c r="T497" s="5" t="s">
        <v>1915</v>
      </c>
      <c r="U497" s="294" t="s">
        <v>31</v>
      </c>
      <c r="V497" s="203" t="n">
        <v>43709</v>
      </c>
    </row>
    <row r="498" customFormat="false" ht="12.8" hidden="false" customHeight="false" outlineLevel="0" collapsed="false">
      <c r="B498" s="1" t="s">
        <v>5439</v>
      </c>
      <c r="C498" s="3" t="n">
        <v>43488</v>
      </c>
      <c r="D498" s="2" t="s">
        <v>22</v>
      </c>
      <c r="E498" s="2" t="s">
        <v>229</v>
      </c>
      <c r="F498" s="1" t="s">
        <v>230</v>
      </c>
      <c r="G498" s="2" t="s">
        <v>249</v>
      </c>
      <c r="H498" s="2" t="s">
        <v>196</v>
      </c>
      <c r="I498" s="2" t="n">
        <v>3</v>
      </c>
      <c r="J498" s="276" t="n">
        <v>42.06</v>
      </c>
      <c r="K498" s="7" t="n">
        <v>372038</v>
      </c>
      <c r="L498" s="6" t="n">
        <f aca="false">K498/J498</f>
        <v>8845.41131716595</v>
      </c>
      <c r="M498" s="1" t="s">
        <v>5155</v>
      </c>
      <c r="O498" s="6" t="n">
        <f aca="false">K498+N498</f>
        <v>372038</v>
      </c>
      <c r="P498" s="166" t="n">
        <f aca="false">O498/J498</f>
        <v>8845.41131716595</v>
      </c>
      <c r="S498" s="5" t="s">
        <v>29</v>
      </c>
      <c r="T498" s="5" t="s">
        <v>1915</v>
      </c>
      <c r="U498" s="294" t="s">
        <v>31</v>
      </c>
      <c r="V498" s="203" t="n">
        <v>43709</v>
      </c>
    </row>
    <row r="499" customFormat="false" ht="12.8" hidden="false" customHeight="false" outlineLevel="0" collapsed="false">
      <c r="B499" s="1" t="s">
        <v>5440</v>
      </c>
      <c r="C499" s="3" t="n">
        <v>43488</v>
      </c>
      <c r="D499" s="2" t="s">
        <v>22</v>
      </c>
      <c r="E499" s="73" t="s">
        <v>962</v>
      </c>
      <c r="F499" s="1" t="s">
        <v>963</v>
      </c>
      <c r="G499" s="2" t="s">
        <v>27</v>
      </c>
      <c r="H499" s="2" t="s">
        <v>193</v>
      </c>
      <c r="I499" s="2" t="n">
        <v>5</v>
      </c>
      <c r="J499" s="276" t="n">
        <v>53.16</v>
      </c>
      <c r="K499" s="7" t="n">
        <v>458000</v>
      </c>
      <c r="L499" s="302" t="n">
        <f aca="false">K499/J499</f>
        <v>8615.50037622273</v>
      </c>
      <c r="M499" s="1" t="s">
        <v>5441</v>
      </c>
      <c r="O499" s="302" t="n">
        <f aca="false">K499+N499</f>
        <v>458000</v>
      </c>
      <c r="P499" s="304" t="n">
        <f aca="false">O499/J499</f>
        <v>8615.50037622273</v>
      </c>
      <c r="S499" s="5" t="s">
        <v>29</v>
      </c>
      <c r="T499" s="5" t="s">
        <v>1915</v>
      </c>
      <c r="U499" s="294" t="s">
        <v>31</v>
      </c>
      <c r="V499" s="203" t="n">
        <v>43709</v>
      </c>
    </row>
    <row r="500" customFormat="false" ht="12.8" hidden="false" customHeight="false" outlineLevel="0" collapsed="false">
      <c r="B500" s="1" t="n">
        <v>305</v>
      </c>
      <c r="C500" s="3" t="n">
        <v>43489</v>
      </c>
      <c r="D500" s="171" t="s">
        <v>22</v>
      </c>
      <c r="E500" s="8" t="s">
        <v>229</v>
      </c>
      <c r="F500" s="1" t="s">
        <v>1722</v>
      </c>
      <c r="G500" s="2" t="s">
        <v>4033</v>
      </c>
      <c r="H500" s="2" t="n">
        <v>154</v>
      </c>
      <c r="I500" s="2" t="n">
        <v>6</v>
      </c>
      <c r="J500" s="276" t="n">
        <v>48.28</v>
      </c>
      <c r="K500" s="6" t="n">
        <v>518200</v>
      </c>
      <c r="L500" s="6" t="n">
        <f aca="false">K500/J500</f>
        <v>10733.2228666114</v>
      </c>
      <c r="M500" s="264" t="s">
        <v>5236</v>
      </c>
      <c r="N500" s="6" t="n">
        <v>51000</v>
      </c>
      <c r="O500" s="6" t="n">
        <f aca="false">K500+N500</f>
        <v>569200</v>
      </c>
      <c r="P500" s="166" t="n">
        <f aca="false">O500/J500</f>
        <v>11789.5608947804</v>
      </c>
      <c r="Q500" s="295"/>
      <c r="R500" s="2" t="s">
        <v>5228</v>
      </c>
      <c r="S500" s="5" t="s">
        <v>29</v>
      </c>
      <c r="T500" s="5" t="s">
        <v>1915</v>
      </c>
      <c r="U500" s="294" t="s">
        <v>31</v>
      </c>
      <c r="V500" s="203" t="n">
        <v>43709</v>
      </c>
      <c r="W500" s="1" t="s">
        <v>5442</v>
      </c>
    </row>
    <row r="501" customFormat="false" ht="12.8" hidden="false" customHeight="false" outlineLevel="0" collapsed="false">
      <c r="B501" s="1" t="n">
        <v>745</v>
      </c>
      <c r="C501" s="3" t="n">
        <v>43489</v>
      </c>
      <c r="D501" s="171" t="s">
        <v>22</v>
      </c>
      <c r="E501" s="8" t="s">
        <v>203</v>
      </c>
      <c r="F501" s="1" t="s">
        <v>1209</v>
      </c>
      <c r="G501" s="2" t="s">
        <v>5227</v>
      </c>
      <c r="H501" s="2" t="n">
        <v>179</v>
      </c>
      <c r="I501" s="2" t="n">
        <v>4</v>
      </c>
      <c r="J501" s="276" t="n">
        <v>86.91</v>
      </c>
      <c r="K501" s="6" t="n">
        <v>948305.78</v>
      </c>
      <c r="L501" s="6" t="n">
        <f aca="false">K501/J501</f>
        <v>10911.3540444138</v>
      </c>
      <c r="M501" s="264" t="s">
        <v>5341</v>
      </c>
      <c r="N501" s="6" t="n">
        <v>61740</v>
      </c>
      <c r="O501" s="6" t="n">
        <f aca="false">K501+N501</f>
        <v>1010045.78</v>
      </c>
      <c r="P501" s="166" t="n">
        <f aca="false">O501/J501</f>
        <v>11621.7441030952</v>
      </c>
      <c r="Q501" s="295"/>
      <c r="R501" s="2" t="s">
        <v>5237</v>
      </c>
      <c r="S501" s="5" t="s">
        <v>29</v>
      </c>
      <c r="T501" s="5" t="s">
        <v>1915</v>
      </c>
      <c r="U501" s="294" t="s">
        <v>31</v>
      </c>
      <c r="V501" s="203" t="n">
        <v>43709</v>
      </c>
      <c r="W501" s="1" t="s">
        <v>5229</v>
      </c>
    </row>
    <row r="502" customFormat="false" ht="12.8" hidden="false" customHeight="false" outlineLevel="0" collapsed="false">
      <c r="B502" s="1" t="n">
        <v>769</v>
      </c>
      <c r="C502" s="3" t="n">
        <v>43489</v>
      </c>
      <c r="D502" s="171" t="s">
        <v>22</v>
      </c>
      <c r="E502" s="8" t="s">
        <v>203</v>
      </c>
      <c r="F502" s="1" t="s">
        <v>1209</v>
      </c>
      <c r="G502" s="2" t="s">
        <v>5227</v>
      </c>
      <c r="H502" s="2" t="n">
        <v>101</v>
      </c>
      <c r="I502" s="2" t="n">
        <v>6</v>
      </c>
      <c r="J502" s="276" t="n">
        <v>61.98</v>
      </c>
      <c r="K502" s="6" t="n">
        <v>579977.85</v>
      </c>
      <c r="L502" s="6" t="n">
        <f aca="false">K502/J502</f>
        <v>9357.5</v>
      </c>
      <c r="M502" s="264" t="s">
        <v>5314</v>
      </c>
      <c r="N502" s="6" t="n">
        <v>36169</v>
      </c>
      <c r="O502" s="6" t="n">
        <f aca="false">K502+N502</f>
        <v>616146.85</v>
      </c>
      <c r="P502" s="166" t="n">
        <f aca="false">O502/J502</f>
        <v>9941.05921264924</v>
      </c>
      <c r="Q502" s="295"/>
      <c r="R502" s="2" t="s">
        <v>5225</v>
      </c>
      <c r="S502" s="5" t="s">
        <v>29</v>
      </c>
      <c r="T502" s="5" t="s">
        <v>1915</v>
      </c>
      <c r="U502" s="294" t="s">
        <v>31</v>
      </c>
      <c r="V502" s="203" t="n">
        <v>43709</v>
      </c>
      <c r="W502" s="1" t="s">
        <v>5229</v>
      </c>
    </row>
    <row r="503" customFormat="false" ht="12.8" hidden="false" customHeight="false" outlineLevel="0" collapsed="false">
      <c r="B503" s="1" t="s">
        <v>5443</v>
      </c>
      <c r="C503" s="3" t="n">
        <v>43489</v>
      </c>
      <c r="D503" s="2" t="s">
        <v>22</v>
      </c>
      <c r="E503" s="306" t="s">
        <v>3085</v>
      </c>
      <c r="F503" s="1" t="s">
        <v>3086</v>
      </c>
      <c r="G503" s="2" t="s">
        <v>1567</v>
      </c>
      <c r="H503" s="2" t="s">
        <v>336</v>
      </c>
      <c r="I503" s="2" t="n">
        <v>2</v>
      </c>
      <c r="J503" s="276" t="n">
        <v>41.91</v>
      </c>
      <c r="K503" s="7" t="n">
        <v>339469.77</v>
      </c>
      <c r="L503" s="6" t="n">
        <f aca="false">K503/J503</f>
        <v>8099.97065139585</v>
      </c>
      <c r="O503" s="6" t="n">
        <f aca="false">K503+N503</f>
        <v>339469.77</v>
      </c>
      <c r="P503" s="166" t="n">
        <f aca="false">O503/J503</f>
        <v>8099.97065139585</v>
      </c>
      <c r="S503" s="5" t="s">
        <v>29</v>
      </c>
      <c r="T503" s="5" t="s">
        <v>1915</v>
      </c>
      <c r="U503" s="294" t="s">
        <v>31</v>
      </c>
      <c r="V503" s="203" t="n">
        <v>43709</v>
      </c>
    </row>
    <row r="504" customFormat="false" ht="12.8" hidden="false" customHeight="false" outlineLevel="0" collapsed="false">
      <c r="B504" s="1" t="s">
        <v>5444</v>
      </c>
      <c r="C504" s="3" t="n">
        <v>43489</v>
      </c>
      <c r="D504" s="2" t="s">
        <v>22</v>
      </c>
      <c r="E504" s="306" t="s">
        <v>3085</v>
      </c>
      <c r="F504" s="1" t="s">
        <v>3086</v>
      </c>
      <c r="G504" s="2" t="s">
        <v>82</v>
      </c>
      <c r="H504" s="2" t="s">
        <v>341</v>
      </c>
      <c r="I504" s="2" t="n">
        <v>8</v>
      </c>
      <c r="J504" s="276" t="n">
        <v>31.2</v>
      </c>
      <c r="K504" s="7" t="n">
        <v>288571.53</v>
      </c>
      <c r="L504" s="6" t="n">
        <f aca="false">K504/J504</f>
        <v>9249.0875</v>
      </c>
      <c r="O504" s="6" t="n">
        <f aca="false">K504+N504</f>
        <v>288571.53</v>
      </c>
      <c r="P504" s="166" t="n">
        <f aca="false">O504/J504</f>
        <v>9249.0875</v>
      </c>
      <c r="S504" s="5" t="s">
        <v>29</v>
      </c>
      <c r="T504" s="5" t="s">
        <v>1915</v>
      </c>
      <c r="U504" s="294" t="s">
        <v>31</v>
      </c>
      <c r="V504" s="203" t="n">
        <v>43709</v>
      </c>
    </row>
    <row r="505" customFormat="false" ht="12.8" hidden="false" customHeight="false" outlineLevel="0" collapsed="false">
      <c r="B505" s="1" t="s">
        <v>5445</v>
      </c>
      <c r="C505" s="3" t="n">
        <v>43489</v>
      </c>
      <c r="D505" s="2" t="s">
        <v>22</v>
      </c>
      <c r="E505" s="306" t="s">
        <v>3085</v>
      </c>
      <c r="F505" s="1" t="s">
        <v>3086</v>
      </c>
      <c r="G505" s="2" t="s">
        <v>101</v>
      </c>
      <c r="H505" s="2" t="s">
        <v>396</v>
      </c>
      <c r="I505" s="2" t="n">
        <v>3</v>
      </c>
      <c r="J505" s="276" t="n">
        <v>80.2</v>
      </c>
      <c r="K505" s="7" t="n">
        <v>652081.57</v>
      </c>
      <c r="L505" s="6" t="n">
        <f aca="false">K505/J505</f>
        <v>8130.69289276808</v>
      </c>
      <c r="M505" s="1" t="s">
        <v>1739</v>
      </c>
      <c r="O505" s="6" t="n">
        <f aca="false">K505+N505</f>
        <v>652081.57</v>
      </c>
      <c r="P505" s="166" t="n">
        <f aca="false">O505/J505</f>
        <v>8130.69289276808</v>
      </c>
      <c r="S505" s="5" t="s">
        <v>29</v>
      </c>
      <c r="T505" s="5" t="s">
        <v>1915</v>
      </c>
      <c r="U505" s="294" t="s">
        <v>31</v>
      </c>
      <c r="V505" s="203" t="n">
        <v>43709</v>
      </c>
    </row>
    <row r="506" customFormat="false" ht="12.8" hidden="false" customHeight="false" outlineLevel="0" collapsed="false">
      <c r="B506" s="1" t="s">
        <v>5446</v>
      </c>
      <c r="C506" s="3" t="n">
        <v>43489</v>
      </c>
      <c r="D506" s="2" t="s">
        <v>22</v>
      </c>
      <c r="E506" s="306" t="s">
        <v>3085</v>
      </c>
      <c r="F506" s="1" t="s">
        <v>3086</v>
      </c>
      <c r="G506" s="2" t="s">
        <v>101</v>
      </c>
      <c r="H506" s="2" t="s">
        <v>657</v>
      </c>
      <c r="I506" s="2" t="n">
        <v>4</v>
      </c>
      <c r="J506" s="276" t="n">
        <v>80.07</v>
      </c>
      <c r="K506" s="7" t="n">
        <v>564563.75</v>
      </c>
      <c r="L506" s="6" t="n">
        <f aca="false">K506/J506</f>
        <v>7050.87735731235</v>
      </c>
      <c r="O506" s="6" t="n">
        <f aca="false">K506+N506</f>
        <v>564563.75</v>
      </c>
      <c r="P506" s="166" t="n">
        <f aca="false">O506/J506</f>
        <v>7050.87735731235</v>
      </c>
      <c r="S506" s="5" t="s">
        <v>29</v>
      </c>
      <c r="T506" s="5" t="s">
        <v>1915</v>
      </c>
      <c r="U506" s="294" t="s">
        <v>31</v>
      </c>
      <c r="V506" s="203" t="n">
        <v>43709</v>
      </c>
    </row>
    <row r="507" customFormat="false" ht="12.8" hidden="false" customHeight="false" outlineLevel="0" collapsed="false">
      <c r="B507" s="1" t="s">
        <v>5447</v>
      </c>
      <c r="C507" s="3" t="n">
        <v>43489</v>
      </c>
      <c r="D507" s="2" t="s">
        <v>22</v>
      </c>
      <c r="E507" s="306" t="s">
        <v>3085</v>
      </c>
      <c r="F507" s="1" t="s">
        <v>3086</v>
      </c>
      <c r="G507" s="2" t="s">
        <v>101</v>
      </c>
      <c r="H507" s="2" t="s">
        <v>143</v>
      </c>
      <c r="I507" s="2" t="n">
        <v>4</v>
      </c>
      <c r="J507" s="276" t="n">
        <v>63.61</v>
      </c>
      <c r="K507" s="7" t="n">
        <v>486249.55</v>
      </c>
      <c r="L507" s="6" t="n">
        <f aca="false">K507/J507</f>
        <v>7644.23125294765</v>
      </c>
      <c r="O507" s="6" t="n">
        <f aca="false">K507+N507</f>
        <v>486249.55</v>
      </c>
      <c r="P507" s="166" t="n">
        <f aca="false">O507/J507</f>
        <v>7644.23125294765</v>
      </c>
      <c r="S507" s="5" t="s">
        <v>29</v>
      </c>
      <c r="T507" s="5" t="s">
        <v>1915</v>
      </c>
      <c r="U507" s="294" t="s">
        <v>31</v>
      </c>
      <c r="V507" s="203" t="n">
        <v>43709</v>
      </c>
    </row>
    <row r="508" customFormat="false" ht="12.8" hidden="false" customHeight="false" outlineLevel="0" collapsed="false">
      <c r="B508" s="1" t="s">
        <v>5448</v>
      </c>
      <c r="C508" s="3" t="n">
        <v>43489</v>
      </c>
      <c r="D508" s="2" t="s">
        <v>22</v>
      </c>
      <c r="E508" s="2" t="s">
        <v>229</v>
      </c>
      <c r="F508" s="1" t="s">
        <v>230</v>
      </c>
      <c r="G508" s="2" t="s">
        <v>3498</v>
      </c>
      <c r="H508" s="2" t="s">
        <v>141</v>
      </c>
      <c r="I508" s="2" t="n">
        <v>4</v>
      </c>
      <c r="J508" s="276" t="n">
        <v>73.74</v>
      </c>
      <c r="K508" s="7" t="n">
        <v>620000</v>
      </c>
      <c r="L508" s="6" t="n">
        <f aca="false">K508/J508</f>
        <v>8407.91971792785</v>
      </c>
      <c r="M508" s="1" t="s">
        <v>940</v>
      </c>
      <c r="O508" s="6" t="n">
        <f aca="false">K508+N508</f>
        <v>620000</v>
      </c>
      <c r="P508" s="166" t="n">
        <f aca="false">O508/J508</f>
        <v>8407.91971792785</v>
      </c>
      <c r="S508" s="5" t="s">
        <v>29</v>
      </c>
      <c r="T508" s="5" t="s">
        <v>1915</v>
      </c>
      <c r="U508" s="294" t="s">
        <v>31</v>
      </c>
      <c r="V508" s="203" t="n">
        <v>43709</v>
      </c>
    </row>
    <row r="509" customFormat="false" ht="12.8" hidden="false" customHeight="false" outlineLevel="0" collapsed="false">
      <c r="B509" s="1" t="s">
        <v>5449</v>
      </c>
      <c r="C509" s="3" t="n">
        <v>43489</v>
      </c>
      <c r="D509" s="2" t="s">
        <v>22</v>
      </c>
      <c r="E509" s="2" t="s">
        <v>229</v>
      </c>
      <c r="F509" s="1" t="s">
        <v>230</v>
      </c>
      <c r="G509" s="2" t="s">
        <v>3498</v>
      </c>
      <c r="H509" s="2" t="s">
        <v>68</v>
      </c>
      <c r="I509" s="2" t="n">
        <v>3</v>
      </c>
      <c r="J509" s="276" t="n">
        <v>63.49</v>
      </c>
      <c r="K509" s="7" t="n">
        <v>541652.88</v>
      </c>
      <c r="L509" s="6" t="n">
        <f aca="false">K509/J509</f>
        <v>8531.31012757915</v>
      </c>
      <c r="M509" s="1" t="s">
        <v>5155</v>
      </c>
      <c r="O509" s="6" t="n">
        <f aca="false">K509+N509</f>
        <v>541652.88</v>
      </c>
      <c r="P509" s="166" t="n">
        <f aca="false">O509/J509</f>
        <v>8531.31012757915</v>
      </c>
      <c r="S509" s="5" t="s">
        <v>29</v>
      </c>
      <c r="T509" s="5" t="s">
        <v>1915</v>
      </c>
      <c r="U509" s="294" t="s">
        <v>31</v>
      </c>
      <c r="V509" s="203" t="n">
        <v>43709</v>
      </c>
    </row>
    <row r="510" customFormat="false" ht="12.8" hidden="false" customHeight="false" outlineLevel="0" collapsed="false">
      <c r="B510" s="1" t="s">
        <v>5450</v>
      </c>
      <c r="C510" s="3" t="n">
        <v>43489</v>
      </c>
      <c r="D510" s="2" t="s">
        <v>22</v>
      </c>
      <c r="E510" s="2" t="s">
        <v>229</v>
      </c>
      <c r="F510" s="1" t="s">
        <v>230</v>
      </c>
      <c r="G510" s="2" t="s">
        <v>249</v>
      </c>
      <c r="H510" s="2" t="s">
        <v>83</v>
      </c>
      <c r="I510" s="2" t="n">
        <v>6</v>
      </c>
      <c r="J510" s="276" t="n">
        <v>91.46</v>
      </c>
      <c r="K510" s="7" t="n">
        <v>761520</v>
      </c>
      <c r="L510" s="6" t="n">
        <f aca="false">K510/J510</f>
        <v>8326.26284714629</v>
      </c>
      <c r="M510" s="1" t="s">
        <v>5155</v>
      </c>
      <c r="O510" s="6" t="n">
        <f aca="false">K510+N510</f>
        <v>761520</v>
      </c>
      <c r="P510" s="166" t="n">
        <f aca="false">O510/J510</f>
        <v>8326.26284714629</v>
      </c>
      <c r="S510" s="5" t="s">
        <v>29</v>
      </c>
      <c r="T510" s="5" t="s">
        <v>1915</v>
      </c>
      <c r="U510" s="294" t="s">
        <v>31</v>
      </c>
      <c r="V510" s="203" t="n">
        <v>43709</v>
      </c>
    </row>
    <row r="511" customFormat="false" ht="12.8" hidden="false" customHeight="false" outlineLevel="0" collapsed="false">
      <c r="B511" s="1" t="s">
        <v>5451</v>
      </c>
      <c r="C511" s="3" t="n">
        <v>43489</v>
      </c>
      <c r="D511" s="2" t="s">
        <v>22</v>
      </c>
      <c r="E511" s="2" t="s">
        <v>229</v>
      </c>
      <c r="F511" s="1" t="s">
        <v>230</v>
      </c>
      <c r="G511" s="2" t="s">
        <v>275</v>
      </c>
      <c r="H511" s="2" t="s">
        <v>222</v>
      </c>
      <c r="I511" s="2" t="n">
        <v>3</v>
      </c>
      <c r="J511" s="276" t="n">
        <v>70.86</v>
      </c>
      <c r="K511" s="7" t="n">
        <v>635516</v>
      </c>
      <c r="L511" s="6" t="n">
        <f aca="false">K511/J511</f>
        <v>8968.61416878352</v>
      </c>
      <c r="M511" s="1" t="s">
        <v>2431</v>
      </c>
      <c r="O511" s="6" t="n">
        <f aca="false">K511+N511</f>
        <v>635516</v>
      </c>
      <c r="P511" s="166" t="n">
        <f aca="false">O511/J511</f>
        <v>8968.61416878352</v>
      </c>
      <c r="S511" s="5" t="s">
        <v>29</v>
      </c>
      <c r="T511" s="5" t="s">
        <v>1915</v>
      </c>
      <c r="U511" s="294" t="s">
        <v>31</v>
      </c>
      <c r="V511" s="203" t="n">
        <v>43709</v>
      </c>
    </row>
    <row r="512" customFormat="false" ht="12.8" hidden="false" customHeight="false" outlineLevel="0" collapsed="false">
      <c r="B512" s="1" t="s">
        <v>5452</v>
      </c>
      <c r="C512" s="3" t="n">
        <v>43489</v>
      </c>
      <c r="D512" s="2" t="s">
        <v>22</v>
      </c>
      <c r="E512" s="2" t="s">
        <v>229</v>
      </c>
      <c r="F512" s="1" t="s">
        <v>230</v>
      </c>
      <c r="G512" s="2" t="s">
        <v>275</v>
      </c>
      <c r="H512" s="2" t="s">
        <v>95</v>
      </c>
      <c r="I512" s="2" t="n">
        <v>6</v>
      </c>
      <c r="J512" s="276" t="n">
        <v>53.46</v>
      </c>
      <c r="K512" s="7" t="n">
        <v>472086.17</v>
      </c>
      <c r="L512" s="6" t="n">
        <f aca="false">K512/J512</f>
        <v>8830.64291058735</v>
      </c>
      <c r="M512" s="1" t="s">
        <v>5155</v>
      </c>
      <c r="O512" s="6" t="n">
        <f aca="false">K512+N512</f>
        <v>472086.17</v>
      </c>
      <c r="P512" s="166" t="n">
        <f aca="false">O512/J512</f>
        <v>8830.64291058735</v>
      </c>
      <c r="S512" s="5" t="s">
        <v>29</v>
      </c>
      <c r="T512" s="5" t="s">
        <v>1915</v>
      </c>
      <c r="U512" s="294" t="s">
        <v>31</v>
      </c>
      <c r="V512" s="203" t="n">
        <v>43709</v>
      </c>
    </row>
    <row r="513" customFormat="false" ht="12.8" hidden="false" customHeight="false" outlineLevel="0" collapsed="false">
      <c r="B513" s="1" t="s">
        <v>5453</v>
      </c>
      <c r="C513" s="3" t="n">
        <v>43489</v>
      </c>
      <c r="D513" s="2" t="s">
        <v>22</v>
      </c>
      <c r="E513" s="2" t="s">
        <v>229</v>
      </c>
      <c r="F513" s="1" t="s">
        <v>230</v>
      </c>
      <c r="G513" s="2" t="s">
        <v>249</v>
      </c>
      <c r="H513" s="2" t="s">
        <v>226</v>
      </c>
      <c r="I513" s="2" t="n">
        <v>5</v>
      </c>
      <c r="J513" s="276" t="n">
        <v>45.06</v>
      </c>
      <c r="K513" s="7" t="n">
        <v>397177.84</v>
      </c>
      <c r="L513" s="6" t="n">
        <f aca="false">K513/J513</f>
        <v>8814.42166000888</v>
      </c>
      <c r="M513" s="1" t="s">
        <v>5155</v>
      </c>
      <c r="O513" s="6" t="n">
        <f aca="false">K513+N513</f>
        <v>397177.84</v>
      </c>
      <c r="P513" s="166" t="n">
        <f aca="false">O513/J513</f>
        <v>8814.42166000888</v>
      </c>
      <c r="S513" s="5" t="s">
        <v>29</v>
      </c>
      <c r="T513" s="5" t="s">
        <v>1915</v>
      </c>
      <c r="U513" s="294" t="s">
        <v>31</v>
      </c>
      <c r="V513" s="203" t="n">
        <v>43709</v>
      </c>
    </row>
    <row r="514" customFormat="false" ht="12.8" hidden="false" customHeight="false" outlineLevel="0" collapsed="false">
      <c r="B514" s="1" t="s">
        <v>5454</v>
      </c>
      <c r="C514" s="3" t="n">
        <v>43489</v>
      </c>
      <c r="D514" s="2" t="s">
        <v>22</v>
      </c>
      <c r="E514" s="2" t="s">
        <v>229</v>
      </c>
      <c r="F514" s="1" t="s">
        <v>230</v>
      </c>
      <c r="G514" s="2" t="s">
        <v>249</v>
      </c>
      <c r="H514" s="2" t="s">
        <v>618</v>
      </c>
      <c r="I514" s="2" t="n">
        <v>2</v>
      </c>
      <c r="J514" s="276" t="n">
        <v>45.84</v>
      </c>
      <c r="K514" s="7" t="n">
        <v>417000</v>
      </c>
      <c r="L514" s="6" t="n">
        <f aca="false">K514/J514</f>
        <v>9096.85863874346</v>
      </c>
      <c r="M514" s="1" t="s">
        <v>940</v>
      </c>
      <c r="O514" s="6" t="n">
        <f aca="false">K514+N514</f>
        <v>417000</v>
      </c>
      <c r="P514" s="166" t="n">
        <f aca="false">O514/J514</f>
        <v>9096.85863874346</v>
      </c>
      <c r="S514" s="5" t="s">
        <v>29</v>
      </c>
      <c r="T514" s="5" t="s">
        <v>1915</v>
      </c>
      <c r="U514" s="294" t="s">
        <v>31</v>
      </c>
      <c r="V514" s="203" t="n">
        <v>43709</v>
      </c>
    </row>
    <row r="515" customFormat="false" ht="12.8" hidden="false" customHeight="false" outlineLevel="0" collapsed="false">
      <c r="B515" s="1" t="s">
        <v>5455</v>
      </c>
      <c r="C515" s="3" t="n">
        <v>43489</v>
      </c>
      <c r="D515" s="2" t="s">
        <v>22</v>
      </c>
      <c r="E515" s="2" t="s">
        <v>229</v>
      </c>
      <c r="F515" s="1" t="s">
        <v>230</v>
      </c>
      <c r="G515" s="2" t="s">
        <v>249</v>
      </c>
      <c r="H515" s="2" t="s">
        <v>336</v>
      </c>
      <c r="I515" s="2" t="n">
        <v>1</v>
      </c>
      <c r="J515" s="276" t="n">
        <v>39.75</v>
      </c>
      <c r="K515" s="7" t="n">
        <v>366368</v>
      </c>
      <c r="L515" s="6" t="n">
        <f aca="false">K515/J515</f>
        <v>9216.80503144654</v>
      </c>
      <c r="M515" s="1" t="s">
        <v>1739</v>
      </c>
      <c r="O515" s="6" t="n">
        <f aca="false">K515+N515</f>
        <v>366368</v>
      </c>
      <c r="P515" s="166" t="n">
        <f aca="false">O515/J515</f>
        <v>9216.80503144654</v>
      </c>
      <c r="S515" s="5" t="s">
        <v>29</v>
      </c>
      <c r="T515" s="5" t="s">
        <v>1915</v>
      </c>
      <c r="U515" s="294" t="s">
        <v>31</v>
      </c>
      <c r="V515" s="203" t="n">
        <v>43709</v>
      </c>
    </row>
    <row r="516" customFormat="false" ht="12.8" hidden="false" customHeight="false" outlineLevel="0" collapsed="false">
      <c r="B516" s="1" t="s">
        <v>5456</v>
      </c>
      <c r="C516" s="3" t="n">
        <v>43489</v>
      </c>
      <c r="D516" s="2" t="s">
        <v>22</v>
      </c>
      <c r="E516" s="2" t="s">
        <v>3085</v>
      </c>
      <c r="F516" s="1" t="s">
        <v>323</v>
      </c>
      <c r="G516" s="2" t="s">
        <v>115</v>
      </c>
      <c r="H516" s="2" t="s">
        <v>180</v>
      </c>
      <c r="I516" s="2" t="n">
        <v>8</v>
      </c>
      <c r="J516" s="276" t="n">
        <v>44.5</v>
      </c>
      <c r="K516" s="7" t="n">
        <v>427559.22</v>
      </c>
      <c r="L516" s="302" t="n">
        <f aca="false">K516/J516</f>
        <v>9608.07235955056</v>
      </c>
      <c r="O516" s="6" t="n">
        <f aca="false">K516+N516</f>
        <v>427559.22</v>
      </c>
      <c r="P516" s="166" t="n">
        <f aca="false">O516/J516</f>
        <v>9608.07235955056</v>
      </c>
      <c r="S516" s="5" t="s">
        <v>29</v>
      </c>
      <c r="T516" s="5" t="s">
        <v>1915</v>
      </c>
      <c r="U516" s="294" t="s">
        <v>31</v>
      </c>
      <c r="V516" s="203" t="n">
        <v>43709</v>
      </c>
    </row>
    <row r="517" customFormat="false" ht="12.8" hidden="false" customHeight="false" outlineLevel="0" collapsed="false">
      <c r="B517" s="1" t="n">
        <v>738</v>
      </c>
      <c r="C517" s="3" t="n">
        <v>43490</v>
      </c>
      <c r="D517" s="171" t="s">
        <v>22</v>
      </c>
      <c r="E517" s="222" t="s">
        <v>962</v>
      </c>
      <c r="F517" s="1" t="s">
        <v>963</v>
      </c>
      <c r="G517" s="2" t="n">
        <v>4</v>
      </c>
      <c r="H517" s="2" t="n">
        <v>7</v>
      </c>
      <c r="I517" s="2" t="n">
        <v>3</v>
      </c>
      <c r="J517" s="276" t="n">
        <v>49.25</v>
      </c>
      <c r="K517" s="6" t="n">
        <v>495000</v>
      </c>
      <c r="L517" s="6" t="n">
        <f aca="false">K517/J517</f>
        <v>10050.7614213198</v>
      </c>
      <c r="M517" s="264" t="s">
        <v>5244</v>
      </c>
      <c r="N517" s="6"/>
      <c r="O517" s="6" t="n">
        <f aca="false">K517+N517</f>
        <v>495000</v>
      </c>
      <c r="P517" s="166" t="n">
        <f aca="false">O517/J517</f>
        <v>10050.7614213198</v>
      </c>
      <c r="Q517" s="295"/>
      <c r="R517" s="2" t="s">
        <v>5228</v>
      </c>
      <c r="S517" s="5" t="s">
        <v>29</v>
      </c>
      <c r="T517" s="5" t="s">
        <v>1915</v>
      </c>
      <c r="U517" s="294" t="s">
        <v>31</v>
      </c>
      <c r="V517" s="203" t="n">
        <v>43709</v>
      </c>
      <c r="W517" s="1" t="s">
        <v>5457</v>
      </c>
    </row>
    <row r="518" customFormat="false" ht="12.8" hidden="false" customHeight="false" outlineLevel="0" collapsed="false">
      <c r="B518" s="1" t="n">
        <v>382</v>
      </c>
      <c r="C518" s="3" t="n">
        <v>43490</v>
      </c>
      <c r="D518" s="171" t="s">
        <v>22</v>
      </c>
      <c r="E518" s="222" t="s">
        <v>407</v>
      </c>
      <c r="F518" s="1" t="s">
        <v>4919</v>
      </c>
      <c r="G518" s="2" t="n">
        <v>1</v>
      </c>
      <c r="H518" s="2" t="n">
        <v>4</v>
      </c>
      <c r="I518" s="2" t="n">
        <v>2</v>
      </c>
      <c r="J518" s="276" t="n">
        <v>134.93</v>
      </c>
      <c r="K518" s="6" t="n">
        <v>1534532</v>
      </c>
      <c r="L518" s="6" t="n">
        <f aca="false">K518/J518</f>
        <v>11372.80071148</v>
      </c>
      <c r="M518" s="264" t="s">
        <v>5244</v>
      </c>
      <c r="N518" s="6"/>
      <c r="O518" s="6" t="n">
        <f aca="false">K518+N518</f>
        <v>1534532</v>
      </c>
      <c r="P518" s="166" t="n">
        <f aca="false">O518/J518</f>
        <v>11372.80071148</v>
      </c>
      <c r="Q518" s="295"/>
      <c r="R518" s="2" t="s">
        <v>5458</v>
      </c>
      <c r="S518" s="5" t="s">
        <v>29</v>
      </c>
      <c r="T518" s="5" t="s">
        <v>1915</v>
      </c>
      <c r="U518" s="294" t="s">
        <v>31</v>
      </c>
      <c r="V518" s="203" t="n">
        <v>43709</v>
      </c>
      <c r="W518" s="1" t="s">
        <v>5017</v>
      </c>
    </row>
    <row r="519" customFormat="false" ht="12.8" hidden="false" customHeight="false" outlineLevel="0" collapsed="false">
      <c r="B519" s="1" t="s">
        <v>5459</v>
      </c>
      <c r="C519" s="3" t="n">
        <v>43490</v>
      </c>
      <c r="D519" s="2" t="s">
        <v>22</v>
      </c>
      <c r="E519" s="2" t="s">
        <v>229</v>
      </c>
      <c r="F519" s="1" t="s">
        <v>230</v>
      </c>
      <c r="G519" s="2" t="s">
        <v>193</v>
      </c>
      <c r="H519" s="2" t="s">
        <v>870</v>
      </c>
      <c r="I519" s="2" t="n">
        <v>3</v>
      </c>
      <c r="J519" s="276" t="n">
        <v>109.32</v>
      </c>
      <c r="K519" s="7" t="n">
        <v>940000</v>
      </c>
      <c r="L519" s="6" t="n">
        <f aca="false">K519/J519</f>
        <v>8598.60958653494</v>
      </c>
      <c r="M519" s="1" t="s">
        <v>5460</v>
      </c>
      <c r="O519" s="6" t="n">
        <f aca="false">K519+N519</f>
        <v>940000</v>
      </c>
      <c r="P519" s="166" t="n">
        <f aca="false">O519/J519</f>
        <v>8598.60958653494</v>
      </c>
      <c r="S519" s="5" t="s">
        <v>29</v>
      </c>
      <c r="T519" s="5" t="s">
        <v>1915</v>
      </c>
      <c r="U519" s="294" t="s">
        <v>31</v>
      </c>
      <c r="V519" s="203" t="n">
        <v>43709</v>
      </c>
    </row>
    <row r="520" s="32" customFormat="true" ht="15.65" hidden="false" customHeight="true" outlineLevel="0" collapsed="false">
      <c r="A520" s="1"/>
      <c r="B520" s="73" t="s">
        <v>5461</v>
      </c>
      <c r="C520" s="185" t="n">
        <v>43490</v>
      </c>
      <c r="D520" s="80" t="s">
        <v>22</v>
      </c>
      <c r="E520" s="73" t="s">
        <v>5416</v>
      </c>
      <c r="F520" s="72" t="s">
        <v>2354</v>
      </c>
      <c r="G520" s="73" t="s">
        <v>217</v>
      </c>
      <c r="H520" s="73" t="s">
        <v>763</v>
      </c>
      <c r="I520" s="73" t="n">
        <v>11</v>
      </c>
      <c r="J520" s="74" t="n">
        <v>96.73</v>
      </c>
      <c r="K520" s="75" t="n">
        <v>1255000</v>
      </c>
      <c r="L520" s="302" t="n">
        <f aca="false">K520/J520</f>
        <v>12974.2582445984</v>
      </c>
      <c r="M520" s="32" t="s">
        <v>1739</v>
      </c>
      <c r="N520" s="293"/>
      <c r="O520" s="302" t="n">
        <f aca="false">K520+N520</f>
        <v>1255000</v>
      </c>
      <c r="P520" s="304" t="n">
        <f aca="false">O520/J520</f>
        <v>12974.2582445984</v>
      </c>
      <c r="R520" s="80"/>
      <c r="S520" s="73" t="s">
        <v>29</v>
      </c>
      <c r="T520" s="73" t="s">
        <v>1915</v>
      </c>
      <c r="U520" s="307" t="s">
        <v>31</v>
      </c>
      <c r="V520" s="308" t="n">
        <v>43709</v>
      </c>
    </row>
    <row r="521" customFormat="false" ht="12.8" hidden="false" customHeight="false" outlineLevel="0" collapsed="false">
      <c r="B521" s="73" t="s">
        <v>5462</v>
      </c>
      <c r="C521" s="185" t="n">
        <v>43493</v>
      </c>
      <c r="D521" s="80" t="s">
        <v>22</v>
      </c>
      <c r="E521" s="73" t="s">
        <v>962</v>
      </c>
      <c r="F521" s="72" t="s">
        <v>5326</v>
      </c>
      <c r="G521" s="73" t="s">
        <v>36</v>
      </c>
      <c r="H521" s="73" t="s">
        <v>778</v>
      </c>
      <c r="I521" s="73" t="n">
        <v>6</v>
      </c>
      <c r="J521" s="74" t="n">
        <v>63.24</v>
      </c>
      <c r="K521" s="75" t="n">
        <v>600000</v>
      </c>
      <c r="L521" s="302" t="n">
        <f aca="false">K521/J521</f>
        <v>9487.6660341556</v>
      </c>
      <c r="M521" s="32" t="s">
        <v>940</v>
      </c>
      <c r="N521" s="293"/>
      <c r="O521" s="302" t="n">
        <f aca="false">K521+N521</f>
        <v>600000</v>
      </c>
      <c r="P521" s="304" t="n">
        <f aca="false">O521/J521</f>
        <v>9487.6660341556</v>
      </c>
      <c r="Q521" s="32"/>
      <c r="R521" s="80"/>
      <c r="S521" s="5" t="s">
        <v>29</v>
      </c>
      <c r="T521" s="5" t="s">
        <v>1915</v>
      </c>
      <c r="U521" s="294" t="s">
        <v>31</v>
      </c>
      <c r="V521" s="203" t="n">
        <v>43709</v>
      </c>
    </row>
    <row r="522" customFormat="false" ht="12.8" hidden="false" customHeight="false" outlineLevel="0" collapsed="false">
      <c r="B522" s="1" t="n">
        <v>3070</v>
      </c>
      <c r="C522" s="3" t="n">
        <v>43494</v>
      </c>
      <c r="D522" s="171" t="s">
        <v>22</v>
      </c>
      <c r="E522" s="8" t="s">
        <v>3085</v>
      </c>
      <c r="F522" s="1" t="s">
        <v>3086</v>
      </c>
      <c r="G522" s="2" t="n">
        <v>7</v>
      </c>
      <c r="H522" s="2" t="n">
        <v>43</v>
      </c>
      <c r="I522" s="2" t="n">
        <v>4</v>
      </c>
      <c r="J522" s="276" t="n">
        <v>42.06</v>
      </c>
      <c r="K522" s="6" t="n">
        <v>370786.43</v>
      </c>
      <c r="L522" s="6" t="n">
        <f aca="false">K522/J522</f>
        <v>8815.65454113172</v>
      </c>
      <c r="M522" s="264" t="s">
        <v>987</v>
      </c>
      <c r="N522" s="6" t="n">
        <v>26891.86</v>
      </c>
      <c r="O522" s="6" t="n">
        <f aca="false">K522+N522</f>
        <v>397678.29</v>
      </c>
      <c r="P522" s="166" t="n">
        <f aca="false">O522/J522</f>
        <v>9455.02353780314</v>
      </c>
      <c r="Q522" s="295"/>
      <c r="R522" s="2" t="s">
        <v>5034</v>
      </c>
      <c r="S522" s="5" t="s">
        <v>29</v>
      </c>
      <c r="T522" s="5" t="s">
        <v>1915</v>
      </c>
      <c r="U522" s="294" t="s">
        <v>31</v>
      </c>
      <c r="V522" s="203" t="n">
        <v>43709</v>
      </c>
      <c r="W522" s="1" t="s">
        <v>5201</v>
      </c>
    </row>
    <row r="523" customFormat="false" ht="12.8" hidden="false" customHeight="false" outlineLevel="0" collapsed="false">
      <c r="B523" s="1" t="n">
        <v>824</v>
      </c>
      <c r="C523" s="3" t="n">
        <v>43494</v>
      </c>
      <c r="D523" s="171" t="s">
        <v>22</v>
      </c>
      <c r="E523" s="8" t="s">
        <v>229</v>
      </c>
      <c r="F523" s="1" t="s">
        <v>230</v>
      </c>
      <c r="G523" s="2" t="n">
        <v>57</v>
      </c>
      <c r="H523" s="2" t="n">
        <v>31</v>
      </c>
      <c r="I523" s="2" t="n">
        <v>2</v>
      </c>
      <c r="J523" s="276" t="n">
        <v>50.27</v>
      </c>
      <c r="K523" s="6" t="n">
        <v>428975</v>
      </c>
      <c r="L523" s="6" t="n">
        <f aca="false">K523/J523</f>
        <v>8533.41953451363</v>
      </c>
      <c r="M523" s="264" t="s">
        <v>3302</v>
      </c>
      <c r="N523" s="6"/>
      <c r="O523" s="6" t="n">
        <f aca="false">K523+N523</f>
        <v>428975</v>
      </c>
      <c r="P523" s="166" t="n">
        <f aca="false">O523/J523</f>
        <v>8533.41953451363</v>
      </c>
      <c r="Q523" s="295"/>
      <c r="R523" s="2" t="s">
        <v>5228</v>
      </c>
      <c r="S523" s="5" t="s">
        <v>29</v>
      </c>
      <c r="T523" s="5" t="s">
        <v>1915</v>
      </c>
      <c r="U523" s="294" t="s">
        <v>31</v>
      </c>
      <c r="V523" s="203" t="n">
        <v>43709</v>
      </c>
      <c r="W523" s="1" t="s">
        <v>5151</v>
      </c>
    </row>
    <row r="524" customFormat="false" ht="12.8" hidden="false" customHeight="false" outlineLevel="0" collapsed="false">
      <c r="B524" s="1" t="n">
        <v>425</v>
      </c>
      <c r="C524" s="3" t="n">
        <v>43494</v>
      </c>
      <c r="D524" s="171" t="s">
        <v>22</v>
      </c>
      <c r="E524" s="8" t="s">
        <v>229</v>
      </c>
      <c r="F524" s="1" t="s">
        <v>1722</v>
      </c>
      <c r="G524" s="2" t="s">
        <v>4033</v>
      </c>
      <c r="H524" s="2" t="n">
        <v>205</v>
      </c>
      <c r="I524" s="2" t="n">
        <v>5</v>
      </c>
      <c r="J524" s="276" t="n">
        <v>48.84</v>
      </c>
      <c r="K524" s="6" t="n">
        <v>447996.16</v>
      </c>
      <c r="L524" s="6" t="n">
        <f aca="false">K524/J524</f>
        <v>9172.73054873055</v>
      </c>
      <c r="M524" s="264" t="s">
        <v>3302</v>
      </c>
      <c r="N524" s="6"/>
      <c r="O524" s="6" t="n">
        <f aca="false">K524+N524</f>
        <v>447996.16</v>
      </c>
      <c r="P524" s="166" t="n">
        <f aca="false">O524/J524</f>
        <v>9172.73054873055</v>
      </c>
      <c r="Q524" s="295"/>
      <c r="R524" s="2" t="s">
        <v>5228</v>
      </c>
      <c r="S524" s="5" t="s">
        <v>29</v>
      </c>
      <c r="T524" s="5" t="s">
        <v>1915</v>
      </c>
      <c r="U524" s="294" t="s">
        <v>31</v>
      </c>
      <c r="V524" s="203" t="n">
        <v>43709</v>
      </c>
      <c r="W524" s="1" t="s">
        <v>5442</v>
      </c>
    </row>
    <row r="525" customFormat="false" ht="12.8" hidden="false" customHeight="false" outlineLevel="0" collapsed="false">
      <c r="B525" s="1" t="s">
        <v>5463</v>
      </c>
      <c r="C525" s="3" t="n">
        <v>43494</v>
      </c>
      <c r="D525" s="2" t="s">
        <v>22</v>
      </c>
      <c r="E525" s="2" t="s">
        <v>229</v>
      </c>
      <c r="F525" s="1" t="s">
        <v>230</v>
      </c>
      <c r="G525" s="2" t="s">
        <v>275</v>
      </c>
      <c r="H525" s="2" t="s">
        <v>68</v>
      </c>
      <c r="I525" s="2" t="n">
        <v>6</v>
      </c>
      <c r="J525" s="276" t="n">
        <v>41.27</v>
      </c>
      <c r="K525" s="7" t="n">
        <v>370000</v>
      </c>
      <c r="L525" s="6" t="n">
        <f aca="false">K525/J525</f>
        <v>8965.35013326872</v>
      </c>
      <c r="M525" s="1" t="s">
        <v>940</v>
      </c>
      <c r="O525" s="6" t="n">
        <f aca="false">K525+N525</f>
        <v>370000</v>
      </c>
      <c r="P525" s="166" t="n">
        <f aca="false">O525/J525</f>
        <v>8965.35013326872</v>
      </c>
      <c r="S525" s="5" t="s">
        <v>29</v>
      </c>
      <c r="T525" s="5" t="s">
        <v>1915</v>
      </c>
      <c r="U525" s="294" t="s">
        <v>31</v>
      </c>
      <c r="V525" s="203" t="n">
        <v>43709</v>
      </c>
    </row>
    <row r="526" customFormat="false" ht="12.8" hidden="false" customHeight="false" outlineLevel="0" collapsed="false">
      <c r="B526" s="1" t="s">
        <v>2532</v>
      </c>
      <c r="C526" s="3" t="n">
        <v>43494</v>
      </c>
      <c r="D526" s="2" t="s">
        <v>22</v>
      </c>
      <c r="E526" s="2" t="s">
        <v>229</v>
      </c>
      <c r="F526" s="1" t="s">
        <v>230</v>
      </c>
      <c r="G526" s="2" t="s">
        <v>275</v>
      </c>
      <c r="H526" s="2" t="s">
        <v>259</v>
      </c>
      <c r="I526" s="2" t="n">
        <v>4</v>
      </c>
      <c r="J526" s="276" t="n">
        <v>49.3</v>
      </c>
      <c r="K526" s="7" t="n">
        <v>408000</v>
      </c>
      <c r="L526" s="6" t="n">
        <f aca="false">K526/J526</f>
        <v>8275.86206896552</v>
      </c>
      <c r="O526" s="6" t="n">
        <f aca="false">K526+N526</f>
        <v>408000</v>
      </c>
      <c r="P526" s="166" t="n">
        <f aca="false">O526/J526</f>
        <v>8275.86206896552</v>
      </c>
      <c r="S526" s="5" t="s">
        <v>29</v>
      </c>
      <c r="T526" s="5" t="s">
        <v>1915</v>
      </c>
      <c r="U526" s="294" t="s">
        <v>31</v>
      </c>
      <c r="V526" s="203" t="n">
        <v>43709</v>
      </c>
    </row>
    <row r="527" customFormat="false" ht="12.8" hidden="false" customHeight="false" outlineLevel="0" collapsed="false">
      <c r="B527" s="1" t="s">
        <v>5461</v>
      </c>
      <c r="C527" s="3" t="n">
        <v>43494</v>
      </c>
      <c r="D527" s="2" t="s">
        <v>22</v>
      </c>
      <c r="E527" s="2" t="s">
        <v>229</v>
      </c>
      <c r="F527" s="1" t="s">
        <v>230</v>
      </c>
      <c r="G527" s="2" t="s">
        <v>249</v>
      </c>
      <c r="H527" s="2" t="s">
        <v>266</v>
      </c>
      <c r="I527" s="2" t="n">
        <v>6</v>
      </c>
      <c r="J527" s="276" t="n">
        <v>46.96</v>
      </c>
      <c r="K527" s="7" t="n">
        <v>384798</v>
      </c>
      <c r="L527" s="6" t="n">
        <f aca="false">K527/J527</f>
        <v>8194.16524701874</v>
      </c>
      <c r="M527" s="1" t="s">
        <v>5155</v>
      </c>
      <c r="O527" s="6" t="n">
        <f aca="false">K527+N527</f>
        <v>384798</v>
      </c>
      <c r="P527" s="166" t="n">
        <f aca="false">O527/J527</f>
        <v>8194.16524701874</v>
      </c>
      <c r="S527" s="5" t="s">
        <v>29</v>
      </c>
      <c r="T527" s="5" t="s">
        <v>1915</v>
      </c>
      <c r="U527" s="294" t="s">
        <v>31</v>
      </c>
      <c r="V527" s="203" t="n">
        <v>43709</v>
      </c>
    </row>
    <row r="528" customFormat="false" ht="12.8" hidden="false" customHeight="false" outlineLevel="0" collapsed="false">
      <c r="B528" s="1" t="s">
        <v>5464</v>
      </c>
      <c r="C528" s="3" t="n">
        <v>43494</v>
      </c>
      <c r="D528" s="2" t="s">
        <v>22</v>
      </c>
      <c r="E528" s="2" t="s">
        <v>229</v>
      </c>
      <c r="F528" s="1" t="s">
        <v>230</v>
      </c>
      <c r="G528" s="2" t="s">
        <v>275</v>
      </c>
      <c r="H528" s="2" t="s">
        <v>143</v>
      </c>
      <c r="I528" s="2" t="n">
        <v>4</v>
      </c>
      <c r="J528" s="276" t="n">
        <v>69.37</v>
      </c>
      <c r="K528" s="7" t="n">
        <v>603689.9</v>
      </c>
      <c r="L528" s="6" t="n">
        <f aca="false">K528/J528</f>
        <v>8702.46360098025</v>
      </c>
      <c r="M528" s="1" t="s">
        <v>5155</v>
      </c>
      <c r="O528" s="6" t="n">
        <f aca="false">K528+N528</f>
        <v>603689.9</v>
      </c>
      <c r="P528" s="166" t="n">
        <f aca="false">O528/J528</f>
        <v>8702.46360098025</v>
      </c>
      <c r="S528" s="5" t="s">
        <v>29</v>
      </c>
      <c r="T528" s="5" t="s">
        <v>1915</v>
      </c>
      <c r="U528" s="294" t="s">
        <v>31</v>
      </c>
      <c r="V528" s="203" t="n">
        <v>43709</v>
      </c>
    </row>
    <row r="529" customFormat="false" ht="12.8" hidden="false" customHeight="false" outlineLevel="0" collapsed="false">
      <c r="B529" s="1" t="s">
        <v>5465</v>
      </c>
      <c r="C529" s="3" t="n">
        <v>43494</v>
      </c>
      <c r="D529" s="2" t="s">
        <v>22</v>
      </c>
      <c r="E529" s="2" t="s">
        <v>229</v>
      </c>
      <c r="F529" s="1" t="s">
        <v>230</v>
      </c>
      <c r="G529" s="2" t="s">
        <v>275</v>
      </c>
      <c r="H529" s="2" t="s">
        <v>210</v>
      </c>
      <c r="I529" s="2" t="n">
        <v>2</v>
      </c>
      <c r="J529" s="276" t="n">
        <v>70.75</v>
      </c>
      <c r="K529" s="7" t="n">
        <v>613546.4</v>
      </c>
      <c r="L529" s="6" t="n">
        <f aca="false">K529/J529</f>
        <v>8672.03392226148</v>
      </c>
      <c r="M529" s="1" t="s">
        <v>5155</v>
      </c>
      <c r="O529" s="6" t="n">
        <f aca="false">K529+N529</f>
        <v>613546.4</v>
      </c>
      <c r="P529" s="166" t="n">
        <f aca="false">O529/J529</f>
        <v>8672.03392226148</v>
      </c>
      <c r="S529" s="5" t="s">
        <v>29</v>
      </c>
      <c r="T529" s="5" t="s">
        <v>1915</v>
      </c>
      <c r="U529" s="294" t="s">
        <v>31</v>
      </c>
      <c r="V529" s="203" t="n">
        <v>43709</v>
      </c>
    </row>
    <row r="530" customFormat="false" ht="12.8" hidden="false" customHeight="false" outlineLevel="0" collapsed="false">
      <c r="B530" s="1" t="s">
        <v>5466</v>
      </c>
      <c r="C530" s="3" t="n">
        <v>43494</v>
      </c>
      <c r="D530" s="2" t="s">
        <v>22</v>
      </c>
      <c r="E530" s="2" t="s">
        <v>5467</v>
      </c>
      <c r="F530" s="1" t="s">
        <v>323</v>
      </c>
      <c r="G530" s="2" t="s">
        <v>49</v>
      </c>
      <c r="H530" s="2" t="s">
        <v>421</v>
      </c>
      <c r="I530" s="2" t="n">
        <v>6</v>
      </c>
      <c r="J530" s="276" t="n">
        <v>39.77</v>
      </c>
      <c r="K530" s="7" t="n">
        <v>456585</v>
      </c>
      <c r="L530" s="302" t="n">
        <f aca="false">K530/J530</f>
        <v>11480.6386723661</v>
      </c>
      <c r="M530" s="1" t="s">
        <v>940</v>
      </c>
      <c r="O530" s="6" t="n">
        <f aca="false">K530+N530</f>
        <v>456585</v>
      </c>
      <c r="P530" s="166" t="n">
        <f aca="false">O530/J530</f>
        <v>11480.6386723661</v>
      </c>
      <c r="S530" s="5" t="s">
        <v>29</v>
      </c>
      <c r="T530" s="5" t="s">
        <v>1915</v>
      </c>
      <c r="U530" s="294" t="s">
        <v>31</v>
      </c>
      <c r="V530" s="203" t="n">
        <v>43709</v>
      </c>
    </row>
    <row r="531" customFormat="false" ht="12.8" hidden="false" customHeight="false" outlineLevel="0" collapsed="false">
      <c r="B531" s="1" t="s">
        <v>5468</v>
      </c>
      <c r="C531" s="3" t="n">
        <v>43494</v>
      </c>
      <c r="D531" s="2" t="s">
        <v>22</v>
      </c>
      <c r="E531" s="2" t="s">
        <v>5467</v>
      </c>
      <c r="F531" s="1" t="s">
        <v>323</v>
      </c>
      <c r="G531" s="2" t="s">
        <v>49</v>
      </c>
      <c r="H531" s="2" t="s">
        <v>83</v>
      </c>
      <c r="I531" s="2" t="n">
        <v>5</v>
      </c>
      <c r="J531" s="276" t="n">
        <v>39.85</v>
      </c>
      <c r="K531" s="7" t="n">
        <v>457425</v>
      </c>
      <c r="L531" s="302" t="n">
        <f aca="false">K531/J531</f>
        <v>11478.6700125471</v>
      </c>
      <c r="M531" s="1" t="s">
        <v>940</v>
      </c>
      <c r="O531" s="6" t="n">
        <f aca="false">K531+N531</f>
        <v>457425</v>
      </c>
      <c r="P531" s="166" t="n">
        <f aca="false">O531/J531</f>
        <v>11478.6700125471</v>
      </c>
      <c r="S531" s="5" t="s">
        <v>29</v>
      </c>
      <c r="T531" s="5" t="s">
        <v>1915</v>
      </c>
      <c r="U531" s="294" t="s">
        <v>31</v>
      </c>
      <c r="V531" s="203" t="n">
        <v>43709</v>
      </c>
    </row>
    <row r="532" s="32" customFormat="true" ht="12.8" hidden="false" customHeight="false" outlineLevel="0" collapsed="false">
      <c r="A532" s="1"/>
      <c r="B532" s="32" t="s">
        <v>5469</v>
      </c>
      <c r="C532" s="290" t="n">
        <v>43494</v>
      </c>
      <c r="D532" s="80" t="s">
        <v>22</v>
      </c>
      <c r="E532" s="80" t="s">
        <v>5467</v>
      </c>
      <c r="F532" s="32" t="s">
        <v>323</v>
      </c>
      <c r="G532" s="80" t="s">
        <v>49</v>
      </c>
      <c r="H532" s="80" t="s">
        <v>257</v>
      </c>
      <c r="I532" s="80" t="n">
        <v>7</v>
      </c>
      <c r="J532" s="292" t="n">
        <v>39.75</v>
      </c>
      <c r="K532" s="293" t="n">
        <v>456375</v>
      </c>
      <c r="L532" s="302" t="n">
        <f aca="false">K532/J532</f>
        <v>11481.1320754717</v>
      </c>
      <c r="M532" s="32" t="s">
        <v>940</v>
      </c>
      <c r="N532" s="293"/>
      <c r="O532" s="302" t="n">
        <f aca="false">K532+N532</f>
        <v>456375</v>
      </c>
      <c r="P532" s="304" t="n">
        <f aca="false">O532/J532</f>
        <v>11481.1320754717</v>
      </c>
      <c r="R532" s="80"/>
      <c r="S532" s="5" t="s">
        <v>29</v>
      </c>
      <c r="T532" s="5" t="s">
        <v>1915</v>
      </c>
      <c r="U532" s="294" t="s">
        <v>31</v>
      </c>
      <c r="V532" s="203" t="n">
        <v>43709</v>
      </c>
    </row>
    <row r="533" customFormat="false" ht="12.8" hidden="false" customHeight="false" outlineLevel="0" collapsed="false">
      <c r="B533" s="1" t="n">
        <v>603</v>
      </c>
      <c r="C533" s="3" t="n">
        <v>43495</v>
      </c>
      <c r="D533" s="171" t="s">
        <v>22</v>
      </c>
      <c r="E533" s="222" t="s">
        <v>350</v>
      </c>
      <c r="F533" s="1" t="s">
        <v>351</v>
      </c>
      <c r="G533" s="2" t="s">
        <v>5470</v>
      </c>
      <c r="H533" s="2" t="n">
        <v>1</v>
      </c>
      <c r="I533" s="2" t="n">
        <v>2</v>
      </c>
      <c r="J533" s="276" t="n">
        <v>106.72</v>
      </c>
      <c r="K533" s="6" t="n">
        <v>830000</v>
      </c>
      <c r="L533" s="6" t="n">
        <f aca="false">K533/J533</f>
        <v>7777.36131934033</v>
      </c>
      <c r="M533" s="264" t="s">
        <v>5471</v>
      </c>
      <c r="N533" s="6"/>
      <c r="O533" s="6" t="n">
        <f aca="false">K533+N533</f>
        <v>830000</v>
      </c>
      <c r="P533" s="166" t="n">
        <f aca="false">O533/J533</f>
        <v>7777.36131934033</v>
      </c>
      <c r="Q533" s="295"/>
      <c r="R533" s="2" t="s">
        <v>5472</v>
      </c>
      <c r="S533" s="5" t="s">
        <v>29</v>
      </c>
      <c r="T533" s="5" t="s">
        <v>1915</v>
      </c>
      <c r="U533" s="294" t="s">
        <v>31</v>
      </c>
      <c r="V533" s="203" t="n">
        <v>43709</v>
      </c>
      <c r="W533" s="1" t="s">
        <v>5473</v>
      </c>
    </row>
    <row r="534" customFormat="false" ht="12.8" hidden="false" customHeight="false" outlineLevel="0" collapsed="false">
      <c r="B534" s="1" t="s">
        <v>5474</v>
      </c>
      <c r="C534" s="3" t="n">
        <v>43495</v>
      </c>
      <c r="D534" s="2" t="s">
        <v>22</v>
      </c>
      <c r="E534" s="2" t="s">
        <v>229</v>
      </c>
      <c r="F534" s="1" t="s">
        <v>230</v>
      </c>
      <c r="G534" s="2" t="s">
        <v>3498</v>
      </c>
      <c r="H534" s="2" t="s">
        <v>180</v>
      </c>
      <c r="I534" s="2" t="n">
        <v>3</v>
      </c>
      <c r="J534" s="276" t="n">
        <v>41.42</v>
      </c>
      <c r="K534" s="7" t="n">
        <v>352193.88</v>
      </c>
      <c r="L534" s="6" t="n">
        <f aca="false">K534/J534</f>
        <v>8502.99082568807</v>
      </c>
      <c r="M534" s="1" t="s">
        <v>940</v>
      </c>
      <c r="O534" s="6" t="n">
        <f aca="false">K534+N534</f>
        <v>352193.88</v>
      </c>
      <c r="P534" s="166" t="n">
        <f aca="false">O534/J534</f>
        <v>8502.99082568807</v>
      </c>
      <c r="S534" s="5" t="s">
        <v>29</v>
      </c>
      <c r="T534" s="5" t="s">
        <v>1915</v>
      </c>
      <c r="U534" s="294" t="s">
        <v>31</v>
      </c>
      <c r="V534" s="203" t="n">
        <v>43709</v>
      </c>
    </row>
    <row r="535" customFormat="false" ht="12.8" hidden="false" customHeight="false" outlineLevel="0" collapsed="false">
      <c r="B535" s="1" t="s">
        <v>5475</v>
      </c>
      <c r="C535" s="3" t="n">
        <v>43495</v>
      </c>
      <c r="D535" s="2" t="s">
        <v>22</v>
      </c>
      <c r="E535" s="2" t="s">
        <v>229</v>
      </c>
      <c r="F535" s="1" t="s">
        <v>230</v>
      </c>
      <c r="G535" s="2" t="s">
        <v>275</v>
      </c>
      <c r="H535" s="2" t="s">
        <v>55</v>
      </c>
      <c r="I535" s="2" t="n">
        <v>5</v>
      </c>
      <c r="J535" s="276" t="n">
        <v>69.04</v>
      </c>
      <c r="K535" s="7" t="n">
        <v>631451.23</v>
      </c>
      <c r="L535" s="6" t="n">
        <f aca="false">K535/J535</f>
        <v>9146.16497682503</v>
      </c>
      <c r="M535" s="1" t="s">
        <v>5372</v>
      </c>
      <c r="O535" s="6" t="n">
        <f aca="false">K535+N535</f>
        <v>631451.23</v>
      </c>
      <c r="P535" s="166" t="n">
        <f aca="false">O535/J535</f>
        <v>9146.16497682503</v>
      </c>
      <c r="S535" s="5" t="s">
        <v>29</v>
      </c>
      <c r="T535" s="5" t="s">
        <v>1915</v>
      </c>
      <c r="U535" s="294" t="s">
        <v>31</v>
      </c>
      <c r="V535" s="203" t="n">
        <v>43709</v>
      </c>
    </row>
    <row r="536" customFormat="false" ht="12.8" hidden="false" customHeight="false" outlineLevel="0" collapsed="false">
      <c r="B536" s="1" t="s">
        <v>5476</v>
      </c>
      <c r="C536" s="3" t="n">
        <v>43495</v>
      </c>
      <c r="D536" s="2" t="s">
        <v>22</v>
      </c>
      <c r="E536" s="2" t="s">
        <v>229</v>
      </c>
      <c r="F536" s="1" t="s">
        <v>230</v>
      </c>
      <c r="G536" s="2" t="s">
        <v>275</v>
      </c>
      <c r="H536" s="2" t="s">
        <v>57</v>
      </c>
      <c r="I536" s="2" t="n">
        <v>2</v>
      </c>
      <c r="J536" s="276" t="n">
        <v>41.14</v>
      </c>
      <c r="K536" s="7" t="n">
        <v>348715.6</v>
      </c>
      <c r="L536" s="6" t="n">
        <f aca="false">K536/J536</f>
        <v>8476.31502187652</v>
      </c>
      <c r="M536" s="1" t="s">
        <v>1739</v>
      </c>
      <c r="O536" s="6" t="n">
        <f aca="false">K536+N536</f>
        <v>348715.6</v>
      </c>
      <c r="P536" s="166" t="n">
        <f aca="false">O536/J536</f>
        <v>8476.31502187652</v>
      </c>
      <c r="S536" s="5" t="s">
        <v>29</v>
      </c>
      <c r="T536" s="5" t="s">
        <v>1915</v>
      </c>
      <c r="U536" s="294" t="s">
        <v>31</v>
      </c>
      <c r="V536" s="203" t="n">
        <v>43709</v>
      </c>
    </row>
    <row r="537" customFormat="false" ht="12.8" hidden="false" customHeight="false" outlineLevel="0" collapsed="false">
      <c r="B537" s="1" t="s">
        <v>5477</v>
      </c>
      <c r="C537" s="3" t="n">
        <v>43495</v>
      </c>
      <c r="D537" s="2" t="s">
        <v>22</v>
      </c>
      <c r="E537" s="2" t="s">
        <v>229</v>
      </c>
      <c r="F537" s="1" t="s">
        <v>230</v>
      </c>
      <c r="G537" s="2" t="s">
        <v>3498</v>
      </c>
      <c r="H537" s="2" t="s">
        <v>57</v>
      </c>
      <c r="I537" s="2" t="n">
        <v>1</v>
      </c>
      <c r="J537" s="276" t="n">
        <v>41.39</v>
      </c>
      <c r="K537" s="7" t="n">
        <v>353232</v>
      </c>
      <c r="L537" s="6" t="n">
        <f aca="false">K537/J537</f>
        <v>8534.23532254168</v>
      </c>
      <c r="M537" s="1" t="s">
        <v>5155</v>
      </c>
      <c r="O537" s="6" t="n">
        <f aca="false">K537+N537</f>
        <v>353232</v>
      </c>
      <c r="P537" s="166" t="n">
        <f aca="false">O537/J537</f>
        <v>8534.23532254168</v>
      </c>
      <c r="S537" s="5" t="s">
        <v>29</v>
      </c>
      <c r="T537" s="5" t="s">
        <v>1915</v>
      </c>
      <c r="U537" s="294" t="s">
        <v>31</v>
      </c>
      <c r="V537" s="203" t="n">
        <v>43709</v>
      </c>
    </row>
    <row r="538" customFormat="false" ht="12.8" hidden="false" customHeight="false" outlineLevel="0" collapsed="false">
      <c r="B538" s="1" t="s">
        <v>5478</v>
      </c>
      <c r="C538" s="3" t="n">
        <v>43495</v>
      </c>
      <c r="D538" s="2" t="s">
        <v>22</v>
      </c>
      <c r="E538" s="2" t="s">
        <v>229</v>
      </c>
      <c r="F538" s="1" t="s">
        <v>230</v>
      </c>
      <c r="G538" s="2" t="s">
        <v>249</v>
      </c>
      <c r="H538" s="2" t="s">
        <v>587</v>
      </c>
      <c r="I538" s="2" t="n">
        <v>5</v>
      </c>
      <c r="J538" s="276" t="n">
        <v>48.58</v>
      </c>
      <c r="K538" s="7" t="n">
        <v>435912.08</v>
      </c>
      <c r="L538" s="6" t="n">
        <f aca="false">K538/J538</f>
        <v>8973.07698641416</v>
      </c>
      <c r="M538" s="1" t="s">
        <v>940</v>
      </c>
      <c r="O538" s="6" t="n">
        <f aca="false">K538+N538</f>
        <v>435912.08</v>
      </c>
      <c r="P538" s="166" t="n">
        <f aca="false">O538/J538</f>
        <v>8973.07698641416</v>
      </c>
      <c r="S538" s="5" t="s">
        <v>29</v>
      </c>
      <c r="T538" s="5" t="s">
        <v>1915</v>
      </c>
      <c r="U538" s="294" t="s">
        <v>31</v>
      </c>
      <c r="V538" s="203" t="n">
        <v>43709</v>
      </c>
    </row>
    <row r="539" customFormat="false" ht="12.8" hidden="false" customHeight="false" outlineLevel="0" collapsed="false">
      <c r="B539" s="1" t="s">
        <v>5479</v>
      </c>
      <c r="C539" s="3" t="n">
        <v>43495</v>
      </c>
      <c r="D539" s="2" t="s">
        <v>22</v>
      </c>
      <c r="E539" s="2" t="s">
        <v>229</v>
      </c>
      <c r="F539" s="1" t="s">
        <v>230</v>
      </c>
      <c r="G539" s="2" t="s">
        <v>249</v>
      </c>
      <c r="H539" s="2" t="s">
        <v>26</v>
      </c>
      <c r="I539" s="2" t="n">
        <v>1</v>
      </c>
      <c r="J539" s="276" t="n">
        <v>34.11</v>
      </c>
      <c r="K539" s="7" t="n">
        <v>282997.2</v>
      </c>
      <c r="L539" s="6" t="n">
        <f aca="false">K539/J539</f>
        <v>8296.60510114336</v>
      </c>
      <c r="M539" s="1" t="s">
        <v>940</v>
      </c>
      <c r="O539" s="6" t="n">
        <f aca="false">K539+N539</f>
        <v>282997.2</v>
      </c>
      <c r="P539" s="166" t="n">
        <f aca="false">O539/J539</f>
        <v>8296.60510114336</v>
      </c>
      <c r="S539" s="5" t="s">
        <v>29</v>
      </c>
      <c r="T539" s="5" t="s">
        <v>1915</v>
      </c>
      <c r="U539" s="294" t="s">
        <v>31</v>
      </c>
      <c r="V539" s="203" t="n">
        <v>43709</v>
      </c>
    </row>
    <row r="540" customFormat="false" ht="12.8" hidden="false" customHeight="false" outlineLevel="0" collapsed="false">
      <c r="B540" s="1" t="s">
        <v>5480</v>
      </c>
      <c r="C540" s="3" t="n">
        <v>43495</v>
      </c>
      <c r="D540" s="2" t="s">
        <v>22</v>
      </c>
      <c r="E540" s="2" t="s">
        <v>229</v>
      </c>
      <c r="F540" s="1" t="s">
        <v>230</v>
      </c>
      <c r="G540" s="2" t="s">
        <v>3498</v>
      </c>
      <c r="H540" s="2" t="s">
        <v>222</v>
      </c>
      <c r="I540" s="2" t="n">
        <v>6</v>
      </c>
      <c r="J540" s="276" t="n">
        <v>73.76</v>
      </c>
      <c r="K540" s="7" t="n">
        <v>620820</v>
      </c>
      <c r="L540" s="6" t="n">
        <f aca="false">K540/J540</f>
        <v>8416.75704989154</v>
      </c>
      <c r="M540" s="1" t="s">
        <v>940</v>
      </c>
      <c r="O540" s="6" t="n">
        <f aca="false">K540+N540</f>
        <v>620820</v>
      </c>
      <c r="P540" s="166" t="n">
        <f aca="false">O540/J540</f>
        <v>8416.75704989154</v>
      </c>
      <c r="S540" s="5" t="s">
        <v>29</v>
      </c>
      <c r="T540" s="5" t="s">
        <v>1915</v>
      </c>
      <c r="U540" s="294" t="s">
        <v>31</v>
      </c>
      <c r="V540" s="203" t="n">
        <v>43709</v>
      </c>
    </row>
    <row r="541" customFormat="false" ht="12.8" hidden="false" customHeight="false" outlineLevel="0" collapsed="false">
      <c r="B541" s="1" t="s">
        <v>5481</v>
      </c>
      <c r="C541" s="3" t="n">
        <v>43495</v>
      </c>
      <c r="D541" s="2" t="s">
        <v>22</v>
      </c>
      <c r="E541" s="2" t="s">
        <v>229</v>
      </c>
      <c r="F541" s="1" t="s">
        <v>230</v>
      </c>
      <c r="G541" s="2" t="s">
        <v>3498</v>
      </c>
      <c r="H541" s="2" t="s">
        <v>286</v>
      </c>
      <c r="I541" s="2" t="n">
        <v>5</v>
      </c>
      <c r="J541" s="276" t="n">
        <v>63.59</v>
      </c>
      <c r="K541" s="7" t="n">
        <v>545046.01</v>
      </c>
      <c r="L541" s="6" t="n">
        <f aca="false">K541/J541</f>
        <v>8571.25349897783</v>
      </c>
      <c r="M541" s="1" t="s">
        <v>5155</v>
      </c>
      <c r="O541" s="6" t="n">
        <f aca="false">K541+N541</f>
        <v>545046.01</v>
      </c>
      <c r="P541" s="166" t="n">
        <f aca="false">O541/J541</f>
        <v>8571.25349897783</v>
      </c>
      <c r="S541" s="5" t="s">
        <v>29</v>
      </c>
      <c r="T541" s="5" t="s">
        <v>1915</v>
      </c>
      <c r="U541" s="294" t="s">
        <v>31</v>
      </c>
      <c r="V541" s="203" t="n">
        <v>43709</v>
      </c>
    </row>
    <row r="542" customFormat="false" ht="12.8" hidden="false" customHeight="false" outlineLevel="0" collapsed="false">
      <c r="B542" s="1" t="s">
        <v>5482</v>
      </c>
      <c r="C542" s="3" t="n">
        <v>43495</v>
      </c>
      <c r="D542" s="2" t="s">
        <v>22</v>
      </c>
      <c r="E542" s="2" t="s">
        <v>229</v>
      </c>
      <c r="F542" s="1" t="s">
        <v>230</v>
      </c>
      <c r="G542" s="2" t="s">
        <v>249</v>
      </c>
      <c r="H542" s="2" t="s">
        <v>27</v>
      </c>
      <c r="I542" s="2" t="n">
        <v>1</v>
      </c>
      <c r="J542" s="276" t="n">
        <v>49.54</v>
      </c>
      <c r="K542" s="7" t="n">
        <v>394100</v>
      </c>
      <c r="L542" s="6" t="n">
        <f aca="false">K542/J542</f>
        <v>7955.18772708922</v>
      </c>
      <c r="M542" s="1" t="s">
        <v>5483</v>
      </c>
      <c r="O542" s="6" t="n">
        <f aca="false">K542+N542</f>
        <v>394100</v>
      </c>
      <c r="P542" s="166" t="n">
        <f aca="false">O542/J542</f>
        <v>7955.18772708922</v>
      </c>
      <c r="S542" s="5" t="s">
        <v>29</v>
      </c>
      <c r="T542" s="5" t="s">
        <v>1915</v>
      </c>
      <c r="U542" s="294" t="s">
        <v>31</v>
      </c>
      <c r="V542" s="203" t="n">
        <v>43709</v>
      </c>
    </row>
    <row r="543" customFormat="false" ht="12.8" hidden="false" customHeight="false" outlineLevel="0" collapsed="false">
      <c r="B543" s="1" t="n">
        <v>1899</v>
      </c>
      <c r="C543" s="3" t="n">
        <v>43496</v>
      </c>
      <c r="D543" s="171" t="s">
        <v>22</v>
      </c>
      <c r="E543" s="222" t="s">
        <v>962</v>
      </c>
      <c r="F543" s="1" t="s">
        <v>963</v>
      </c>
      <c r="G543" s="2" t="n">
        <v>4</v>
      </c>
      <c r="H543" s="2" t="n">
        <v>58</v>
      </c>
      <c r="I543" s="2" t="n">
        <v>2</v>
      </c>
      <c r="J543" s="276" t="n">
        <v>49.52</v>
      </c>
      <c r="K543" s="6" t="n">
        <v>495000</v>
      </c>
      <c r="L543" s="6" t="n">
        <f aca="false">K543/J543</f>
        <v>9995.96122778675</v>
      </c>
      <c r="M543" s="264" t="s">
        <v>5484</v>
      </c>
      <c r="N543" s="6"/>
      <c r="O543" s="6" t="n">
        <f aca="false">K543+N543</f>
        <v>495000</v>
      </c>
      <c r="P543" s="166" t="n">
        <f aca="false">O543/J543</f>
        <v>9995.96122778675</v>
      </c>
      <c r="Q543" s="295"/>
      <c r="R543" s="2" t="s">
        <v>5228</v>
      </c>
      <c r="S543" s="5" t="s">
        <v>29</v>
      </c>
      <c r="T543" s="5" t="s">
        <v>1915</v>
      </c>
      <c r="U543" s="294" t="s">
        <v>31</v>
      </c>
      <c r="V543" s="203" t="n">
        <v>43709</v>
      </c>
      <c r="W543" s="1" t="s">
        <v>5457</v>
      </c>
    </row>
    <row r="544" customFormat="false" ht="12.8" hidden="false" customHeight="false" outlineLevel="0" collapsed="false">
      <c r="B544" s="1" t="n">
        <v>936</v>
      </c>
      <c r="C544" s="3" t="n">
        <v>43496</v>
      </c>
      <c r="D544" s="171" t="s">
        <v>22</v>
      </c>
      <c r="E544" s="8" t="s">
        <v>5216</v>
      </c>
      <c r="F544" s="1" t="s">
        <v>5221</v>
      </c>
      <c r="G544" s="2" t="n">
        <v>5</v>
      </c>
      <c r="H544" s="2" t="n">
        <v>16</v>
      </c>
      <c r="I544" s="2" t="n">
        <v>3</v>
      </c>
      <c r="J544" s="276" t="n">
        <v>73.69</v>
      </c>
      <c r="K544" s="6" t="n">
        <v>869048</v>
      </c>
      <c r="L544" s="6" t="n">
        <f aca="false">K544/J544</f>
        <v>11793.2962410096</v>
      </c>
      <c r="M544" s="264" t="s">
        <v>987</v>
      </c>
      <c r="N544" s="6"/>
      <c r="O544" s="6" t="n">
        <f aca="false">K544+N544</f>
        <v>869048</v>
      </c>
      <c r="P544" s="166" t="n">
        <f aca="false">O544/J544</f>
        <v>11793.2962410096</v>
      </c>
      <c r="Q544" s="295"/>
      <c r="R544" s="2" t="s">
        <v>5260</v>
      </c>
      <c r="S544" s="5" t="s">
        <v>29</v>
      </c>
      <c r="T544" s="5" t="s">
        <v>1915</v>
      </c>
      <c r="U544" s="294" t="s">
        <v>31</v>
      </c>
      <c r="V544" s="203" t="n">
        <v>43709</v>
      </c>
      <c r="W544" s="1" t="s">
        <v>5220</v>
      </c>
    </row>
    <row r="545" customFormat="false" ht="12.8" hidden="false" customHeight="false" outlineLevel="0" collapsed="false">
      <c r="B545" s="1" t="n">
        <v>1117</v>
      </c>
      <c r="C545" s="3" t="n">
        <v>43496</v>
      </c>
      <c r="D545" s="171" t="s">
        <v>22</v>
      </c>
      <c r="E545" s="8" t="s">
        <v>229</v>
      </c>
      <c r="F545" s="1" t="s">
        <v>230</v>
      </c>
      <c r="G545" s="2" t="n">
        <v>55</v>
      </c>
      <c r="H545" s="2" t="n">
        <v>34</v>
      </c>
      <c r="I545" s="2" t="n">
        <v>3</v>
      </c>
      <c r="J545" s="276" t="n">
        <v>46.64</v>
      </c>
      <c r="K545" s="6" t="n">
        <v>409500</v>
      </c>
      <c r="L545" s="6" t="n">
        <f aca="false">K545/J545</f>
        <v>8780.01715265866</v>
      </c>
      <c r="M545" s="264" t="s">
        <v>987</v>
      </c>
      <c r="N545" s="6"/>
      <c r="O545" s="6" t="n">
        <f aca="false">K545+N545</f>
        <v>409500</v>
      </c>
      <c r="P545" s="166" t="n">
        <f aca="false">O545/J545</f>
        <v>8780.01715265866</v>
      </c>
      <c r="Q545" s="295"/>
      <c r="R545" s="2" t="s">
        <v>5228</v>
      </c>
      <c r="S545" s="5" t="s">
        <v>29</v>
      </c>
      <c r="T545" s="5" t="s">
        <v>1915</v>
      </c>
      <c r="U545" s="294" t="s">
        <v>31</v>
      </c>
      <c r="V545" s="203" t="n">
        <v>43709</v>
      </c>
      <c r="W545" s="1" t="s">
        <v>5151</v>
      </c>
    </row>
    <row r="546" customFormat="false" ht="12.8" hidden="false" customHeight="false" outlineLevel="0" collapsed="false">
      <c r="B546" s="1" t="n">
        <v>1077</v>
      </c>
      <c r="C546" s="3" t="n">
        <v>43496</v>
      </c>
      <c r="D546" s="171" t="s">
        <v>22</v>
      </c>
      <c r="E546" s="8" t="s">
        <v>229</v>
      </c>
      <c r="F546" s="1" t="s">
        <v>230</v>
      </c>
      <c r="G546" s="2" t="n">
        <v>57</v>
      </c>
      <c r="H546" s="2" t="n">
        <v>50</v>
      </c>
      <c r="I546" s="2" t="n">
        <v>2</v>
      </c>
      <c r="J546" s="276" t="n">
        <v>48.62</v>
      </c>
      <c r="K546" s="6" t="n">
        <v>402692</v>
      </c>
      <c r="L546" s="6" t="n">
        <f aca="false">K546/J546</f>
        <v>8282.43521184698</v>
      </c>
      <c r="M546" s="264"/>
      <c r="N546" s="6"/>
      <c r="O546" s="6" t="n">
        <f aca="false">K546+N546</f>
        <v>402692</v>
      </c>
      <c r="P546" s="166" t="n">
        <f aca="false">O546/J546</f>
        <v>8282.43521184698</v>
      </c>
      <c r="Q546" s="295"/>
      <c r="R546" s="2" t="s">
        <v>5228</v>
      </c>
      <c r="S546" s="5" t="s">
        <v>29</v>
      </c>
      <c r="T546" s="5" t="s">
        <v>1915</v>
      </c>
      <c r="U546" s="294" t="s">
        <v>31</v>
      </c>
      <c r="V546" s="203" t="n">
        <v>43709</v>
      </c>
      <c r="W546" s="1" t="s">
        <v>5151</v>
      </c>
    </row>
    <row r="547" customFormat="false" ht="12.8" hidden="false" customHeight="false" outlineLevel="0" collapsed="false">
      <c r="B547" s="1" t="n">
        <v>1053</v>
      </c>
      <c r="C547" s="3" t="n">
        <v>43496</v>
      </c>
      <c r="D547" s="171" t="s">
        <v>22</v>
      </c>
      <c r="E547" s="8" t="s">
        <v>229</v>
      </c>
      <c r="F547" s="1" t="s">
        <v>230</v>
      </c>
      <c r="G547" s="2" t="s">
        <v>3498</v>
      </c>
      <c r="H547" s="2" t="n">
        <v>24</v>
      </c>
      <c r="I547" s="2" t="n">
        <v>4</v>
      </c>
      <c r="J547" s="276" t="n">
        <v>37.45</v>
      </c>
      <c r="K547" s="6" t="n">
        <v>338797.67</v>
      </c>
      <c r="L547" s="6" t="n">
        <f aca="false">K547/J547</f>
        <v>9046.66675567423</v>
      </c>
      <c r="M547" s="264" t="s">
        <v>987</v>
      </c>
      <c r="N547" s="6"/>
      <c r="O547" s="6" t="n">
        <f aca="false">K547+N547</f>
        <v>338797.67</v>
      </c>
      <c r="P547" s="166" t="n">
        <f aca="false">O547/J547</f>
        <v>9046.66675567423</v>
      </c>
      <c r="Q547" s="295"/>
      <c r="R547" s="2" t="s">
        <v>5228</v>
      </c>
      <c r="S547" s="5" t="s">
        <v>29</v>
      </c>
      <c r="T547" s="5" t="s">
        <v>1915</v>
      </c>
      <c r="U547" s="294" t="s">
        <v>31</v>
      </c>
      <c r="V547" s="203" t="n">
        <v>43709</v>
      </c>
      <c r="W547" s="1" t="s">
        <v>5151</v>
      </c>
    </row>
    <row r="548" customFormat="false" ht="12.8" hidden="false" customHeight="false" outlineLevel="0" collapsed="false">
      <c r="B548" s="1" t="n">
        <v>501</v>
      </c>
      <c r="C548" s="3" t="n">
        <v>43496</v>
      </c>
      <c r="D548" s="171" t="s">
        <v>22</v>
      </c>
      <c r="E548" s="8" t="s">
        <v>229</v>
      </c>
      <c r="F548" s="1" t="s">
        <v>1722</v>
      </c>
      <c r="G548" s="2" t="s">
        <v>4033</v>
      </c>
      <c r="H548" s="2" t="n">
        <v>134</v>
      </c>
      <c r="I548" s="2" t="n">
        <v>3</v>
      </c>
      <c r="J548" s="276" t="n">
        <v>31.06</v>
      </c>
      <c r="K548" s="6" t="n">
        <v>308156.17</v>
      </c>
      <c r="L548" s="6" t="n">
        <f aca="false">K548/J548</f>
        <v>9921.3190598841</v>
      </c>
      <c r="M548" s="264"/>
      <c r="N548" s="6"/>
      <c r="O548" s="6" t="n">
        <f aca="false">K548+N548</f>
        <v>308156.17</v>
      </c>
      <c r="P548" s="166" t="n">
        <f aca="false">O548/J548</f>
        <v>9921.3190598841</v>
      </c>
      <c r="Q548" s="295"/>
      <c r="R548" s="2" t="s">
        <v>5228</v>
      </c>
      <c r="S548" s="5" t="s">
        <v>29</v>
      </c>
      <c r="T548" s="5" t="s">
        <v>1915</v>
      </c>
      <c r="U548" s="294" t="s">
        <v>31</v>
      </c>
      <c r="V548" s="203" t="n">
        <v>43709</v>
      </c>
      <c r="W548" s="1" t="s">
        <v>5442</v>
      </c>
    </row>
    <row r="549" customFormat="false" ht="12.8" hidden="false" customHeight="false" outlineLevel="0" collapsed="false">
      <c r="B549" s="1" t="n">
        <v>905</v>
      </c>
      <c r="C549" s="3" t="n">
        <v>43496</v>
      </c>
      <c r="D549" s="171" t="s">
        <v>22</v>
      </c>
      <c r="E549" s="8" t="s">
        <v>203</v>
      </c>
      <c r="F549" s="1" t="s">
        <v>1209</v>
      </c>
      <c r="G549" s="2" t="s">
        <v>5227</v>
      </c>
      <c r="H549" s="2" t="n">
        <v>121</v>
      </c>
      <c r="I549" s="2" t="n">
        <v>6</v>
      </c>
      <c r="J549" s="276" t="n">
        <v>49.08</v>
      </c>
      <c r="K549" s="6" t="n">
        <v>565732.95</v>
      </c>
      <c r="L549" s="6" t="n">
        <f aca="false">K549/J549</f>
        <v>11526.7512224939</v>
      </c>
      <c r="M549" s="264" t="s">
        <v>987</v>
      </c>
      <c r="N549" s="6" t="n">
        <v>29748.43</v>
      </c>
      <c r="O549" s="6" t="n">
        <f aca="false">K549+N549</f>
        <v>595481.38</v>
      </c>
      <c r="P549" s="166" t="n">
        <f aca="false">O549/J549</f>
        <v>12132.8724531377</v>
      </c>
      <c r="Q549" s="295"/>
      <c r="R549" s="2" t="s">
        <v>5228</v>
      </c>
      <c r="S549" s="5" t="s">
        <v>29</v>
      </c>
      <c r="T549" s="5" t="s">
        <v>1915</v>
      </c>
      <c r="U549" s="294" t="s">
        <v>31</v>
      </c>
      <c r="V549" s="203" t="n">
        <v>43709</v>
      </c>
      <c r="W549" s="1" t="s">
        <v>5229</v>
      </c>
    </row>
    <row r="550" customFormat="false" ht="12.8" hidden="false" customHeight="false" outlineLevel="0" collapsed="false">
      <c r="B550" s="1" t="s">
        <v>5485</v>
      </c>
      <c r="C550" s="3" t="n">
        <v>43496</v>
      </c>
      <c r="D550" s="2" t="s">
        <v>22</v>
      </c>
      <c r="E550" s="2" t="s">
        <v>229</v>
      </c>
      <c r="F550" s="1" t="s">
        <v>230</v>
      </c>
      <c r="G550" s="2" t="s">
        <v>249</v>
      </c>
      <c r="H550" s="2" t="s">
        <v>2955</v>
      </c>
      <c r="I550" s="2" t="n">
        <v>5</v>
      </c>
      <c r="J550" s="276" t="n">
        <v>91.6</v>
      </c>
      <c r="K550" s="7" t="n">
        <v>760000</v>
      </c>
      <c r="L550" s="6" t="n">
        <f aca="false">K550/J550</f>
        <v>8296.94323144105</v>
      </c>
      <c r="M550" s="1" t="s">
        <v>940</v>
      </c>
      <c r="O550" s="6" t="n">
        <f aca="false">K550+N550</f>
        <v>760000</v>
      </c>
      <c r="P550" s="166" t="n">
        <f aca="false">O550/J550</f>
        <v>8296.94323144105</v>
      </c>
      <c r="S550" s="5" t="s">
        <v>29</v>
      </c>
      <c r="T550" s="5" t="s">
        <v>1915</v>
      </c>
      <c r="U550" s="294" t="s">
        <v>31</v>
      </c>
      <c r="V550" s="203" t="n">
        <v>43709</v>
      </c>
    </row>
    <row r="551" customFormat="false" ht="12.8" hidden="false" customHeight="false" outlineLevel="0" collapsed="false">
      <c r="B551" s="309" t="s">
        <v>5485</v>
      </c>
      <c r="C551" s="310" t="n">
        <v>43496</v>
      </c>
      <c r="D551" s="2" t="s">
        <v>22</v>
      </c>
      <c r="E551" s="311" t="s">
        <v>229</v>
      </c>
      <c r="F551" s="309" t="s">
        <v>230</v>
      </c>
      <c r="G551" s="311" t="s">
        <v>249</v>
      </c>
      <c r="H551" s="311" t="s">
        <v>2955</v>
      </c>
      <c r="I551" s="311" t="n">
        <v>5</v>
      </c>
      <c r="J551" s="312" t="n">
        <v>91.6</v>
      </c>
      <c r="K551" s="313" t="n">
        <v>760000</v>
      </c>
      <c r="L551" s="6" t="n">
        <f aca="false">K551/J551</f>
        <v>8296.94323144105</v>
      </c>
      <c r="M551" s="1" t="s">
        <v>940</v>
      </c>
      <c r="O551" s="6" t="n">
        <f aca="false">K551+N551</f>
        <v>760000</v>
      </c>
      <c r="P551" s="166" t="n">
        <f aca="false">O551/J551</f>
        <v>8296.94323144105</v>
      </c>
      <c r="S551" s="5" t="s">
        <v>29</v>
      </c>
      <c r="T551" s="5" t="s">
        <v>1915</v>
      </c>
      <c r="U551" s="294" t="s">
        <v>31</v>
      </c>
      <c r="V551" s="203" t="n">
        <v>43709</v>
      </c>
    </row>
    <row r="552" customFormat="false" ht="12.8" hidden="false" customHeight="false" outlineLevel="0" collapsed="false">
      <c r="B552" s="1" t="s">
        <v>5486</v>
      </c>
      <c r="C552" s="3" t="n">
        <v>43496</v>
      </c>
      <c r="D552" s="2" t="s">
        <v>22</v>
      </c>
      <c r="E552" s="311" t="s">
        <v>229</v>
      </c>
      <c r="F552" s="1" t="s">
        <v>230</v>
      </c>
      <c r="G552" s="2" t="s">
        <v>275</v>
      </c>
      <c r="H552" s="2" t="s">
        <v>135</v>
      </c>
      <c r="I552" s="2" t="n">
        <v>5</v>
      </c>
      <c r="J552" s="276" t="n">
        <v>53.32</v>
      </c>
      <c r="K552" s="7" t="n">
        <v>471314.84</v>
      </c>
      <c r="L552" s="6" t="n">
        <f aca="false">K552/J552</f>
        <v>8839.36309077269</v>
      </c>
      <c r="M552" s="1" t="s">
        <v>5155</v>
      </c>
      <c r="O552" s="6" t="n">
        <f aca="false">K552+N552</f>
        <v>471314.84</v>
      </c>
      <c r="P552" s="166" t="n">
        <f aca="false">O552/J552</f>
        <v>8839.36309077269</v>
      </c>
      <c r="S552" s="5" t="s">
        <v>29</v>
      </c>
      <c r="T552" s="5" t="s">
        <v>1915</v>
      </c>
      <c r="U552" s="294" t="s">
        <v>31</v>
      </c>
      <c r="V552" s="203" t="n">
        <v>43709</v>
      </c>
    </row>
    <row r="553" customFormat="false" ht="12.8" hidden="false" customHeight="false" outlineLevel="0" collapsed="false">
      <c r="B553" s="1" t="s">
        <v>5487</v>
      </c>
      <c r="C553" s="3" t="n">
        <v>43496</v>
      </c>
      <c r="D553" s="2" t="s">
        <v>22</v>
      </c>
      <c r="E553" s="311" t="s">
        <v>229</v>
      </c>
      <c r="F553" s="1" t="s">
        <v>230</v>
      </c>
      <c r="G553" s="2" t="s">
        <v>3498</v>
      </c>
      <c r="H553" s="2" t="s">
        <v>47</v>
      </c>
      <c r="I553" s="2" t="n">
        <v>4</v>
      </c>
      <c r="J553" s="276" t="n">
        <v>37.45</v>
      </c>
      <c r="K553" s="7" t="n">
        <v>338797.67</v>
      </c>
      <c r="L553" s="6" t="n">
        <f aca="false">K553/J553</f>
        <v>9046.66675567423</v>
      </c>
      <c r="M553" s="1" t="s">
        <v>940</v>
      </c>
      <c r="O553" s="6" t="n">
        <f aca="false">K553+N553</f>
        <v>338797.67</v>
      </c>
      <c r="P553" s="166" t="n">
        <f aca="false">O553/J553</f>
        <v>9046.66675567423</v>
      </c>
      <c r="S553" s="5" t="s">
        <v>29</v>
      </c>
      <c r="T553" s="5" t="s">
        <v>1915</v>
      </c>
      <c r="U553" s="294" t="s">
        <v>31</v>
      </c>
      <c r="V553" s="203" t="n">
        <v>43709</v>
      </c>
    </row>
    <row r="554" customFormat="false" ht="12.8" hidden="false" customHeight="false" outlineLevel="0" collapsed="false">
      <c r="B554" s="1" t="s">
        <v>5488</v>
      </c>
      <c r="C554" s="3" t="n">
        <v>43496</v>
      </c>
      <c r="D554" s="2" t="s">
        <v>22</v>
      </c>
      <c r="E554" s="311" t="s">
        <v>229</v>
      </c>
      <c r="F554" s="1" t="s">
        <v>230</v>
      </c>
      <c r="G554" s="2" t="s">
        <v>275</v>
      </c>
      <c r="H554" s="2" t="s">
        <v>226</v>
      </c>
      <c r="I554" s="2" t="n">
        <v>3</v>
      </c>
      <c r="J554" s="276" t="n">
        <v>49.12</v>
      </c>
      <c r="K554" s="7" t="n">
        <v>407222</v>
      </c>
      <c r="L554" s="6" t="n">
        <f aca="false">K554/J554</f>
        <v>8290.35016286645</v>
      </c>
      <c r="O554" s="6" t="n">
        <f aca="false">K554+N554</f>
        <v>407222</v>
      </c>
      <c r="P554" s="166" t="n">
        <f aca="false">O554/J554</f>
        <v>8290.35016286645</v>
      </c>
      <c r="S554" s="5" t="s">
        <v>29</v>
      </c>
      <c r="T554" s="5" t="s">
        <v>1915</v>
      </c>
      <c r="U554" s="294" t="s">
        <v>31</v>
      </c>
      <c r="V554" s="203" t="n">
        <v>43709</v>
      </c>
    </row>
    <row r="555" customFormat="false" ht="12.8" hidden="false" customHeight="false" outlineLevel="0" collapsed="false">
      <c r="B555" s="1" t="s">
        <v>5489</v>
      </c>
      <c r="C555" s="3" t="n">
        <v>43496</v>
      </c>
      <c r="D555" s="2" t="s">
        <v>22</v>
      </c>
      <c r="E555" s="314" t="s">
        <v>962</v>
      </c>
      <c r="F555" s="1" t="s">
        <v>963</v>
      </c>
      <c r="G555" s="2" t="s">
        <v>49</v>
      </c>
      <c r="H555" s="2" t="s">
        <v>515</v>
      </c>
      <c r="I555" s="2" t="n">
        <v>2</v>
      </c>
      <c r="J555" s="276" t="n">
        <v>49.25</v>
      </c>
      <c r="K555" s="7" t="n">
        <v>495000</v>
      </c>
      <c r="L555" s="302" t="n">
        <f aca="false">K555/J555</f>
        <v>10050.7614213198</v>
      </c>
      <c r="M555" s="1" t="s">
        <v>5490</v>
      </c>
      <c r="O555" s="302" t="n">
        <f aca="false">K555+N555</f>
        <v>495000</v>
      </c>
      <c r="P555" s="304" t="n">
        <f aca="false">O555/J555</f>
        <v>10050.7614213198</v>
      </c>
      <c r="S555" s="5" t="s">
        <v>29</v>
      </c>
      <c r="T555" s="5" t="s">
        <v>1915</v>
      </c>
      <c r="U555" s="294" t="s">
        <v>31</v>
      </c>
      <c r="V555" s="203" t="n">
        <v>43709</v>
      </c>
    </row>
    <row r="556" customFormat="false" ht="12.8" hidden="false" customHeight="false" outlineLevel="0" collapsed="false">
      <c r="B556" s="1" t="n">
        <v>1935</v>
      </c>
      <c r="C556" s="3" t="n">
        <v>43497</v>
      </c>
      <c r="D556" s="171" t="s">
        <v>22</v>
      </c>
      <c r="E556" s="315" t="s">
        <v>962</v>
      </c>
      <c r="F556" s="1" t="s">
        <v>963</v>
      </c>
      <c r="G556" s="2" t="n">
        <v>4</v>
      </c>
      <c r="H556" s="2" t="n">
        <v>31</v>
      </c>
      <c r="I556" s="2" t="n">
        <v>3</v>
      </c>
      <c r="J556" s="276" t="n">
        <v>90.95</v>
      </c>
      <c r="K556" s="6" t="n">
        <v>895000</v>
      </c>
      <c r="L556" s="6" t="n">
        <f aca="false">K556/J556</f>
        <v>9840.57174271578</v>
      </c>
      <c r="M556" s="264" t="s">
        <v>5484</v>
      </c>
      <c r="N556" s="6"/>
      <c r="O556" s="6" t="n">
        <f aca="false">K556+N556</f>
        <v>895000</v>
      </c>
      <c r="P556" s="166" t="n">
        <f aca="false">O556/J556</f>
        <v>9840.57174271578</v>
      </c>
      <c r="Q556" s="295"/>
      <c r="R556" s="301" t="s">
        <v>5239</v>
      </c>
      <c r="S556" s="5" t="s">
        <v>29</v>
      </c>
      <c r="T556" s="5" t="s">
        <v>1915</v>
      </c>
      <c r="U556" s="294" t="s">
        <v>31</v>
      </c>
      <c r="V556" s="203" t="n">
        <v>43709</v>
      </c>
      <c r="W556" s="1" t="s">
        <v>5457</v>
      </c>
    </row>
    <row r="557" customFormat="false" ht="12.8" hidden="false" customHeight="false" outlineLevel="0" collapsed="false">
      <c r="B557" s="1" t="n">
        <v>1125</v>
      </c>
      <c r="C557" s="3" t="n">
        <v>43497</v>
      </c>
      <c r="D557" s="171" t="s">
        <v>22</v>
      </c>
      <c r="E557" s="316" t="s">
        <v>229</v>
      </c>
      <c r="F557" s="1" t="s">
        <v>230</v>
      </c>
      <c r="G557" s="2" t="n">
        <v>57</v>
      </c>
      <c r="H557" s="2" t="n">
        <v>49</v>
      </c>
      <c r="I557" s="2" t="n">
        <v>1</v>
      </c>
      <c r="J557" s="276" t="n">
        <v>36.59</v>
      </c>
      <c r="K557" s="6" t="n">
        <v>326688</v>
      </c>
      <c r="L557" s="6" t="n">
        <f aca="false">K557/J557</f>
        <v>8928.34107679694</v>
      </c>
      <c r="M557" s="264" t="s">
        <v>987</v>
      </c>
      <c r="N557" s="6"/>
      <c r="O557" s="6" t="n">
        <f aca="false">K557+N557</f>
        <v>326688</v>
      </c>
      <c r="P557" s="166" t="n">
        <f aca="false">O557/J557</f>
        <v>8928.34107679694</v>
      </c>
      <c r="Q557" s="295"/>
      <c r="R557" s="2" t="s">
        <v>5228</v>
      </c>
      <c r="S557" s="5" t="s">
        <v>29</v>
      </c>
      <c r="T557" s="5" t="s">
        <v>1915</v>
      </c>
      <c r="U557" s="294" t="s">
        <v>31</v>
      </c>
      <c r="V557" s="203" t="n">
        <v>43709</v>
      </c>
      <c r="W557" s="1" t="s">
        <v>5151</v>
      </c>
    </row>
    <row r="558" customFormat="false" ht="12.8" hidden="false" customHeight="false" outlineLevel="0" collapsed="false">
      <c r="B558" s="1" t="s">
        <v>5491</v>
      </c>
      <c r="C558" s="3" t="n">
        <v>43497</v>
      </c>
      <c r="D558" s="2" t="s">
        <v>22</v>
      </c>
      <c r="E558" s="311" t="s">
        <v>229</v>
      </c>
      <c r="F558" s="1" t="s">
        <v>230</v>
      </c>
      <c r="G558" s="2" t="s">
        <v>3498</v>
      </c>
      <c r="H558" s="2" t="s">
        <v>226</v>
      </c>
      <c r="I558" s="2" t="n">
        <v>6</v>
      </c>
      <c r="J558" s="276" t="n">
        <v>37.33</v>
      </c>
      <c r="K558" s="7" t="n">
        <v>315562.93</v>
      </c>
      <c r="L558" s="6" t="n">
        <f aca="false">K558/J558</f>
        <v>8453.33324403965</v>
      </c>
      <c r="O558" s="6" t="n">
        <f aca="false">K558+N558</f>
        <v>315562.93</v>
      </c>
      <c r="P558" s="166" t="n">
        <f aca="false">O558/J558</f>
        <v>8453.33324403965</v>
      </c>
      <c r="S558" s="5" t="s">
        <v>29</v>
      </c>
      <c r="T558" s="5" t="s">
        <v>1915</v>
      </c>
      <c r="U558" s="294" t="s">
        <v>31</v>
      </c>
      <c r="V558" s="203" t="n">
        <v>43709</v>
      </c>
    </row>
    <row r="559" customFormat="false" ht="12.8" hidden="false" customHeight="false" outlineLevel="0" collapsed="false">
      <c r="B559" s="1" t="s">
        <v>5492</v>
      </c>
      <c r="C559" s="3" t="n">
        <v>43497</v>
      </c>
      <c r="D559" s="2" t="s">
        <v>22</v>
      </c>
      <c r="E559" s="311" t="s">
        <v>229</v>
      </c>
      <c r="F559" s="1" t="s">
        <v>230</v>
      </c>
      <c r="G559" s="2" t="s">
        <v>3498</v>
      </c>
      <c r="H559" s="2" t="s">
        <v>120</v>
      </c>
      <c r="I559" s="2" t="n">
        <v>3</v>
      </c>
      <c r="J559" s="276" t="n">
        <v>86.59</v>
      </c>
      <c r="K559" s="7" t="n">
        <v>735000</v>
      </c>
      <c r="L559" s="6" t="n">
        <f aca="false">K559/J559</f>
        <v>8488.27809215845</v>
      </c>
      <c r="M559" s="1" t="s">
        <v>940</v>
      </c>
      <c r="O559" s="6" t="n">
        <f aca="false">K559+N559</f>
        <v>735000</v>
      </c>
      <c r="P559" s="166" t="n">
        <f aca="false">O559/J559</f>
        <v>8488.27809215845</v>
      </c>
      <c r="S559" s="5" t="s">
        <v>29</v>
      </c>
      <c r="T559" s="5" t="s">
        <v>1915</v>
      </c>
      <c r="U559" s="294" t="s">
        <v>31</v>
      </c>
      <c r="V559" s="203" t="n">
        <v>43709</v>
      </c>
    </row>
    <row r="560" customFormat="false" ht="12.8" hidden="false" customHeight="false" outlineLevel="0" collapsed="false">
      <c r="B560" s="1" t="s">
        <v>5493</v>
      </c>
      <c r="C560" s="3" t="n">
        <v>43497</v>
      </c>
      <c r="D560" s="2" t="s">
        <v>22</v>
      </c>
      <c r="E560" s="311" t="s">
        <v>229</v>
      </c>
      <c r="F560" s="1" t="s">
        <v>230</v>
      </c>
      <c r="G560" s="2" t="s">
        <v>249</v>
      </c>
      <c r="H560" s="2" t="s">
        <v>345</v>
      </c>
      <c r="I560" s="2" t="n">
        <v>7</v>
      </c>
      <c r="J560" s="276" t="n">
        <v>83.54</v>
      </c>
      <c r="K560" s="7" t="n">
        <v>732024</v>
      </c>
      <c r="L560" s="6" t="n">
        <f aca="false">K560/J560</f>
        <v>8762.5568589897</v>
      </c>
      <c r="M560" s="1" t="s">
        <v>5372</v>
      </c>
      <c r="O560" s="6" t="n">
        <f aca="false">K560+N560</f>
        <v>732024</v>
      </c>
      <c r="P560" s="166" t="n">
        <f aca="false">O560/J560</f>
        <v>8762.5568589897</v>
      </c>
      <c r="S560" s="5" t="s">
        <v>29</v>
      </c>
      <c r="T560" s="5" t="s">
        <v>1915</v>
      </c>
      <c r="U560" s="294" t="s">
        <v>31</v>
      </c>
      <c r="V560" s="203" t="n">
        <v>43709</v>
      </c>
    </row>
    <row r="561" s="32" customFormat="true" ht="18" hidden="false" customHeight="true" outlineLevel="0" collapsed="false">
      <c r="A561" s="1"/>
      <c r="B561" s="32" t="s">
        <v>5494</v>
      </c>
      <c r="C561" s="290" t="n">
        <v>43497</v>
      </c>
      <c r="D561" s="80" t="s">
        <v>22</v>
      </c>
      <c r="E561" s="314" t="s">
        <v>962</v>
      </c>
      <c r="F561" s="32" t="s">
        <v>963</v>
      </c>
      <c r="G561" s="80" t="s">
        <v>49</v>
      </c>
      <c r="H561" s="80" t="s">
        <v>217</v>
      </c>
      <c r="I561" s="80" t="n">
        <v>3</v>
      </c>
      <c r="J561" s="292" t="n">
        <v>90.95</v>
      </c>
      <c r="K561" s="293" t="n">
        <v>895000</v>
      </c>
      <c r="L561" s="302" t="n">
        <f aca="false">K561/J561</f>
        <v>9840.57174271578</v>
      </c>
      <c r="M561" s="32" t="s">
        <v>5495</v>
      </c>
      <c r="N561" s="293"/>
      <c r="O561" s="302" t="n">
        <f aca="false">K561+N561</f>
        <v>895000</v>
      </c>
      <c r="P561" s="304" t="n">
        <f aca="false">O561/J561</f>
        <v>9840.57174271578</v>
      </c>
      <c r="R561" s="80"/>
      <c r="S561" s="73" t="s">
        <v>29</v>
      </c>
      <c r="T561" s="73" t="s">
        <v>1915</v>
      </c>
      <c r="U561" s="307" t="s">
        <v>31</v>
      </c>
      <c r="V561" s="308" t="n">
        <v>43709</v>
      </c>
    </row>
    <row r="562" customFormat="false" ht="12.8" hidden="false" customHeight="false" outlineLevel="0" collapsed="false">
      <c r="B562" s="1" t="n">
        <v>1089</v>
      </c>
      <c r="C562" s="3" t="n">
        <v>43501</v>
      </c>
      <c r="D562" s="171" t="s">
        <v>22</v>
      </c>
      <c r="E562" s="315" t="s">
        <v>1380</v>
      </c>
      <c r="F562" s="1" t="s">
        <v>1381</v>
      </c>
      <c r="G562" s="2" t="s">
        <v>5343</v>
      </c>
      <c r="H562" s="2" t="n">
        <v>3</v>
      </c>
      <c r="I562" s="2" t="n">
        <v>1</v>
      </c>
      <c r="J562" s="276" t="n">
        <v>87.41</v>
      </c>
      <c r="K562" s="6" t="n">
        <v>892150</v>
      </c>
      <c r="L562" s="6" t="n">
        <f aca="false">K562/J562</f>
        <v>10206.4981123441</v>
      </c>
      <c r="M562" s="264" t="s">
        <v>5282</v>
      </c>
      <c r="N562" s="6"/>
      <c r="O562" s="6" t="n">
        <f aca="false">K562+N562</f>
        <v>892150</v>
      </c>
      <c r="P562" s="166" t="n">
        <f aca="false">O562/J562</f>
        <v>10206.4981123441</v>
      </c>
      <c r="Q562" s="295"/>
      <c r="R562" s="2" t="s">
        <v>5260</v>
      </c>
      <c r="S562" s="5" t="s">
        <v>29</v>
      </c>
      <c r="T562" s="5" t="s">
        <v>1915</v>
      </c>
      <c r="U562" s="294" t="s">
        <v>31</v>
      </c>
      <c r="V562" s="203" t="n">
        <v>43709</v>
      </c>
      <c r="W562" s="1" t="s">
        <v>5345</v>
      </c>
    </row>
    <row r="563" s="32" customFormat="true" ht="12.8" hidden="false" customHeight="false" outlineLevel="0" collapsed="false">
      <c r="A563" s="1"/>
      <c r="B563" s="73" t="s">
        <v>5496</v>
      </c>
      <c r="C563" s="185" t="n">
        <v>43503</v>
      </c>
      <c r="D563" s="80" t="s">
        <v>22</v>
      </c>
      <c r="E563" s="314" t="s">
        <v>1380</v>
      </c>
      <c r="F563" s="72" t="s">
        <v>2320</v>
      </c>
      <c r="G563" s="73" t="s">
        <v>115</v>
      </c>
      <c r="H563" s="73" t="s">
        <v>27</v>
      </c>
      <c r="I563" s="73" t="s">
        <v>5401</v>
      </c>
      <c r="J563" s="74" t="n">
        <v>113.06</v>
      </c>
      <c r="K563" s="75" t="n">
        <v>1267000</v>
      </c>
      <c r="L563" s="302" t="n">
        <f aca="false">K563/J563</f>
        <v>11206.4390589068</v>
      </c>
      <c r="M563" s="32" t="s">
        <v>5402</v>
      </c>
      <c r="N563" s="293"/>
      <c r="O563" s="302" t="n">
        <f aca="false">K563+N563</f>
        <v>1267000</v>
      </c>
      <c r="P563" s="304" t="n">
        <f aca="false">O563/J563</f>
        <v>11206.4390589068</v>
      </c>
      <c r="R563" s="80"/>
      <c r="S563" s="73" t="s">
        <v>29</v>
      </c>
      <c r="T563" s="73" t="s">
        <v>1915</v>
      </c>
      <c r="U563" s="307" t="s">
        <v>31</v>
      </c>
      <c r="V563" s="308" t="n">
        <v>43709</v>
      </c>
    </row>
    <row r="564" customFormat="false" ht="12.8" hidden="false" customHeight="false" outlineLevel="0" collapsed="false">
      <c r="B564" s="73" t="s">
        <v>5497</v>
      </c>
      <c r="C564" s="185" t="n">
        <v>43507</v>
      </c>
      <c r="D564" s="80" t="s">
        <v>22</v>
      </c>
      <c r="E564" s="314" t="s">
        <v>962</v>
      </c>
      <c r="F564" s="190" t="s">
        <v>5326</v>
      </c>
      <c r="G564" s="73" t="s">
        <v>36</v>
      </c>
      <c r="H564" s="73" t="s">
        <v>105</v>
      </c>
      <c r="I564" s="73" t="n">
        <v>5</v>
      </c>
      <c r="J564" s="74" t="n">
        <v>62.94</v>
      </c>
      <c r="K564" s="78" t="n">
        <v>560000</v>
      </c>
      <c r="L564" s="302" t="n">
        <f aca="false">K564/J564</f>
        <v>8897.36256752463</v>
      </c>
      <c r="M564" s="32" t="s">
        <v>940</v>
      </c>
      <c r="N564" s="293"/>
      <c r="O564" s="302" t="n">
        <f aca="false">K564+N564</f>
        <v>560000</v>
      </c>
      <c r="P564" s="304" t="n">
        <f aca="false">O564/J564</f>
        <v>8897.36256752463</v>
      </c>
      <c r="R564" s="80"/>
      <c r="S564" s="5" t="s">
        <v>29</v>
      </c>
      <c r="T564" s="5" t="s">
        <v>1915</v>
      </c>
      <c r="U564" s="294" t="s">
        <v>31</v>
      </c>
      <c r="V564" s="203" t="n">
        <v>43709</v>
      </c>
    </row>
    <row r="565" customFormat="false" ht="12.8" hidden="false" customHeight="false" outlineLevel="0" collapsed="false">
      <c r="B565" s="1" t="s">
        <v>5498</v>
      </c>
      <c r="C565" s="3" t="n">
        <v>43508</v>
      </c>
      <c r="D565" s="2" t="s">
        <v>22</v>
      </c>
      <c r="E565" s="311" t="s">
        <v>229</v>
      </c>
      <c r="F565" s="1" t="s">
        <v>230</v>
      </c>
      <c r="G565" s="2" t="s">
        <v>275</v>
      </c>
      <c r="H565" s="2" t="s">
        <v>147</v>
      </c>
      <c r="I565" s="2" t="n">
        <v>1</v>
      </c>
      <c r="J565" s="276" t="n">
        <v>45.49</v>
      </c>
      <c r="K565" s="7" t="n">
        <v>390930</v>
      </c>
      <c r="L565" s="6" t="n">
        <f aca="false">K565/J565</f>
        <v>8593.75686964168</v>
      </c>
      <c r="M565" s="1" t="s">
        <v>5499</v>
      </c>
      <c r="O565" s="6" t="n">
        <f aca="false">K565+N565</f>
        <v>390930</v>
      </c>
      <c r="P565" s="166" t="n">
        <f aca="false">O565/J565</f>
        <v>8593.75686964168</v>
      </c>
      <c r="S565" s="5" t="s">
        <v>29</v>
      </c>
      <c r="T565" s="5" t="s">
        <v>1915</v>
      </c>
      <c r="U565" s="294" t="s">
        <v>31</v>
      </c>
      <c r="V565" s="203" t="n">
        <v>43709</v>
      </c>
    </row>
    <row r="566" customFormat="false" ht="12.8" hidden="false" customHeight="false" outlineLevel="0" collapsed="false">
      <c r="B566" s="1" t="s">
        <v>5500</v>
      </c>
      <c r="C566" s="3" t="n">
        <v>43508</v>
      </c>
      <c r="D566" s="2" t="s">
        <v>22</v>
      </c>
      <c r="E566" s="311" t="s">
        <v>229</v>
      </c>
      <c r="F566" s="1" t="s">
        <v>230</v>
      </c>
      <c r="G566" s="2" t="s">
        <v>249</v>
      </c>
      <c r="H566" s="2" t="s">
        <v>294</v>
      </c>
      <c r="I566" s="2" t="n">
        <v>4</v>
      </c>
      <c r="J566" s="276" t="n">
        <v>66.39</v>
      </c>
      <c r="K566" s="7" t="n">
        <v>576364.3</v>
      </c>
      <c r="L566" s="6" t="n">
        <f aca="false">K566/J566</f>
        <v>8681.49269468293</v>
      </c>
      <c r="M566" s="1" t="s">
        <v>2734</v>
      </c>
      <c r="O566" s="6" t="n">
        <f aca="false">K566+N566</f>
        <v>576364.3</v>
      </c>
      <c r="P566" s="166" t="n">
        <f aca="false">O566/J566</f>
        <v>8681.49269468293</v>
      </c>
      <c r="S566" s="5" t="s">
        <v>29</v>
      </c>
      <c r="T566" s="5" t="s">
        <v>1915</v>
      </c>
      <c r="U566" s="294" t="s">
        <v>31</v>
      </c>
      <c r="V566" s="203" t="n">
        <v>43709</v>
      </c>
    </row>
    <row r="567" customFormat="false" ht="12.8" hidden="false" customHeight="false" outlineLevel="0" collapsed="false">
      <c r="B567" s="1" t="s">
        <v>5501</v>
      </c>
      <c r="C567" s="3" t="n">
        <v>43508</v>
      </c>
      <c r="D567" s="2" t="s">
        <v>22</v>
      </c>
      <c r="E567" s="311" t="s">
        <v>229</v>
      </c>
      <c r="F567" s="1" t="s">
        <v>230</v>
      </c>
      <c r="G567" s="2" t="s">
        <v>275</v>
      </c>
      <c r="H567" s="2" t="s">
        <v>82</v>
      </c>
      <c r="I567" s="2" t="n">
        <v>3</v>
      </c>
      <c r="J567" s="276" t="n">
        <v>76.88</v>
      </c>
      <c r="K567" s="7" t="n">
        <v>658486.09</v>
      </c>
      <c r="L567" s="6" t="n">
        <f aca="false">K567/J567</f>
        <v>8565.11563475546</v>
      </c>
      <c r="M567" s="1" t="s">
        <v>940</v>
      </c>
      <c r="O567" s="6" t="n">
        <f aca="false">K567+N567</f>
        <v>658486.09</v>
      </c>
      <c r="P567" s="166" t="n">
        <f aca="false">O567/J567</f>
        <v>8565.11563475546</v>
      </c>
      <c r="S567" s="5" t="s">
        <v>29</v>
      </c>
      <c r="T567" s="5" t="s">
        <v>1915</v>
      </c>
      <c r="U567" s="294" t="s">
        <v>31</v>
      </c>
      <c r="V567" s="203" t="n">
        <v>43709</v>
      </c>
    </row>
    <row r="568" customFormat="false" ht="12.8" hidden="false" customHeight="false" outlineLevel="0" collapsed="false">
      <c r="B568" s="1" t="s">
        <v>5502</v>
      </c>
      <c r="C568" s="3" t="n">
        <v>43508</v>
      </c>
      <c r="D568" s="2" t="s">
        <v>22</v>
      </c>
      <c r="E568" s="2" t="s">
        <v>229</v>
      </c>
      <c r="F568" s="1" t="s">
        <v>230</v>
      </c>
      <c r="G568" s="2" t="s">
        <v>249</v>
      </c>
      <c r="H568" s="2" t="s">
        <v>635</v>
      </c>
      <c r="I568" s="2" t="n">
        <v>3</v>
      </c>
      <c r="J568" s="276" t="n">
        <v>46.87</v>
      </c>
      <c r="K568" s="7" t="n">
        <v>364533.35</v>
      </c>
      <c r="L568" s="6" t="n">
        <f aca="false">K568/J568</f>
        <v>7777.54107104758</v>
      </c>
      <c r="M568" s="1" t="s">
        <v>189</v>
      </c>
      <c r="O568" s="6" t="n">
        <f aca="false">K568+N568</f>
        <v>364533.35</v>
      </c>
      <c r="P568" s="166" t="n">
        <f aca="false">O568/J568</f>
        <v>7777.54107104758</v>
      </c>
      <c r="S568" s="5" t="s">
        <v>29</v>
      </c>
      <c r="T568" s="5" t="s">
        <v>1915</v>
      </c>
      <c r="U568" s="294" t="s">
        <v>31</v>
      </c>
      <c r="V568" s="203" t="n">
        <v>43709</v>
      </c>
    </row>
    <row r="569" customFormat="false" ht="12.8" hidden="false" customHeight="false" outlineLevel="0" collapsed="false">
      <c r="B569" s="309" t="s">
        <v>5503</v>
      </c>
      <c r="C569" s="310" t="n">
        <v>43508</v>
      </c>
      <c r="D569" s="2" t="s">
        <v>22</v>
      </c>
      <c r="E569" s="2" t="s">
        <v>229</v>
      </c>
      <c r="F569" s="309" t="s">
        <v>230</v>
      </c>
      <c r="G569" s="311" t="s">
        <v>249</v>
      </c>
      <c r="H569" s="311" t="s">
        <v>55</v>
      </c>
      <c r="I569" s="311" t="n">
        <v>4</v>
      </c>
      <c r="J569" s="312" t="n">
        <v>45.04</v>
      </c>
      <c r="K569" s="313" t="n">
        <v>392481.2</v>
      </c>
      <c r="L569" s="6" t="n">
        <f aca="false">K569/J569</f>
        <v>8714.05861456483</v>
      </c>
      <c r="M569" s="1" t="s">
        <v>940</v>
      </c>
      <c r="O569" s="6" t="n">
        <f aca="false">K569+N569</f>
        <v>392481.2</v>
      </c>
      <c r="P569" s="166" t="n">
        <f aca="false">O569/J569</f>
        <v>8714.05861456483</v>
      </c>
      <c r="S569" s="5" t="s">
        <v>29</v>
      </c>
      <c r="T569" s="5" t="s">
        <v>1915</v>
      </c>
      <c r="U569" s="294" t="s">
        <v>31</v>
      </c>
      <c r="V569" s="203" t="n">
        <v>43709</v>
      </c>
    </row>
    <row r="570" customFormat="false" ht="12.8" hidden="false" customHeight="false" outlineLevel="0" collapsed="false">
      <c r="B570" s="1" t="s">
        <v>5504</v>
      </c>
      <c r="C570" s="3" t="n">
        <v>43508</v>
      </c>
      <c r="D570" s="2" t="s">
        <v>22</v>
      </c>
      <c r="E570" s="2" t="s">
        <v>717</v>
      </c>
      <c r="F570" s="1" t="s">
        <v>5101</v>
      </c>
      <c r="G570" s="2" t="s">
        <v>336</v>
      </c>
      <c r="H570" s="2" t="s">
        <v>143</v>
      </c>
      <c r="I570" s="2" t="n">
        <v>2</v>
      </c>
      <c r="J570" s="276" t="n">
        <v>121.86</v>
      </c>
      <c r="K570" s="7" t="n">
        <v>1047995.61</v>
      </c>
      <c r="L570" s="6" t="n">
        <f aca="false">K570/J570</f>
        <v>8599.99679960611</v>
      </c>
      <c r="O570" s="6" t="n">
        <f aca="false">K570+N570</f>
        <v>1047995.61</v>
      </c>
      <c r="P570" s="166" t="n">
        <f aca="false">O570/J570</f>
        <v>8599.99679960611</v>
      </c>
      <c r="S570" s="5" t="s">
        <v>29</v>
      </c>
      <c r="T570" s="5" t="s">
        <v>1915</v>
      </c>
      <c r="U570" s="294" t="s">
        <v>31</v>
      </c>
      <c r="V570" s="203" t="n">
        <v>43709</v>
      </c>
    </row>
    <row r="571" s="32" customFormat="true" ht="12.8" hidden="false" customHeight="false" outlineLevel="0" collapsed="false">
      <c r="A571" s="1"/>
      <c r="B571" s="314" t="s">
        <v>5505</v>
      </c>
      <c r="C571" s="317" t="n">
        <v>43508</v>
      </c>
      <c r="D571" s="80" t="s">
        <v>22</v>
      </c>
      <c r="E571" s="73" t="s">
        <v>962</v>
      </c>
      <c r="F571" s="318" t="s">
        <v>5326</v>
      </c>
      <c r="G571" s="314" t="s">
        <v>36</v>
      </c>
      <c r="H571" s="314" t="s">
        <v>55</v>
      </c>
      <c r="I571" s="314" t="n">
        <v>2</v>
      </c>
      <c r="J571" s="319" t="n">
        <v>79.78</v>
      </c>
      <c r="K571" s="320" t="n">
        <v>633350</v>
      </c>
      <c r="L571" s="302" t="n">
        <f aca="false">K571/J571</f>
        <v>7938.70644271747</v>
      </c>
      <c r="M571" s="32" t="s">
        <v>940</v>
      </c>
      <c r="N571" s="293"/>
      <c r="O571" s="302" t="n">
        <f aca="false">K571+N571</f>
        <v>633350</v>
      </c>
      <c r="P571" s="304" t="n">
        <f aca="false">O571/J571</f>
        <v>7938.70644271747</v>
      </c>
      <c r="R571" s="80"/>
      <c r="S571" s="5" t="s">
        <v>29</v>
      </c>
      <c r="T571" s="5" t="s">
        <v>1915</v>
      </c>
      <c r="U571" s="294" t="s">
        <v>31</v>
      </c>
      <c r="V571" s="203" t="n">
        <v>43709</v>
      </c>
    </row>
    <row r="572" customFormat="false" ht="12.8" hidden="false" customHeight="false" outlineLevel="0" collapsed="false">
      <c r="B572" s="73" t="s">
        <v>5506</v>
      </c>
      <c r="C572" s="185" t="n">
        <v>43508</v>
      </c>
      <c r="D572" s="80" t="s">
        <v>22</v>
      </c>
      <c r="E572" s="73" t="s">
        <v>1380</v>
      </c>
      <c r="F572" s="190" t="s">
        <v>2320</v>
      </c>
      <c r="G572" s="73" t="s">
        <v>115</v>
      </c>
      <c r="H572" s="73" t="s">
        <v>36</v>
      </c>
      <c r="I572" s="73" t="s">
        <v>5401</v>
      </c>
      <c r="J572" s="74" t="n">
        <v>147.49</v>
      </c>
      <c r="K572" s="75" t="n">
        <v>1499000</v>
      </c>
      <c r="L572" s="302" t="n">
        <f aca="false">K572/J572</f>
        <v>10163.4009085362</v>
      </c>
      <c r="M572" s="32" t="s">
        <v>5402</v>
      </c>
      <c r="N572" s="293"/>
      <c r="O572" s="302" t="n">
        <f aca="false">K572+N572</f>
        <v>1499000</v>
      </c>
      <c r="P572" s="304" t="n">
        <f aca="false">O572/J572</f>
        <v>10163.4009085362</v>
      </c>
      <c r="R572" s="80"/>
      <c r="S572" s="73" t="s">
        <v>29</v>
      </c>
      <c r="T572" s="73" t="s">
        <v>1915</v>
      </c>
      <c r="U572" s="307" t="s">
        <v>31</v>
      </c>
      <c r="V572" s="308" t="n">
        <v>43709</v>
      </c>
    </row>
    <row r="573" customFormat="false" ht="12.8" hidden="false" customHeight="false" outlineLevel="0" collapsed="false">
      <c r="B573" s="32" t="s">
        <v>5456</v>
      </c>
      <c r="C573" s="290" t="n">
        <v>43509</v>
      </c>
      <c r="D573" s="80" t="s">
        <v>22</v>
      </c>
      <c r="E573" s="73" t="s">
        <v>962</v>
      </c>
      <c r="F573" s="32" t="s">
        <v>963</v>
      </c>
      <c r="G573" s="80" t="s">
        <v>49</v>
      </c>
      <c r="H573" s="80" t="s">
        <v>231</v>
      </c>
      <c r="I573" s="80" t="n">
        <v>3</v>
      </c>
      <c r="J573" s="292" t="n">
        <v>56.03</v>
      </c>
      <c r="K573" s="293" t="n">
        <v>567000</v>
      </c>
      <c r="L573" s="302" t="n">
        <f aca="false">K573/J573</f>
        <v>10119.578797073</v>
      </c>
      <c r="M573" s="32" t="s">
        <v>940</v>
      </c>
      <c r="N573" s="293"/>
      <c r="O573" s="302" t="n">
        <f aca="false">K573+N573</f>
        <v>567000</v>
      </c>
      <c r="P573" s="304" t="n">
        <f aca="false">O573/J573</f>
        <v>10119.578797073</v>
      </c>
      <c r="R573" s="80"/>
      <c r="S573" s="73" t="s">
        <v>29</v>
      </c>
      <c r="T573" s="73" t="s">
        <v>1915</v>
      </c>
      <c r="U573" s="307" t="s">
        <v>31</v>
      </c>
      <c r="V573" s="308" t="n">
        <v>43709</v>
      </c>
    </row>
    <row r="574" customFormat="false" ht="12.8" hidden="false" customHeight="false" outlineLevel="0" collapsed="false">
      <c r="B574" s="1" t="s">
        <v>5507</v>
      </c>
      <c r="C574" s="3" t="n">
        <v>43511</v>
      </c>
      <c r="D574" s="2" t="s">
        <v>22</v>
      </c>
      <c r="E574" s="2" t="s">
        <v>229</v>
      </c>
      <c r="F574" s="1" t="s">
        <v>230</v>
      </c>
      <c r="G574" s="2" t="s">
        <v>3498</v>
      </c>
      <c r="H574" s="2" t="s">
        <v>259</v>
      </c>
      <c r="I574" s="2" t="n">
        <v>7</v>
      </c>
      <c r="J574" s="276" t="n">
        <v>96.61</v>
      </c>
      <c r="K574" s="7" t="n">
        <v>817055.91</v>
      </c>
      <c r="L574" s="6" t="n">
        <f aca="false">K574/J574</f>
        <v>8457.26022150916</v>
      </c>
      <c r="M574" s="1" t="s">
        <v>2734</v>
      </c>
      <c r="O574" s="6" t="n">
        <f aca="false">K574+N574</f>
        <v>817055.91</v>
      </c>
      <c r="P574" s="166" t="n">
        <f aca="false">O574/J574</f>
        <v>8457.26022150916</v>
      </c>
      <c r="S574" s="5" t="s">
        <v>29</v>
      </c>
      <c r="T574" s="5" t="s">
        <v>1915</v>
      </c>
      <c r="U574" s="294" t="s">
        <v>31</v>
      </c>
      <c r="V574" s="203" t="n">
        <v>43709</v>
      </c>
    </row>
    <row r="575" customFormat="false" ht="12.8" hidden="false" customHeight="false" outlineLevel="0" collapsed="false">
      <c r="B575" s="1" t="s">
        <v>5508</v>
      </c>
      <c r="C575" s="3" t="n">
        <v>43515</v>
      </c>
      <c r="D575" s="2" t="s">
        <v>22</v>
      </c>
      <c r="E575" s="2" t="s">
        <v>229</v>
      </c>
      <c r="F575" s="1" t="s">
        <v>230</v>
      </c>
      <c r="G575" s="2" t="s">
        <v>3498</v>
      </c>
      <c r="H575" s="2" t="s">
        <v>111</v>
      </c>
      <c r="I575" s="2" t="n">
        <v>2</v>
      </c>
      <c r="J575" s="276" t="n">
        <v>37.5</v>
      </c>
      <c r="K575" s="7" t="n">
        <v>311000</v>
      </c>
      <c r="L575" s="6" t="n">
        <f aca="false">K575/J575</f>
        <v>8293.33333333334</v>
      </c>
      <c r="O575" s="6" t="n">
        <f aca="false">K575+N575</f>
        <v>311000</v>
      </c>
      <c r="P575" s="166" t="n">
        <f aca="false">O575/J575</f>
        <v>8293.33333333334</v>
      </c>
      <c r="S575" s="5" t="s">
        <v>29</v>
      </c>
      <c r="T575" s="5" t="s">
        <v>1915</v>
      </c>
      <c r="U575" s="294" t="s">
        <v>31</v>
      </c>
      <c r="V575" s="203" t="n">
        <v>43709</v>
      </c>
    </row>
    <row r="576" customFormat="false" ht="12.8" hidden="false" customHeight="false" outlineLevel="0" collapsed="false">
      <c r="B576" s="1" t="n">
        <v>7431</v>
      </c>
      <c r="C576" s="3" t="n">
        <v>43677</v>
      </c>
      <c r="D576" s="2" t="s">
        <v>22</v>
      </c>
      <c r="E576" s="2" t="s">
        <v>962</v>
      </c>
      <c r="F576" s="1" t="s">
        <v>5326</v>
      </c>
      <c r="G576" s="2" t="s">
        <v>36</v>
      </c>
      <c r="H576" s="2" t="s">
        <v>163</v>
      </c>
      <c r="I576" s="2" t="s">
        <v>57</v>
      </c>
      <c r="J576" s="276" t="n">
        <v>47.86</v>
      </c>
      <c r="K576" s="7" t="n">
        <v>730000</v>
      </c>
      <c r="L576" s="7" t="n">
        <f aca="false">K576/J576</f>
        <v>15252.8207271208</v>
      </c>
      <c r="O576" s="7" t="n">
        <f aca="false">K576+N576</f>
        <v>730000</v>
      </c>
      <c r="P576" s="7" t="n">
        <f aca="false">O576/J576</f>
        <v>15252.8207271208</v>
      </c>
      <c r="Q576" s="1" t="s">
        <v>2799</v>
      </c>
      <c r="R576" s="2" t="s">
        <v>36</v>
      </c>
      <c r="S576" s="5" t="s">
        <v>29</v>
      </c>
      <c r="T576" s="5" t="s">
        <v>1915</v>
      </c>
      <c r="U576" s="294" t="s">
        <v>31</v>
      </c>
      <c r="V576" s="203" t="n">
        <v>43709</v>
      </c>
    </row>
    <row r="577" customFormat="false" ht="12.8" hidden="false" customHeight="false" outlineLevel="0" collapsed="false">
      <c r="B577" s="1" t="n">
        <v>4314</v>
      </c>
      <c r="C577" s="3" t="n">
        <v>43678</v>
      </c>
      <c r="D577" s="2" t="s">
        <v>22</v>
      </c>
      <c r="E577" s="2" t="s">
        <v>229</v>
      </c>
      <c r="F577" s="1" t="s">
        <v>5509</v>
      </c>
      <c r="G577" s="2" t="s">
        <v>5510</v>
      </c>
      <c r="H577" s="2" t="n">
        <v>214</v>
      </c>
      <c r="I577" s="2" t="n">
        <v>7</v>
      </c>
      <c r="J577" s="276" t="n">
        <v>51.85</v>
      </c>
      <c r="K577" s="7" t="n">
        <v>1003245</v>
      </c>
      <c r="L577" s="7" t="n">
        <f aca="false">K577/J577</f>
        <v>19348.987463838</v>
      </c>
      <c r="M577" s="1" t="s">
        <v>5511</v>
      </c>
      <c r="O577" s="6" t="n">
        <f aca="false">K577+N577</f>
        <v>1003245</v>
      </c>
      <c r="P577" s="7" t="n">
        <f aca="false">O577/J577</f>
        <v>19348.987463838</v>
      </c>
      <c r="Q577" s="1" t="s">
        <v>5512</v>
      </c>
      <c r="R577" s="2" t="s">
        <v>5513</v>
      </c>
      <c r="S577" s="5" t="s">
        <v>29</v>
      </c>
      <c r="T577" s="5" t="s">
        <v>1915</v>
      </c>
      <c r="U577" s="294" t="s">
        <v>31</v>
      </c>
      <c r="V577" s="203" t="n">
        <v>43709</v>
      </c>
    </row>
    <row r="578" customFormat="false" ht="12.8" hidden="false" customHeight="false" outlineLevel="0" collapsed="false">
      <c r="B578" s="1" t="n">
        <v>28242</v>
      </c>
      <c r="C578" s="3" t="n">
        <v>43680</v>
      </c>
      <c r="D578" s="2" t="s">
        <v>22</v>
      </c>
      <c r="E578" s="230" t="s">
        <v>5514</v>
      </c>
      <c r="F578" s="1" t="s">
        <v>3086</v>
      </c>
      <c r="G578" s="2" t="n">
        <v>7</v>
      </c>
      <c r="H578" s="2" t="n">
        <v>81</v>
      </c>
      <c r="I578" s="2" t="n">
        <v>7</v>
      </c>
      <c r="J578" s="276" t="n">
        <v>71.41</v>
      </c>
      <c r="K578" s="7" t="n">
        <v>651186.56</v>
      </c>
      <c r="L578" s="6" t="n">
        <f aca="false">K578/J578</f>
        <v>9118.98277552164</v>
      </c>
      <c r="M578" s="1" t="s">
        <v>5515</v>
      </c>
      <c r="N578" s="7" t="n">
        <v>35791</v>
      </c>
      <c r="O578" s="6" t="n">
        <f aca="false">K578+N578</f>
        <v>686977.56</v>
      </c>
      <c r="P578" s="166" t="n">
        <f aca="false">O578/J578</f>
        <v>9620.18708864305</v>
      </c>
      <c r="Q578" s="295" t="s">
        <v>5516</v>
      </c>
      <c r="R578" s="2" t="n">
        <v>4</v>
      </c>
      <c r="S578" s="5" t="s">
        <v>29</v>
      </c>
      <c r="T578" s="5" t="s">
        <v>1915</v>
      </c>
      <c r="U578" s="294" t="s">
        <v>31</v>
      </c>
      <c r="V578" s="203" t="n">
        <v>43709</v>
      </c>
    </row>
    <row r="579" customFormat="false" ht="12.8" hidden="false" customHeight="false" outlineLevel="0" collapsed="false">
      <c r="B579" s="1" t="n">
        <v>7572</v>
      </c>
      <c r="C579" s="3" t="n">
        <v>43684</v>
      </c>
      <c r="D579" s="2" t="s">
        <v>22</v>
      </c>
      <c r="E579" s="2" t="s">
        <v>962</v>
      </c>
      <c r="F579" s="1" t="s">
        <v>963</v>
      </c>
      <c r="G579" s="2" t="n">
        <v>3</v>
      </c>
      <c r="H579" s="2" t="n">
        <v>7</v>
      </c>
      <c r="I579" s="2" t="n">
        <v>2</v>
      </c>
      <c r="J579" s="276" t="n">
        <v>33.56</v>
      </c>
      <c r="K579" s="7" t="n">
        <v>283122</v>
      </c>
      <c r="L579" s="7" t="n">
        <f aca="false">K579/J579</f>
        <v>8436.29320619785</v>
      </c>
      <c r="M579" s="151" t="s">
        <v>5517</v>
      </c>
      <c r="O579" s="6" t="n">
        <f aca="false">K579+N579</f>
        <v>283122</v>
      </c>
      <c r="P579" s="7" t="n">
        <f aca="false">O579/J579</f>
        <v>8436.29320619785</v>
      </c>
      <c r="Q579" s="1" t="s">
        <v>5518</v>
      </c>
      <c r="R579" s="2" t="n">
        <v>2</v>
      </c>
      <c r="S579" s="5" t="s">
        <v>29</v>
      </c>
      <c r="T579" s="5" t="s">
        <v>1915</v>
      </c>
      <c r="U579" s="294" t="s">
        <v>31</v>
      </c>
      <c r="V579" s="203" t="n">
        <v>43709</v>
      </c>
    </row>
    <row r="580" customFormat="false" ht="12.8" hidden="false" customHeight="false" outlineLevel="0" collapsed="false">
      <c r="B580" s="1" t="n">
        <v>8840</v>
      </c>
      <c r="C580" s="3" t="n">
        <v>43684</v>
      </c>
      <c r="D580" s="2" t="s">
        <v>22</v>
      </c>
      <c r="E580" s="2" t="s">
        <v>5216</v>
      </c>
      <c r="F580" s="1" t="s">
        <v>5221</v>
      </c>
      <c r="G580" s="2" t="n">
        <v>3</v>
      </c>
      <c r="H580" s="2" t="n">
        <v>20</v>
      </c>
      <c r="I580" s="2" t="n">
        <v>2</v>
      </c>
      <c r="J580" s="276" t="n">
        <v>70.77</v>
      </c>
      <c r="K580" s="7" t="n">
        <v>817738.57</v>
      </c>
      <c r="L580" s="7" t="n">
        <f aca="false">K580/J580</f>
        <v>11554.8759361311</v>
      </c>
      <c r="M580" s="151" t="s">
        <v>940</v>
      </c>
      <c r="N580" s="7" t="n">
        <v>0</v>
      </c>
      <c r="O580" s="6" t="n">
        <f aca="false">K580+N580</f>
        <v>817738.57</v>
      </c>
      <c r="P580" s="7" t="n">
        <f aca="false">O580/J580</f>
        <v>11554.8759361311</v>
      </c>
      <c r="Q580" s="1" t="s">
        <v>5519</v>
      </c>
      <c r="R580" s="2" t="n">
        <v>4</v>
      </c>
      <c r="S580" s="5" t="s">
        <v>29</v>
      </c>
      <c r="T580" s="5" t="s">
        <v>1915</v>
      </c>
      <c r="U580" s="294" t="s">
        <v>31</v>
      </c>
      <c r="V580" s="203" t="n">
        <v>43709</v>
      </c>
    </row>
    <row r="581" customFormat="false" ht="12.8" hidden="false" customHeight="false" outlineLevel="0" collapsed="false">
      <c r="B581" s="1" t="n">
        <v>8022</v>
      </c>
      <c r="C581" s="3" t="n">
        <v>43686</v>
      </c>
      <c r="D581" s="2" t="s">
        <v>22</v>
      </c>
      <c r="E581" s="2" t="s">
        <v>717</v>
      </c>
      <c r="F581" s="1" t="s">
        <v>344</v>
      </c>
      <c r="G581" s="2" t="n">
        <v>55</v>
      </c>
      <c r="H581" s="2" t="n">
        <v>14</v>
      </c>
      <c r="I581" s="2" t="n">
        <v>2</v>
      </c>
      <c r="J581" s="276" t="n">
        <v>64.78</v>
      </c>
      <c r="K581" s="7" t="n">
        <v>708000</v>
      </c>
      <c r="L581" s="7" t="n">
        <f aca="false">K581/J581</f>
        <v>10929.2991664094</v>
      </c>
      <c r="M581" s="1" t="s">
        <v>940</v>
      </c>
      <c r="O581" s="6" t="n">
        <f aca="false">K581+N581</f>
        <v>708000</v>
      </c>
      <c r="P581" s="7" t="n">
        <f aca="false">O581/J581</f>
        <v>10929.2991664094</v>
      </c>
      <c r="Q581" s="1" t="s">
        <v>5520</v>
      </c>
      <c r="R581" s="2" t="n">
        <v>3</v>
      </c>
      <c r="S581" s="5" t="s">
        <v>29</v>
      </c>
      <c r="T581" s="5" t="s">
        <v>1915</v>
      </c>
      <c r="U581" s="294" t="s">
        <v>31</v>
      </c>
      <c r="V581" s="203" t="n">
        <v>43709</v>
      </c>
    </row>
    <row r="582" customFormat="false" ht="12.8" hidden="false" customHeight="false" outlineLevel="0" collapsed="false">
      <c r="B582" s="1" t="n">
        <v>53047</v>
      </c>
      <c r="C582" s="3" t="n">
        <v>43689</v>
      </c>
      <c r="D582" s="2" t="s">
        <v>22</v>
      </c>
      <c r="E582" s="321" t="s">
        <v>5521</v>
      </c>
      <c r="F582" s="1" t="s">
        <v>5522</v>
      </c>
      <c r="G582" s="2" t="n">
        <v>7</v>
      </c>
      <c r="H582" s="2" t="n">
        <v>147</v>
      </c>
      <c r="I582" s="2" t="n">
        <v>9</v>
      </c>
      <c r="J582" s="276" t="n">
        <v>112.1</v>
      </c>
      <c r="K582" s="7" t="n">
        <v>1207781.39</v>
      </c>
      <c r="L582" s="7" t="n">
        <f aca="false">K582/J582</f>
        <v>10774.1426404996</v>
      </c>
      <c r="M582" s="1" t="s">
        <v>5523</v>
      </c>
      <c r="O582" s="6" t="n">
        <f aca="false">K582+N582</f>
        <v>1207781.39</v>
      </c>
      <c r="P582" s="7" t="n">
        <f aca="false">O582/J582</f>
        <v>10774.1426404996</v>
      </c>
      <c r="Q582" s="1" t="s">
        <v>5524</v>
      </c>
      <c r="R582" s="2" t="n">
        <v>4</v>
      </c>
      <c r="S582" s="5" t="s">
        <v>29</v>
      </c>
      <c r="T582" s="5" t="s">
        <v>1915</v>
      </c>
      <c r="U582" s="294" t="s">
        <v>31</v>
      </c>
      <c r="V582" s="203" t="n">
        <v>43709</v>
      </c>
    </row>
    <row r="583" customFormat="false" ht="12.8" hidden="false" customHeight="false" outlineLevel="0" collapsed="false">
      <c r="B583" s="1" t="n">
        <v>5291</v>
      </c>
      <c r="C583" s="3" t="n">
        <v>43689</v>
      </c>
      <c r="D583" s="2" t="s">
        <v>22</v>
      </c>
      <c r="E583" s="2" t="s">
        <v>2151</v>
      </c>
      <c r="F583" s="1" t="s">
        <v>4050</v>
      </c>
      <c r="G583" s="2" t="n">
        <v>2</v>
      </c>
      <c r="H583" s="2" t="n">
        <v>22</v>
      </c>
      <c r="I583" s="2" t="s">
        <v>887</v>
      </c>
      <c r="J583" s="276" t="n">
        <v>43.96</v>
      </c>
      <c r="K583" s="7" t="n">
        <v>408634.59</v>
      </c>
      <c r="L583" s="7" t="n">
        <f aca="false">K583/J583</f>
        <v>9295.60031847134</v>
      </c>
      <c r="M583" s="1" t="s">
        <v>940</v>
      </c>
      <c r="O583" s="6" t="n">
        <f aca="false">K583+N583</f>
        <v>408634.59</v>
      </c>
      <c r="P583" s="7" t="n">
        <f aca="false">O583/J583</f>
        <v>9295.60031847134</v>
      </c>
      <c r="Q583" s="1" t="s">
        <v>5525</v>
      </c>
      <c r="R583" s="2" t="n">
        <v>2</v>
      </c>
      <c r="S583" s="5" t="s">
        <v>29</v>
      </c>
      <c r="T583" s="5" t="s">
        <v>1915</v>
      </c>
      <c r="U583" s="294" t="s">
        <v>31</v>
      </c>
      <c r="V583" s="203" t="n">
        <v>43709</v>
      </c>
    </row>
    <row r="584" customFormat="false" ht="12.8" hidden="false" customHeight="false" outlineLevel="0" collapsed="false">
      <c r="B584" s="1" t="n">
        <v>5424</v>
      </c>
      <c r="C584" s="3" t="n">
        <v>43690</v>
      </c>
      <c r="D584" s="2" t="s">
        <v>22</v>
      </c>
      <c r="E584" s="321" t="s">
        <v>2151</v>
      </c>
      <c r="F584" s="1" t="s">
        <v>4050</v>
      </c>
      <c r="G584" s="2" t="n">
        <v>2</v>
      </c>
      <c r="H584" s="2" t="n">
        <v>23</v>
      </c>
      <c r="I584" s="2" t="n">
        <v>6</v>
      </c>
      <c r="J584" s="276" t="n">
        <v>65.64</v>
      </c>
      <c r="K584" s="7" t="n">
        <v>546968.93</v>
      </c>
      <c r="L584" s="7" t="n">
        <f aca="false">K584/J584</f>
        <v>8332.85999390616</v>
      </c>
      <c r="M584" s="1" t="s">
        <v>940</v>
      </c>
      <c r="O584" s="6" t="n">
        <f aca="false">K584+N584</f>
        <v>546968.93</v>
      </c>
      <c r="P584" s="7" t="n">
        <f aca="false">O584/J584</f>
        <v>8332.85999390616</v>
      </c>
      <c r="Q584" s="1" t="s">
        <v>5526</v>
      </c>
      <c r="R584" s="2" t="n">
        <v>3</v>
      </c>
      <c r="S584" s="5" t="s">
        <v>29</v>
      </c>
      <c r="T584" s="5" t="s">
        <v>1915</v>
      </c>
      <c r="U584" s="294" t="s">
        <v>31</v>
      </c>
      <c r="V584" s="203" t="n">
        <v>43709</v>
      </c>
    </row>
    <row r="585" customFormat="false" ht="12.8" hidden="false" customHeight="false" outlineLevel="0" collapsed="false">
      <c r="B585" s="1" t="n">
        <v>5415</v>
      </c>
      <c r="C585" s="3" t="n">
        <v>43690</v>
      </c>
      <c r="D585" s="2" t="s">
        <v>22</v>
      </c>
      <c r="E585" s="2" t="s">
        <v>2151</v>
      </c>
      <c r="F585" s="1" t="s">
        <v>4050</v>
      </c>
      <c r="G585" s="2" t="n">
        <v>2</v>
      </c>
      <c r="H585" s="2" t="n">
        <v>50</v>
      </c>
      <c r="I585" s="2" t="n">
        <v>7</v>
      </c>
      <c r="J585" s="276" t="n">
        <v>65.77</v>
      </c>
      <c r="K585" s="7" t="n">
        <v>554574.11</v>
      </c>
      <c r="L585" s="7" t="n">
        <f aca="false">K585/J585</f>
        <v>8432.02235061578</v>
      </c>
      <c r="M585" s="1" t="s">
        <v>940</v>
      </c>
      <c r="O585" s="6" t="n">
        <f aca="false">K585+N585</f>
        <v>554574.11</v>
      </c>
      <c r="P585" s="7" t="n">
        <f aca="false">O585/J585</f>
        <v>8432.02235061578</v>
      </c>
      <c r="Q585" s="1" t="s">
        <v>5527</v>
      </c>
      <c r="R585" s="2" t="n">
        <v>4</v>
      </c>
      <c r="S585" s="5" t="s">
        <v>29</v>
      </c>
      <c r="T585" s="5" t="s">
        <v>1915</v>
      </c>
      <c r="U585" s="294" t="s">
        <v>31</v>
      </c>
      <c r="V585" s="203" t="n">
        <v>43709</v>
      </c>
    </row>
    <row r="586" customFormat="false" ht="12.8" hidden="false" customHeight="false" outlineLevel="0" collapsed="false">
      <c r="B586" s="1" t="n">
        <v>54256</v>
      </c>
      <c r="C586" s="3" t="n">
        <v>43690</v>
      </c>
      <c r="D586" s="2" t="s">
        <v>22</v>
      </c>
      <c r="E586" s="2" t="s">
        <v>322</v>
      </c>
      <c r="F586" s="1" t="s">
        <v>323</v>
      </c>
      <c r="G586" s="2" t="n">
        <v>2</v>
      </c>
      <c r="H586" s="2" t="n">
        <v>30</v>
      </c>
      <c r="I586" s="2" t="n">
        <v>7</v>
      </c>
      <c r="J586" s="276" t="n">
        <v>47.79</v>
      </c>
      <c r="K586" s="7" t="n">
        <v>382298.97</v>
      </c>
      <c r="L586" s="7" t="n">
        <f aca="false">K586/J586</f>
        <v>7999.55994978029</v>
      </c>
      <c r="O586" s="6" t="n">
        <f aca="false">K586+N586</f>
        <v>382298.97</v>
      </c>
      <c r="P586" s="7" t="n">
        <f aca="false">O586/J586</f>
        <v>7999.55994978029</v>
      </c>
      <c r="Q586" s="1" t="s">
        <v>5525</v>
      </c>
      <c r="R586" s="2" t="n">
        <v>2</v>
      </c>
      <c r="S586" s="5" t="s">
        <v>29</v>
      </c>
      <c r="T586" s="5" t="s">
        <v>1915</v>
      </c>
      <c r="U586" s="294" t="s">
        <v>31</v>
      </c>
      <c r="V586" s="203" t="n">
        <v>43709</v>
      </c>
    </row>
    <row r="587" customFormat="false" ht="12.8" hidden="false" customHeight="false" outlineLevel="0" collapsed="false">
      <c r="B587" s="1" t="n">
        <v>7830</v>
      </c>
      <c r="C587" s="3" t="n">
        <v>43692</v>
      </c>
      <c r="D587" s="2" t="s">
        <v>22</v>
      </c>
      <c r="E587" s="2" t="s">
        <v>962</v>
      </c>
      <c r="F587" s="1" t="s">
        <v>4820</v>
      </c>
      <c r="G587" s="2" t="n">
        <v>2</v>
      </c>
      <c r="H587" s="2" t="n">
        <v>81</v>
      </c>
      <c r="I587" s="2" t="s">
        <v>887</v>
      </c>
      <c r="J587" s="276" t="n">
        <v>31.38</v>
      </c>
      <c r="K587" s="7" t="n">
        <v>275000</v>
      </c>
      <c r="L587" s="7" t="n">
        <f aca="false">K587/J587</f>
        <v>8763.54365838114</v>
      </c>
      <c r="O587" s="6" t="n">
        <f aca="false">K587+N587</f>
        <v>275000</v>
      </c>
      <c r="P587" s="7" t="n">
        <f aca="false">O587/J587</f>
        <v>8763.54365838114</v>
      </c>
      <c r="R587" s="2" t="n">
        <v>2</v>
      </c>
      <c r="S587" s="5" t="s">
        <v>29</v>
      </c>
      <c r="T587" s="5" t="s">
        <v>1915</v>
      </c>
      <c r="U587" s="294" t="s">
        <v>31</v>
      </c>
      <c r="V587" s="203" t="n">
        <v>43709</v>
      </c>
    </row>
    <row r="588" customFormat="false" ht="12.8" hidden="false" customHeight="false" outlineLevel="0" collapsed="false">
      <c r="B588" s="1" t="n">
        <v>54048</v>
      </c>
      <c r="C588" s="3" t="n">
        <v>43697</v>
      </c>
      <c r="D588" s="2" t="s">
        <v>22</v>
      </c>
      <c r="E588" s="2" t="s">
        <v>322</v>
      </c>
      <c r="F588" s="1" t="s">
        <v>323</v>
      </c>
      <c r="G588" s="2" t="n">
        <v>2</v>
      </c>
      <c r="H588" s="2" t="n">
        <v>24</v>
      </c>
      <c r="I588" s="2" t="n">
        <v>5</v>
      </c>
      <c r="J588" s="276" t="n">
        <v>48.21</v>
      </c>
      <c r="K588" s="7" t="n">
        <v>372360.54</v>
      </c>
      <c r="L588" s="6" t="n">
        <f aca="false">K588/J588</f>
        <v>7723.7199751089</v>
      </c>
      <c r="M588" s="1" t="s">
        <v>5528</v>
      </c>
      <c r="O588" s="6" t="n">
        <f aca="false">K588+N588</f>
        <v>372360.54</v>
      </c>
      <c r="P588" s="7" t="n">
        <f aca="false">O588/J588</f>
        <v>7723.7199751089</v>
      </c>
      <c r="Q588" s="1" t="s">
        <v>5529</v>
      </c>
      <c r="R588" s="2" t="n">
        <v>2</v>
      </c>
      <c r="S588" s="5" t="s">
        <v>29</v>
      </c>
      <c r="T588" s="5" t="s">
        <v>1915</v>
      </c>
      <c r="U588" s="294" t="s">
        <v>31</v>
      </c>
      <c r="V588" s="203" t="n">
        <v>43709</v>
      </c>
    </row>
    <row r="589" customFormat="false" ht="12.8" hidden="false" customHeight="false" outlineLevel="0" collapsed="false">
      <c r="B589" s="1" t="n">
        <v>4306</v>
      </c>
      <c r="C589" s="3" t="n">
        <v>43697</v>
      </c>
      <c r="D589" s="2" t="s">
        <v>22</v>
      </c>
      <c r="E589" s="2" t="s">
        <v>623</v>
      </c>
      <c r="F589" s="1" t="s">
        <v>272</v>
      </c>
      <c r="G589" s="2" t="s">
        <v>5530</v>
      </c>
      <c r="H589" s="2" t="n">
        <v>224</v>
      </c>
      <c r="I589" s="2" t="n">
        <v>11</v>
      </c>
      <c r="J589" s="276" t="n">
        <v>71.03</v>
      </c>
      <c r="K589" s="7" t="n">
        <v>686000</v>
      </c>
      <c r="L589" s="7" t="n">
        <f aca="false">K589/J589</f>
        <v>9657.89103195833</v>
      </c>
      <c r="M589" s="1" t="s">
        <v>1140</v>
      </c>
      <c r="O589" s="7" t="n">
        <f aca="false">K589+N589</f>
        <v>686000</v>
      </c>
      <c r="P589" s="7" t="n">
        <f aca="false">O589/J589</f>
        <v>9657.89103195833</v>
      </c>
      <c r="Q589" s="1" t="s">
        <v>5531</v>
      </c>
      <c r="R589" s="2" t="n">
        <v>3</v>
      </c>
      <c r="S589" s="5" t="s">
        <v>29</v>
      </c>
      <c r="T589" s="5" t="s">
        <v>1915</v>
      </c>
      <c r="U589" s="294" t="s">
        <v>31</v>
      </c>
      <c r="V589" s="203" t="n">
        <v>43709</v>
      </c>
    </row>
    <row r="590" customFormat="false" ht="12.8" hidden="false" customHeight="false" outlineLevel="0" collapsed="false">
      <c r="B590" s="1" t="n">
        <v>952</v>
      </c>
      <c r="C590" s="3" t="n">
        <v>43698</v>
      </c>
      <c r="D590" s="2" t="s">
        <v>22</v>
      </c>
      <c r="E590" s="2" t="s">
        <v>3085</v>
      </c>
      <c r="F590" s="1" t="s">
        <v>3086</v>
      </c>
      <c r="G590" s="2" t="s">
        <v>5532</v>
      </c>
      <c r="H590" s="2" t="n">
        <v>30</v>
      </c>
      <c r="I590" s="2" t="n">
        <v>3</v>
      </c>
      <c r="J590" s="276" t="n">
        <v>61.82</v>
      </c>
      <c r="K590" s="7" t="n">
        <v>541541.97</v>
      </c>
      <c r="L590" s="6" t="n">
        <f aca="false">K590/J590</f>
        <v>8759.98010352637</v>
      </c>
      <c r="M590" s="1" t="s">
        <v>940</v>
      </c>
      <c r="N590" s="7" t="n">
        <v>42000</v>
      </c>
      <c r="O590" s="6" t="n">
        <f aca="false">K590+N590</f>
        <v>583541.97</v>
      </c>
      <c r="P590" s="166" t="n">
        <f aca="false">O590/J590</f>
        <v>9439.371886121</v>
      </c>
      <c r="Q590" s="1" t="s">
        <v>5533</v>
      </c>
      <c r="R590" s="2" t="n">
        <v>3</v>
      </c>
      <c r="S590" s="5" t="s">
        <v>29</v>
      </c>
      <c r="T590" s="5" t="s">
        <v>1915</v>
      </c>
      <c r="U590" s="294" t="s">
        <v>31</v>
      </c>
      <c r="V590" s="203" t="n">
        <v>43709</v>
      </c>
    </row>
    <row r="591" customFormat="false" ht="13.8" hidden="false" customHeight="false" outlineLevel="0" collapsed="false">
      <c r="B591" s="1" t="n">
        <v>12856</v>
      </c>
      <c r="C591" s="3" t="n">
        <v>43698</v>
      </c>
      <c r="D591" s="2" t="s">
        <v>22</v>
      </c>
      <c r="E591" s="2" t="s">
        <v>5534</v>
      </c>
      <c r="F591" s="1" t="s">
        <v>1423</v>
      </c>
      <c r="G591" s="2" t="n">
        <v>8</v>
      </c>
      <c r="H591" s="2" t="n">
        <v>8</v>
      </c>
      <c r="I591" s="2" t="n">
        <v>2</v>
      </c>
      <c r="J591" s="276" t="n">
        <v>68.25</v>
      </c>
      <c r="K591" s="7" t="n">
        <v>648375</v>
      </c>
      <c r="L591" s="6" t="n">
        <f aca="false">K591/J591</f>
        <v>9500</v>
      </c>
      <c r="M591" s="256" t="s">
        <v>940</v>
      </c>
      <c r="N591" s="7" t="n">
        <v>39625</v>
      </c>
      <c r="O591" s="6" t="n">
        <f aca="false">K591+N591</f>
        <v>688000</v>
      </c>
      <c r="P591" s="166" t="n">
        <f aca="false">O591/J591</f>
        <v>10080.5860805861</v>
      </c>
      <c r="Q591" s="1" t="s">
        <v>5535</v>
      </c>
      <c r="R591" s="2" t="n">
        <v>3</v>
      </c>
      <c r="S591" s="5" t="s">
        <v>29</v>
      </c>
      <c r="T591" s="5" t="s">
        <v>1915</v>
      </c>
      <c r="U591" s="294" t="s">
        <v>31</v>
      </c>
      <c r="V591" s="203" t="n">
        <v>43709</v>
      </c>
    </row>
    <row r="592" customFormat="false" ht="12.8" hidden="false" customHeight="false" outlineLevel="0" collapsed="false">
      <c r="B592" s="1" t="n">
        <v>54264</v>
      </c>
      <c r="C592" s="3" t="n">
        <v>43698</v>
      </c>
      <c r="D592" s="2" t="s">
        <v>22</v>
      </c>
      <c r="E592" s="2" t="s">
        <v>322</v>
      </c>
      <c r="F592" s="1" t="s">
        <v>323</v>
      </c>
      <c r="G592" s="2" t="n">
        <v>2</v>
      </c>
      <c r="H592" s="2" t="n">
        <v>13</v>
      </c>
      <c r="I592" s="2" t="n">
        <v>1</v>
      </c>
      <c r="J592" s="276" t="n">
        <v>70.56</v>
      </c>
      <c r="K592" s="7" t="n">
        <v>525660.71</v>
      </c>
      <c r="L592" s="6" t="n">
        <f aca="false">K592/J592</f>
        <v>7449.83999433107</v>
      </c>
      <c r="O592" s="6" t="n">
        <f aca="false">K592+N592</f>
        <v>525660.71</v>
      </c>
      <c r="P592" s="7" t="n">
        <f aca="false">O592/J592</f>
        <v>7449.83999433107</v>
      </c>
      <c r="Q592" s="1" t="s">
        <v>5536</v>
      </c>
      <c r="R592" s="2" t="n">
        <v>3</v>
      </c>
      <c r="S592" s="5" t="s">
        <v>29</v>
      </c>
      <c r="T592" s="5" t="s">
        <v>1915</v>
      </c>
      <c r="U592" s="294" t="s">
        <v>31</v>
      </c>
      <c r="V592" s="203" t="n">
        <v>43709</v>
      </c>
    </row>
    <row r="593" customFormat="false" ht="12.8" hidden="false" customHeight="false" outlineLevel="0" collapsed="false">
      <c r="B593" s="1" t="n">
        <v>7494</v>
      </c>
      <c r="C593" s="3" t="n">
        <v>43698</v>
      </c>
      <c r="D593" s="2" t="s">
        <v>22</v>
      </c>
      <c r="E593" s="2" t="s">
        <v>962</v>
      </c>
      <c r="F593" s="1" t="s">
        <v>4820</v>
      </c>
      <c r="G593" s="2" t="n">
        <v>3</v>
      </c>
      <c r="H593" s="2" t="n">
        <v>71</v>
      </c>
      <c r="I593" s="2" t="n">
        <v>2</v>
      </c>
      <c r="J593" s="276" t="n">
        <v>49.28</v>
      </c>
      <c r="K593" s="7" t="n">
        <v>419306</v>
      </c>
      <c r="L593" s="7" t="n">
        <f aca="false">K593/J593</f>
        <v>8508.64448051948</v>
      </c>
      <c r="O593" s="6" t="n">
        <f aca="false">K593+N593</f>
        <v>419306</v>
      </c>
      <c r="P593" s="7" t="n">
        <f aca="false">O593/J593</f>
        <v>8508.64448051948</v>
      </c>
      <c r="Q593" s="1" t="s">
        <v>5529</v>
      </c>
      <c r="R593" s="2" t="n">
        <v>2</v>
      </c>
      <c r="S593" s="5" t="s">
        <v>29</v>
      </c>
      <c r="T593" s="5" t="s">
        <v>1915</v>
      </c>
      <c r="U593" s="294" t="s">
        <v>31</v>
      </c>
      <c r="V593" s="203" t="n">
        <v>43709</v>
      </c>
    </row>
    <row r="594" customFormat="false" ht="12.8" hidden="false" customHeight="false" outlineLevel="0" collapsed="false">
      <c r="B594" s="1" t="n">
        <v>7689</v>
      </c>
      <c r="C594" s="3" t="n">
        <v>43698</v>
      </c>
      <c r="D594" s="2" t="s">
        <v>22</v>
      </c>
      <c r="E594" s="2" t="s">
        <v>962</v>
      </c>
      <c r="F594" s="1" t="s">
        <v>963</v>
      </c>
      <c r="G594" s="2" t="n">
        <v>3</v>
      </c>
      <c r="H594" s="2" t="n">
        <v>130</v>
      </c>
      <c r="I594" s="2" t="n">
        <v>4</v>
      </c>
      <c r="J594" s="276" t="n">
        <v>72.43</v>
      </c>
      <c r="K594" s="7" t="n">
        <v>640000</v>
      </c>
      <c r="L594" s="7" t="n">
        <f aca="false">K594/J594</f>
        <v>8836.11763081596</v>
      </c>
      <c r="M594" s="1" t="s">
        <v>5537</v>
      </c>
      <c r="O594" s="6" t="n">
        <f aca="false">K594+N594</f>
        <v>640000</v>
      </c>
      <c r="P594" s="7" t="n">
        <f aca="false">O594/J594</f>
        <v>8836.11763081596</v>
      </c>
      <c r="Q594" s="1" t="s">
        <v>2976</v>
      </c>
      <c r="R594" s="2" t="n">
        <v>3</v>
      </c>
      <c r="S594" s="5" t="s">
        <v>29</v>
      </c>
      <c r="T594" s="5" t="s">
        <v>1915</v>
      </c>
      <c r="U594" s="294" t="s">
        <v>31</v>
      </c>
      <c r="V594" s="203" t="n">
        <v>43709</v>
      </c>
    </row>
    <row r="595" customFormat="false" ht="12.8" hidden="false" customHeight="false" outlineLevel="0" collapsed="false">
      <c r="B595" s="1" t="n">
        <v>54724</v>
      </c>
      <c r="C595" s="3" t="n">
        <v>43698</v>
      </c>
      <c r="D595" s="2" t="s">
        <v>22</v>
      </c>
      <c r="E595" s="321" t="s">
        <v>322</v>
      </c>
      <c r="F595" s="1" t="s">
        <v>323</v>
      </c>
      <c r="G595" s="2" t="n">
        <v>2</v>
      </c>
      <c r="H595" s="2" t="n">
        <v>112</v>
      </c>
      <c r="I595" s="2" t="n">
        <v>6</v>
      </c>
      <c r="J595" s="276" t="n">
        <v>49.17</v>
      </c>
      <c r="K595" s="7" t="n">
        <v>420368.1</v>
      </c>
      <c r="L595" s="7" t="n">
        <f aca="false">K595/J595</f>
        <v>8549.28004881025</v>
      </c>
      <c r="O595" s="7" t="n">
        <f aca="false">K595+N595</f>
        <v>420368.1</v>
      </c>
      <c r="P595" s="7" t="n">
        <f aca="false">O595/J595</f>
        <v>8549.28004881025</v>
      </c>
      <c r="Q595" s="1" t="s">
        <v>5512</v>
      </c>
      <c r="R595" s="2" t="n">
        <v>2</v>
      </c>
      <c r="S595" s="5" t="s">
        <v>29</v>
      </c>
      <c r="T595" s="5" t="s">
        <v>1915</v>
      </c>
      <c r="U595" s="294" t="s">
        <v>31</v>
      </c>
      <c r="V595" s="203" t="n">
        <v>43709</v>
      </c>
    </row>
    <row r="596" customFormat="false" ht="12.8" hidden="false" customHeight="false" outlineLevel="0" collapsed="false">
      <c r="B596" s="1" t="n">
        <v>8806</v>
      </c>
      <c r="C596" s="3" t="n">
        <v>43699</v>
      </c>
      <c r="D596" s="2" t="s">
        <v>22</v>
      </c>
      <c r="E596" s="2" t="s">
        <v>1380</v>
      </c>
      <c r="F596" s="1" t="s">
        <v>1381</v>
      </c>
      <c r="G596" s="2" t="s">
        <v>1023</v>
      </c>
      <c r="H596" s="2" t="n">
        <v>2</v>
      </c>
      <c r="I596" s="2" t="n">
        <v>1</v>
      </c>
      <c r="J596" s="276" t="n">
        <v>130.4</v>
      </c>
      <c r="K596" s="7" t="n">
        <v>1359500</v>
      </c>
      <c r="L596" s="7" t="n">
        <f aca="false">K596/J596</f>
        <v>10425.6134969325</v>
      </c>
      <c r="M596" s="1" t="s">
        <v>5538</v>
      </c>
      <c r="O596" s="6" t="n">
        <f aca="false">K596+N596</f>
        <v>1359500</v>
      </c>
      <c r="P596" s="7" t="n">
        <f aca="false">O596/J596</f>
        <v>10425.6134969325</v>
      </c>
      <c r="Q596" s="1" t="s">
        <v>5539</v>
      </c>
      <c r="R596" s="2" t="n">
        <v>4</v>
      </c>
      <c r="S596" s="5" t="s">
        <v>29</v>
      </c>
      <c r="T596" s="5" t="s">
        <v>1915</v>
      </c>
      <c r="U596" s="294" t="s">
        <v>31</v>
      </c>
      <c r="V596" s="203" t="n">
        <v>43709</v>
      </c>
    </row>
    <row r="597" customFormat="false" ht="12.8" hidden="false" customHeight="false" outlineLevel="0" collapsed="false">
      <c r="B597" s="1" t="n">
        <v>8315</v>
      </c>
      <c r="C597" s="3" t="n">
        <v>43706</v>
      </c>
      <c r="D597" s="2" t="s">
        <v>22</v>
      </c>
      <c r="E597" s="2" t="s">
        <v>962</v>
      </c>
      <c r="F597" s="1" t="s">
        <v>963</v>
      </c>
      <c r="G597" s="2" t="n">
        <v>2</v>
      </c>
      <c r="H597" s="2" t="n">
        <v>78</v>
      </c>
      <c r="I597" s="2" t="n">
        <v>2</v>
      </c>
      <c r="J597" s="276" t="n">
        <v>33.37</v>
      </c>
      <c r="K597" s="7" t="n">
        <v>292000</v>
      </c>
      <c r="L597" s="6" t="n">
        <f aca="false">K597/J597</f>
        <v>8750.37458795325</v>
      </c>
      <c r="M597" s="1" t="s">
        <v>1799</v>
      </c>
      <c r="O597" s="6" t="n">
        <f aca="false">K597+N597</f>
        <v>292000</v>
      </c>
      <c r="P597" s="166" t="n">
        <f aca="false">O597/J597</f>
        <v>8750.37458795325</v>
      </c>
      <c r="Q597" s="1" t="s">
        <v>5540</v>
      </c>
      <c r="S597" s="5" t="s">
        <v>29</v>
      </c>
      <c r="T597" s="5" t="s">
        <v>1915</v>
      </c>
      <c r="U597" s="294" t="s">
        <v>31</v>
      </c>
      <c r="V597" s="203" t="n">
        <v>43709</v>
      </c>
    </row>
    <row r="598" customFormat="false" ht="13.8" hidden="false" customHeight="false" outlineLevel="0" collapsed="false">
      <c r="B598" s="1" t="n">
        <v>8360</v>
      </c>
      <c r="C598" s="3" t="n">
        <v>43707</v>
      </c>
      <c r="D598" s="2" t="s">
        <v>22</v>
      </c>
      <c r="E598" s="2" t="s">
        <v>962</v>
      </c>
      <c r="F598" s="1" t="s">
        <v>963</v>
      </c>
      <c r="G598" s="2" t="n">
        <v>3</v>
      </c>
      <c r="H598" s="2" t="n">
        <v>93</v>
      </c>
      <c r="J598" s="276" t="n">
        <v>100.83</v>
      </c>
      <c r="K598" s="7" t="n">
        <v>965000</v>
      </c>
      <c r="L598" s="6" t="n">
        <f aca="false">K598/J598</f>
        <v>9570.56431617574</v>
      </c>
      <c r="M598" s="256" t="s">
        <v>5541</v>
      </c>
      <c r="O598" s="6" t="n">
        <f aca="false">K598+N598</f>
        <v>965000</v>
      </c>
      <c r="P598" s="166" t="n">
        <f aca="false">O598/J598</f>
        <v>9570.56431617574</v>
      </c>
      <c r="Q598" s="264" t="s">
        <v>5542</v>
      </c>
      <c r="R598" s="2" t="n">
        <v>4</v>
      </c>
      <c r="S598" s="5" t="s">
        <v>29</v>
      </c>
      <c r="T598" s="5" t="s">
        <v>1915</v>
      </c>
      <c r="U598" s="294" t="s">
        <v>31</v>
      </c>
      <c r="V598" s="203" t="n">
        <v>43709</v>
      </c>
    </row>
    <row r="599" customFormat="false" ht="12.8" hidden="false" customHeight="false" outlineLevel="0" collapsed="false">
      <c r="B599" s="1" t="n">
        <v>8350</v>
      </c>
      <c r="C599" s="3" t="n">
        <v>43707</v>
      </c>
      <c r="D599" s="2" t="s">
        <v>22</v>
      </c>
      <c r="E599" s="2" t="s">
        <v>962</v>
      </c>
      <c r="F599" s="1" t="s">
        <v>963</v>
      </c>
      <c r="G599" s="2" t="n">
        <v>4</v>
      </c>
      <c r="H599" s="2" t="n">
        <v>23</v>
      </c>
      <c r="I599" s="2" t="n">
        <v>3</v>
      </c>
      <c r="J599" s="276" t="n">
        <v>41.91</v>
      </c>
      <c r="K599" s="7" t="n">
        <v>430000</v>
      </c>
      <c r="L599" s="6" t="n">
        <f aca="false">K599/J599</f>
        <v>10260.0811262229</v>
      </c>
      <c r="M599" s="1" t="s">
        <v>2734</v>
      </c>
      <c r="O599" s="6" t="n">
        <f aca="false">K599+N599</f>
        <v>430000</v>
      </c>
      <c r="P599" s="166" t="n">
        <f aca="false">O599/J599</f>
        <v>10260.0811262229</v>
      </c>
      <c r="Q599" s="1" t="s">
        <v>5543</v>
      </c>
      <c r="R599" s="2" t="n">
        <v>3</v>
      </c>
      <c r="S599" s="5" t="s">
        <v>29</v>
      </c>
      <c r="T599" s="5" t="s">
        <v>1915</v>
      </c>
      <c r="U599" s="294" t="s">
        <v>31</v>
      </c>
      <c r="V599" s="203" t="n">
        <v>43709</v>
      </c>
    </row>
    <row r="600" customFormat="false" ht="12.8" hidden="false" customHeight="false" outlineLevel="0" collapsed="false">
      <c r="B600" s="1" t="n">
        <v>8388</v>
      </c>
      <c r="C600" s="3" t="n">
        <v>43707</v>
      </c>
      <c r="D600" s="2" t="s">
        <v>22</v>
      </c>
      <c r="E600" s="321" t="s">
        <v>962</v>
      </c>
      <c r="F600" s="1" t="s">
        <v>963</v>
      </c>
      <c r="G600" s="2" t="n">
        <v>3</v>
      </c>
      <c r="H600" s="2" t="n">
        <v>133</v>
      </c>
      <c r="I600" s="2" t="n">
        <v>5</v>
      </c>
      <c r="J600" s="276" t="n">
        <v>54.07</v>
      </c>
      <c r="K600" s="7" t="n">
        <v>505000</v>
      </c>
      <c r="L600" s="6" t="n">
        <f aca="false">K600/J600</f>
        <v>9339.74477529129</v>
      </c>
      <c r="M600" s="1" t="s">
        <v>1799</v>
      </c>
      <c r="O600" s="6" t="n">
        <f aca="false">K600+N600</f>
        <v>505000</v>
      </c>
      <c r="P600" s="166" t="n">
        <f aca="false">O600/J600</f>
        <v>9339.74477529129</v>
      </c>
      <c r="Q600" s="1" t="s">
        <v>5544</v>
      </c>
      <c r="R600" s="2" t="n">
        <v>3</v>
      </c>
      <c r="S600" s="5" t="s">
        <v>29</v>
      </c>
      <c r="T600" s="5" t="s">
        <v>1915</v>
      </c>
      <c r="U600" s="294" t="s">
        <v>31</v>
      </c>
      <c r="V600" s="203" t="n">
        <v>43709</v>
      </c>
    </row>
    <row r="601" customFormat="false" ht="12.8" hidden="false" customHeight="false" outlineLevel="0" collapsed="false">
      <c r="B601" s="1" t="n">
        <v>8418</v>
      </c>
      <c r="C601" s="3" t="n">
        <v>43710</v>
      </c>
      <c r="D601" s="2" t="s">
        <v>22</v>
      </c>
      <c r="E601" s="2" t="s">
        <v>962</v>
      </c>
      <c r="F601" s="1" t="s">
        <v>963</v>
      </c>
      <c r="G601" s="2" t="n">
        <v>4</v>
      </c>
      <c r="H601" s="2" t="n">
        <v>27</v>
      </c>
      <c r="I601" s="2" t="s">
        <v>887</v>
      </c>
      <c r="J601" s="276" t="n">
        <v>41.91</v>
      </c>
      <c r="K601" s="7" t="n">
        <v>415000</v>
      </c>
      <c r="L601" s="6" t="n">
        <f aca="false">K601/J601</f>
        <v>9902.17131949416</v>
      </c>
      <c r="M601" s="1" t="s">
        <v>1799</v>
      </c>
      <c r="O601" s="6" t="n">
        <f aca="false">K601+N601</f>
        <v>415000</v>
      </c>
      <c r="P601" s="166" t="n">
        <f aca="false">O601/J601</f>
        <v>9902.17131949416</v>
      </c>
      <c r="S601" s="5" t="s">
        <v>29</v>
      </c>
      <c r="T601" s="5" t="s">
        <v>1915</v>
      </c>
      <c r="U601" s="294" t="s">
        <v>31</v>
      </c>
      <c r="V601" s="203" t="n">
        <v>43709</v>
      </c>
    </row>
    <row r="602" customFormat="false" ht="12.8" hidden="false" customHeight="false" outlineLevel="0" collapsed="false">
      <c r="B602" s="1" t="n">
        <v>28375</v>
      </c>
      <c r="C602" s="3" t="n">
        <v>43711</v>
      </c>
      <c r="D602" s="2" t="s">
        <v>22</v>
      </c>
      <c r="E602" s="2" t="s">
        <v>3085</v>
      </c>
      <c r="F602" s="1" t="s">
        <v>323</v>
      </c>
      <c r="G602" s="2" t="n">
        <v>17</v>
      </c>
      <c r="H602" s="2" t="n">
        <v>92</v>
      </c>
      <c r="I602" s="2" t="n">
        <v>7</v>
      </c>
      <c r="J602" s="276" t="n">
        <v>71.48</v>
      </c>
      <c r="K602" s="7" t="n">
        <v>639566.07</v>
      </c>
      <c r="L602" s="6" t="n">
        <f aca="false">K602/J602</f>
        <v>8947.48279238948</v>
      </c>
      <c r="O602" s="6" t="n">
        <f aca="false">K602+N602</f>
        <v>639566.07</v>
      </c>
      <c r="P602" s="166" t="n">
        <f aca="false">O602/J602</f>
        <v>8947.48279238948</v>
      </c>
      <c r="Q602" s="1" t="s">
        <v>5545</v>
      </c>
      <c r="R602" s="2" t="n">
        <v>4</v>
      </c>
      <c r="S602" s="5" t="s">
        <v>29</v>
      </c>
      <c r="T602" s="5" t="s">
        <v>1915</v>
      </c>
      <c r="U602" s="294" t="s">
        <v>31</v>
      </c>
      <c r="V602" s="203" t="n">
        <v>43709</v>
      </c>
    </row>
    <row r="603" customFormat="false" ht="12.8" hidden="false" customHeight="false" outlineLevel="0" collapsed="false">
      <c r="B603" s="1" t="n">
        <v>28385</v>
      </c>
      <c r="C603" s="3" t="n">
        <v>43711</v>
      </c>
      <c r="D603" s="2" t="s">
        <v>22</v>
      </c>
      <c r="E603" s="2" t="s">
        <v>3085</v>
      </c>
      <c r="F603" s="1" t="s">
        <v>323</v>
      </c>
      <c r="G603" s="2" t="n">
        <v>17</v>
      </c>
      <c r="H603" s="2" t="n">
        <v>91</v>
      </c>
      <c r="J603" s="276" t="n">
        <v>71.96</v>
      </c>
      <c r="K603" s="7" t="n">
        <v>647350.93</v>
      </c>
      <c r="L603" s="6" t="n">
        <f aca="false">K603/J603</f>
        <v>8995.98290717065</v>
      </c>
      <c r="M603" s="1" t="s">
        <v>940</v>
      </c>
      <c r="N603" s="7" t="n">
        <v>20788.14</v>
      </c>
      <c r="O603" s="6" t="n">
        <f aca="false">K603+N603</f>
        <v>668139.07</v>
      </c>
      <c r="P603" s="166" t="n">
        <f aca="false">O603/J603</f>
        <v>9284.86756531407</v>
      </c>
      <c r="Q603" s="1" t="s">
        <v>5520</v>
      </c>
      <c r="R603" s="2" t="n">
        <v>3</v>
      </c>
      <c r="S603" s="5" t="s">
        <v>29</v>
      </c>
      <c r="T603" s="5" t="s">
        <v>1915</v>
      </c>
      <c r="U603" s="294" t="s">
        <v>31</v>
      </c>
      <c r="V603" s="203" t="n">
        <v>43709</v>
      </c>
    </row>
    <row r="604" customFormat="false" ht="12.8" hidden="false" customHeight="false" outlineLevel="0" collapsed="false">
      <c r="B604" s="1" t="n">
        <v>28395</v>
      </c>
      <c r="C604" s="3" t="n">
        <v>43711</v>
      </c>
      <c r="D604" s="2" t="s">
        <v>22</v>
      </c>
      <c r="E604" s="2" t="s">
        <v>3085</v>
      </c>
      <c r="F604" s="1" t="s">
        <v>323</v>
      </c>
      <c r="G604" s="2" t="n">
        <v>17</v>
      </c>
      <c r="H604" s="2" t="n">
        <v>16</v>
      </c>
      <c r="I604" s="2" t="n">
        <v>7</v>
      </c>
      <c r="J604" s="276" t="n">
        <v>44.5</v>
      </c>
      <c r="K604" s="7" t="n">
        <v>390096.07</v>
      </c>
      <c r="L604" s="6" t="n">
        <f aca="false">K604/J604</f>
        <v>8766.20382022472</v>
      </c>
      <c r="M604" s="1" t="s">
        <v>940</v>
      </c>
      <c r="N604" s="7" t="n">
        <v>34052.3</v>
      </c>
      <c r="O604" s="6" t="n">
        <f aca="false">K604+N604</f>
        <v>424148.37</v>
      </c>
      <c r="P604" s="166" t="n">
        <f aca="false">O604/J604</f>
        <v>9531.42404494382</v>
      </c>
      <c r="Q604" s="1" t="s">
        <v>5546</v>
      </c>
      <c r="R604" s="2" t="n">
        <v>2</v>
      </c>
      <c r="S604" s="5" t="s">
        <v>29</v>
      </c>
      <c r="T604" s="5" t="s">
        <v>1915</v>
      </c>
      <c r="U604" s="294" t="s">
        <v>31</v>
      </c>
      <c r="V604" s="203" t="n">
        <v>43709</v>
      </c>
    </row>
    <row r="605" customFormat="false" ht="12.8" hidden="false" customHeight="false" outlineLevel="0" collapsed="false">
      <c r="B605" s="1" t="n">
        <v>5676</v>
      </c>
      <c r="C605" s="3" t="n">
        <v>43756</v>
      </c>
      <c r="D605" s="2" t="s">
        <v>22</v>
      </c>
      <c r="E605" s="2" t="s">
        <v>3085</v>
      </c>
      <c r="F605" s="1" t="s">
        <v>323</v>
      </c>
      <c r="G605" s="2" t="n">
        <v>17</v>
      </c>
      <c r="H605" s="2" t="n">
        <v>98</v>
      </c>
      <c r="I605" s="2" t="n">
        <v>8</v>
      </c>
      <c r="J605" s="276" t="n">
        <v>66.62</v>
      </c>
      <c r="K605" s="7" t="n">
        <v>612236.57</v>
      </c>
      <c r="L605" s="7" t="n">
        <f aca="false">K605/J605</f>
        <v>9189.98153707595</v>
      </c>
      <c r="O605" s="6" t="n">
        <f aca="false">K605+N605</f>
        <v>612236.57</v>
      </c>
      <c r="P605" s="166" t="n">
        <f aca="false">O605/J605</f>
        <v>9189.98153707595</v>
      </c>
      <c r="Q605" s="1" t="s">
        <v>5520</v>
      </c>
      <c r="R605" s="2" t="n">
        <v>3</v>
      </c>
      <c r="S605" s="5" t="s">
        <v>29</v>
      </c>
      <c r="T605" s="5" t="s">
        <v>1915</v>
      </c>
      <c r="U605" s="294" t="s">
        <v>31</v>
      </c>
      <c r="V605" s="321" t="n">
        <v>43799</v>
      </c>
    </row>
    <row r="606" customFormat="false" ht="12.8" hidden="false" customHeight="false" outlineLevel="0" collapsed="false">
      <c r="B606" s="1" t="n">
        <v>32950</v>
      </c>
      <c r="C606" s="3" t="n">
        <v>43762</v>
      </c>
      <c r="D606" s="2" t="s">
        <v>22</v>
      </c>
      <c r="E606" s="2" t="s">
        <v>3085</v>
      </c>
      <c r="F606" s="1" t="s">
        <v>3086</v>
      </c>
      <c r="G606" s="2" t="s">
        <v>5547</v>
      </c>
      <c r="H606" s="2" t="n">
        <v>164</v>
      </c>
      <c r="I606" s="2" t="n">
        <v>7</v>
      </c>
      <c r="J606" s="276" t="n">
        <v>44.57</v>
      </c>
      <c r="K606" s="7" t="n">
        <v>455620.86</v>
      </c>
      <c r="L606" s="7" t="n">
        <f aca="false">K606/J606</f>
        <v>10222.5905317478</v>
      </c>
      <c r="M606" s="1" t="s">
        <v>940</v>
      </c>
      <c r="N606" s="7" t="n">
        <v>24701.59</v>
      </c>
      <c r="O606" s="6" t="n">
        <f aca="false">K606+N606</f>
        <v>480322.45</v>
      </c>
      <c r="P606" s="166" t="n">
        <f aca="false">O606/J606</f>
        <v>10776.8106349562</v>
      </c>
      <c r="Q606" s="1" t="s">
        <v>5548</v>
      </c>
      <c r="R606" s="2" t="n">
        <v>2</v>
      </c>
      <c r="S606" s="5" t="s">
        <v>29</v>
      </c>
      <c r="T606" s="5" t="s">
        <v>1915</v>
      </c>
      <c r="U606" s="294" t="s">
        <v>31</v>
      </c>
      <c r="V606" s="321" t="n">
        <v>43799</v>
      </c>
    </row>
    <row r="607" customFormat="false" ht="12.8" hidden="false" customHeight="false" outlineLevel="0" collapsed="false">
      <c r="B607" s="1" t="n">
        <v>5451</v>
      </c>
      <c r="C607" s="3" t="n">
        <v>43752</v>
      </c>
      <c r="D607" s="2" t="s">
        <v>22</v>
      </c>
      <c r="E607" s="321" t="s">
        <v>2258</v>
      </c>
      <c r="F607" s="1" t="s">
        <v>5221</v>
      </c>
      <c r="G607" s="2" t="n">
        <v>10</v>
      </c>
      <c r="H607" s="2" t="n">
        <v>1</v>
      </c>
      <c r="I607" s="2" t="n">
        <v>1</v>
      </c>
      <c r="J607" s="276" t="n">
        <v>72.26</v>
      </c>
      <c r="K607" s="7" t="n">
        <v>794928.68</v>
      </c>
      <c r="L607" s="7" t="n">
        <f aca="false">K607/J607</f>
        <v>11000.9504566842</v>
      </c>
      <c r="M607" s="1" t="s">
        <v>5549</v>
      </c>
      <c r="O607" s="6" t="n">
        <f aca="false">K607+N607</f>
        <v>794928.68</v>
      </c>
      <c r="P607" s="166" t="n">
        <f aca="false">O607/J607</f>
        <v>11000.9504566842</v>
      </c>
      <c r="Q607" s="1" t="s">
        <v>5550</v>
      </c>
      <c r="R607" s="2" t="n">
        <v>3</v>
      </c>
      <c r="S607" s="5" t="s">
        <v>29</v>
      </c>
      <c r="T607" s="5" t="s">
        <v>1915</v>
      </c>
      <c r="U607" s="294" t="s">
        <v>31</v>
      </c>
      <c r="V607" s="321" t="n">
        <v>43799</v>
      </c>
    </row>
    <row r="608" customFormat="false" ht="12.8" hidden="false" customHeight="false" outlineLevel="0" collapsed="false">
      <c r="B608" s="1" t="n">
        <v>34517</v>
      </c>
      <c r="C608" s="3" t="n">
        <v>43759</v>
      </c>
      <c r="D608" s="2" t="s">
        <v>22</v>
      </c>
      <c r="E608" s="321" t="s">
        <v>3085</v>
      </c>
      <c r="F608" s="1" t="s">
        <v>3086</v>
      </c>
      <c r="G608" s="2" t="s">
        <v>5547</v>
      </c>
      <c r="H608" s="2" t="n">
        <v>91</v>
      </c>
      <c r="I608" s="2" t="n">
        <v>5</v>
      </c>
      <c r="J608" s="276" t="n">
        <v>67.05</v>
      </c>
      <c r="K608" s="7" t="n">
        <v>585442.2</v>
      </c>
      <c r="L608" s="7" t="n">
        <f aca="false">K608/J608</f>
        <v>8731.42729306488</v>
      </c>
      <c r="M608" s="1" t="s">
        <v>5551</v>
      </c>
      <c r="N608" s="7" t="n">
        <v>30200</v>
      </c>
      <c r="O608" s="6" t="n">
        <f aca="false">K608+N608</f>
        <v>615642.2</v>
      </c>
      <c r="P608" s="166" t="n">
        <f aca="false">O608/J608</f>
        <v>9181.83743475019</v>
      </c>
      <c r="Q608" s="1" t="s">
        <v>5552</v>
      </c>
      <c r="R608" s="2" t="n">
        <v>3</v>
      </c>
      <c r="S608" s="5" t="s">
        <v>29</v>
      </c>
      <c r="T608" s="5" t="s">
        <v>1915</v>
      </c>
      <c r="U608" s="294" t="s">
        <v>31</v>
      </c>
      <c r="V608" s="321" t="n">
        <v>43799</v>
      </c>
    </row>
    <row r="609" customFormat="false" ht="12.8" hidden="false" customHeight="false" outlineLevel="0" collapsed="false">
      <c r="B609" s="1" t="n">
        <v>67276</v>
      </c>
      <c r="C609" s="3" t="n">
        <v>43763</v>
      </c>
      <c r="D609" s="2" t="s">
        <v>22</v>
      </c>
      <c r="E609" s="2" t="s">
        <v>322</v>
      </c>
      <c r="F609" s="1" t="s">
        <v>323</v>
      </c>
      <c r="G609" s="2" t="n">
        <v>2</v>
      </c>
      <c r="H609" s="2" t="n">
        <v>17</v>
      </c>
      <c r="I609" s="2" t="n">
        <v>2</v>
      </c>
      <c r="J609" s="276" t="n">
        <v>50.9</v>
      </c>
      <c r="K609" s="7" t="n">
        <v>414818.71</v>
      </c>
      <c r="L609" s="7" t="n">
        <f aca="false">K609/J609</f>
        <v>8149.67996070727</v>
      </c>
      <c r="M609" s="1" t="s">
        <v>940</v>
      </c>
      <c r="O609" s="6" t="n">
        <f aca="false">K609+N609</f>
        <v>414818.71</v>
      </c>
      <c r="P609" s="166" t="n">
        <f aca="false">O609/J609</f>
        <v>8149.67996070727</v>
      </c>
      <c r="Q609" s="1" t="s">
        <v>5553</v>
      </c>
      <c r="R609" s="2" t="n">
        <v>4</v>
      </c>
      <c r="S609" s="5" t="s">
        <v>29</v>
      </c>
      <c r="T609" s="5" t="s">
        <v>1915</v>
      </c>
      <c r="U609" s="294" t="s">
        <v>31</v>
      </c>
      <c r="V609" s="321" t="n">
        <v>43799</v>
      </c>
    </row>
    <row r="610" customFormat="false" ht="12.8" hidden="false" customHeight="false" outlineLevel="0" collapsed="false">
      <c r="B610" s="1" t="n">
        <v>11255</v>
      </c>
      <c r="C610" s="3" t="n">
        <v>43761</v>
      </c>
      <c r="D610" s="2" t="s">
        <v>22</v>
      </c>
      <c r="E610" s="2" t="s">
        <v>350</v>
      </c>
      <c r="F610" s="1" t="s">
        <v>323</v>
      </c>
      <c r="G610" s="2" t="s">
        <v>4357</v>
      </c>
      <c r="H610" s="2" t="n">
        <v>106</v>
      </c>
      <c r="I610" s="2" t="n">
        <v>3</v>
      </c>
      <c r="J610" s="276" t="n">
        <v>98.58</v>
      </c>
      <c r="K610" s="7" t="n">
        <v>770000</v>
      </c>
      <c r="L610" s="7" t="n">
        <f aca="false">K610/J610</f>
        <v>7810.91499289917</v>
      </c>
      <c r="M610" s="1" t="s">
        <v>940</v>
      </c>
      <c r="N610" s="7" t="n">
        <v>57145</v>
      </c>
      <c r="O610" s="6" t="n">
        <f aca="false">K610+N610</f>
        <v>827145</v>
      </c>
      <c r="P610" s="166" t="n">
        <f aca="false">O610/J610</f>
        <v>8390.59646987219</v>
      </c>
      <c r="Q610" s="1" t="s">
        <v>5553</v>
      </c>
      <c r="R610" s="2" t="n">
        <v>4</v>
      </c>
      <c r="S610" s="5" t="s">
        <v>29</v>
      </c>
      <c r="T610" s="5" t="s">
        <v>1915</v>
      </c>
      <c r="U610" s="294" t="s">
        <v>31</v>
      </c>
      <c r="V610" s="321" t="n">
        <v>43799</v>
      </c>
    </row>
    <row r="611" customFormat="false" ht="12.8" hidden="false" customHeight="false" outlineLevel="0" collapsed="false">
      <c r="B611" s="1" t="n">
        <v>1543</v>
      </c>
      <c r="C611" s="3" t="n">
        <v>43763</v>
      </c>
      <c r="D611" s="2" t="s">
        <v>22</v>
      </c>
      <c r="E611" s="2" t="s">
        <v>23</v>
      </c>
      <c r="F611" s="1" t="s">
        <v>272</v>
      </c>
      <c r="G611" s="2" t="n">
        <v>32</v>
      </c>
      <c r="H611" s="2" t="n">
        <v>21</v>
      </c>
      <c r="I611" s="2" t="n">
        <v>8</v>
      </c>
      <c r="J611" s="276" t="n">
        <v>39.46</v>
      </c>
      <c r="K611" s="7" t="n">
        <v>512000</v>
      </c>
      <c r="L611" s="7" t="n">
        <f aca="false">K611/J611</f>
        <v>12975.1647237709</v>
      </c>
      <c r="M611" s="1" t="s">
        <v>940</v>
      </c>
      <c r="N611" s="7" t="n">
        <v>50000</v>
      </c>
      <c r="O611" s="6" t="n">
        <f aca="false">K611+N611</f>
        <v>562000</v>
      </c>
      <c r="P611" s="166" t="n">
        <f aca="false">O611/J611</f>
        <v>14242.2706538267</v>
      </c>
      <c r="Q611" s="1" t="s">
        <v>5554</v>
      </c>
      <c r="R611" s="2" t="n">
        <v>2</v>
      </c>
      <c r="S611" s="5" t="s">
        <v>29</v>
      </c>
      <c r="T611" s="5" t="s">
        <v>1915</v>
      </c>
      <c r="U611" s="294" t="s">
        <v>31</v>
      </c>
      <c r="V611" s="321" t="n">
        <v>43799</v>
      </c>
    </row>
    <row r="612" customFormat="false" ht="12.8" hidden="false" customHeight="false" outlineLevel="0" collapsed="false">
      <c r="B612" s="1" t="n">
        <v>34365</v>
      </c>
      <c r="C612" s="3" t="n">
        <v>43759</v>
      </c>
      <c r="D612" s="2" t="s">
        <v>22</v>
      </c>
      <c r="E612" s="2" t="s">
        <v>3085</v>
      </c>
      <c r="F612" s="1" t="s">
        <v>3086</v>
      </c>
      <c r="G612" s="2" t="s">
        <v>5547</v>
      </c>
      <c r="H612" s="2" t="n">
        <v>5</v>
      </c>
      <c r="I612" s="2" t="n">
        <v>1</v>
      </c>
      <c r="J612" s="276" t="n">
        <v>71.16</v>
      </c>
      <c r="K612" s="7" t="n">
        <v>645065.4</v>
      </c>
      <c r="L612" s="7" t="n">
        <f aca="false">K612/J612</f>
        <v>9065</v>
      </c>
      <c r="M612" s="1" t="s">
        <v>2431</v>
      </c>
      <c r="N612" s="7" t="n">
        <v>53824.3</v>
      </c>
      <c r="O612" s="7" t="n">
        <f aca="false">K612+N612</f>
        <v>698889.7</v>
      </c>
      <c r="P612" s="166" t="n">
        <f aca="false">O612/J612</f>
        <v>9821.38420460933</v>
      </c>
      <c r="Q612" s="1" t="s">
        <v>5545</v>
      </c>
      <c r="R612" s="2" t="n">
        <v>4</v>
      </c>
      <c r="S612" s="5" t="s">
        <v>29</v>
      </c>
      <c r="T612" s="5" t="s">
        <v>1915</v>
      </c>
      <c r="U612" s="294" t="s">
        <v>31</v>
      </c>
      <c r="V612" s="321" t="n">
        <v>43799</v>
      </c>
    </row>
    <row r="613" customFormat="false" ht="12.8" hidden="false" customHeight="false" outlineLevel="0" collapsed="false">
      <c r="B613" s="1" t="n">
        <v>12031</v>
      </c>
      <c r="C613" s="3" t="n">
        <v>43756</v>
      </c>
      <c r="D613" s="2" t="s">
        <v>22</v>
      </c>
      <c r="E613" s="2" t="s">
        <v>962</v>
      </c>
      <c r="F613" s="1" t="s">
        <v>963</v>
      </c>
      <c r="G613" s="2" t="n">
        <v>2</v>
      </c>
      <c r="H613" s="2" t="n">
        <v>2</v>
      </c>
      <c r="I613" s="2" t="n">
        <v>4</v>
      </c>
      <c r="J613" s="276" t="n">
        <v>33.53</v>
      </c>
      <c r="K613" s="7" t="n">
        <v>283122</v>
      </c>
      <c r="L613" s="7" t="n">
        <f aca="false">K613/J613</f>
        <v>8443.84133611691</v>
      </c>
      <c r="M613" s="1" t="s">
        <v>1140</v>
      </c>
      <c r="O613" s="7" t="n">
        <f aca="false">K613+N613</f>
        <v>283122</v>
      </c>
      <c r="P613" s="166" t="n">
        <f aca="false">O613/J613</f>
        <v>8443.84133611691</v>
      </c>
      <c r="Q613" s="1" t="s">
        <v>5555</v>
      </c>
      <c r="R613" s="2" t="n">
        <v>2</v>
      </c>
      <c r="S613" s="5" t="s">
        <v>29</v>
      </c>
      <c r="T613" s="5" t="s">
        <v>1915</v>
      </c>
      <c r="U613" s="294" t="s">
        <v>31</v>
      </c>
      <c r="V613" s="321" t="n">
        <v>43799</v>
      </c>
    </row>
    <row r="614" customFormat="false" ht="12.8" hidden="false" customHeight="false" outlineLevel="0" collapsed="false">
      <c r="B614" s="1" t="n">
        <v>11215</v>
      </c>
      <c r="C614" s="3" t="n">
        <v>43745</v>
      </c>
      <c r="D614" s="2" t="s">
        <v>22</v>
      </c>
      <c r="E614" s="2" t="s">
        <v>962</v>
      </c>
      <c r="F614" s="1" t="s">
        <v>963</v>
      </c>
      <c r="G614" s="2" t="n">
        <v>2</v>
      </c>
      <c r="H614" s="2" t="n">
        <v>45</v>
      </c>
      <c r="I614" s="2" t="n">
        <v>5</v>
      </c>
      <c r="J614" s="276" t="n">
        <v>55.24</v>
      </c>
      <c r="K614" s="7" t="n">
        <v>475000</v>
      </c>
      <c r="L614" s="7" t="n">
        <f aca="false">K614/J614</f>
        <v>8598.8414192614</v>
      </c>
      <c r="M614" s="1" t="s">
        <v>1739</v>
      </c>
      <c r="O614" s="7" t="n">
        <f aca="false">K614+N614</f>
        <v>475000</v>
      </c>
      <c r="P614" s="166" t="n">
        <f aca="false">O614/J614</f>
        <v>8598.8414192614</v>
      </c>
      <c r="Q614" s="1" t="s">
        <v>5556</v>
      </c>
      <c r="R614" s="2" t="n">
        <v>3</v>
      </c>
      <c r="S614" s="5" t="s">
        <v>29</v>
      </c>
      <c r="T614" s="5" t="s">
        <v>1915</v>
      </c>
      <c r="U614" s="294" t="s">
        <v>31</v>
      </c>
      <c r="V614" s="321" t="n">
        <v>43799</v>
      </c>
    </row>
    <row r="615" customFormat="false" ht="12.8" hidden="false" customHeight="false" outlineLevel="0" collapsed="false">
      <c r="B615" s="1" t="n">
        <v>35041</v>
      </c>
      <c r="C615" s="3" t="n">
        <v>43762</v>
      </c>
      <c r="D615" s="2" t="s">
        <v>22</v>
      </c>
      <c r="E615" s="2" t="s">
        <v>3085</v>
      </c>
      <c r="F615" s="1" t="s">
        <v>323</v>
      </c>
      <c r="G615" s="2" t="n">
        <v>17</v>
      </c>
      <c r="H615" s="2" t="n">
        <v>109</v>
      </c>
      <c r="I615" s="2" t="n">
        <v>5</v>
      </c>
      <c r="J615" s="276" t="n">
        <v>40.77</v>
      </c>
      <c r="K615" s="7" t="n">
        <v>355483.47</v>
      </c>
      <c r="L615" s="7" t="n">
        <f aca="false">K615/J615</f>
        <v>8719.24135393672</v>
      </c>
      <c r="M615" s="1" t="s">
        <v>940</v>
      </c>
      <c r="N615" s="7" t="n">
        <v>26899</v>
      </c>
      <c r="O615" s="7" t="n">
        <f aca="false">K615+N615</f>
        <v>382382.47</v>
      </c>
      <c r="P615" s="166" t="n">
        <f aca="false">O615/J615</f>
        <v>9379.01569781702</v>
      </c>
      <c r="Q615" s="1" t="s">
        <v>2798</v>
      </c>
      <c r="R615" s="2" t="n">
        <v>2</v>
      </c>
      <c r="S615" s="5" t="s">
        <v>29</v>
      </c>
      <c r="T615" s="5" t="s">
        <v>1915</v>
      </c>
      <c r="U615" s="294" t="s">
        <v>31</v>
      </c>
      <c r="V615" s="321" t="n">
        <v>43799</v>
      </c>
    </row>
    <row r="616" customFormat="false" ht="12.8" hidden="false" customHeight="false" outlineLevel="0" collapsed="false">
      <c r="B616" s="1" t="n">
        <v>12624</v>
      </c>
      <c r="C616" s="3" t="n">
        <v>43759</v>
      </c>
      <c r="D616" s="2" t="s">
        <v>22</v>
      </c>
      <c r="E616" s="2" t="s">
        <v>5557</v>
      </c>
      <c r="F616" s="1" t="s">
        <v>963</v>
      </c>
      <c r="G616" s="2" t="n">
        <v>2</v>
      </c>
      <c r="H616" s="2" t="n">
        <v>37</v>
      </c>
      <c r="I616" s="2" t="n">
        <v>5</v>
      </c>
      <c r="J616" s="276" t="n">
        <v>47.84</v>
      </c>
      <c r="K616" s="7" t="n">
        <v>424000</v>
      </c>
      <c r="L616" s="7" t="n">
        <f aca="false">K616/J616</f>
        <v>8862.8762541806</v>
      </c>
      <c r="M616" s="1" t="s">
        <v>5558</v>
      </c>
      <c r="O616" s="7" t="n">
        <f aca="false">K616+N616</f>
        <v>424000</v>
      </c>
      <c r="P616" s="166" t="n">
        <f aca="false">O616/J616</f>
        <v>8862.8762541806</v>
      </c>
      <c r="Q616" s="1" t="s">
        <v>2798</v>
      </c>
      <c r="R616" s="2" t="n">
        <v>2</v>
      </c>
      <c r="S616" s="5" t="s">
        <v>29</v>
      </c>
      <c r="T616" s="5" t="s">
        <v>1915</v>
      </c>
      <c r="U616" s="294" t="s">
        <v>31</v>
      </c>
      <c r="V616" s="321" t="n">
        <v>43799</v>
      </c>
    </row>
    <row r="617" customFormat="false" ht="12.8" hidden="false" customHeight="false" outlineLevel="0" collapsed="false">
      <c r="B617" s="1" t="n">
        <v>34977</v>
      </c>
      <c r="C617" s="3" t="n">
        <v>43762</v>
      </c>
      <c r="D617" s="2" t="s">
        <v>22</v>
      </c>
      <c r="E617" s="2" t="s">
        <v>3085</v>
      </c>
      <c r="F617" s="1" t="s">
        <v>3086</v>
      </c>
      <c r="G617" s="2" t="s">
        <v>5547</v>
      </c>
      <c r="H617" s="2" t="n">
        <v>157</v>
      </c>
      <c r="I617" s="2" t="n">
        <v>4</v>
      </c>
      <c r="J617" s="276" t="n">
        <v>60.39</v>
      </c>
      <c r="K617" s="7" t="n">
        <v>579984.33</v>
      </c>
      <c r="L617" s="7" t="n">
        <f aca="false">K617/J617</f>
        <v>9603.97963238947</v>
      </c>
      <c r="M617" s="1" t="s">
        <v>5433</v>
      </c>
      <c r="N617" s="7" t="n">
        <v>10164</v>
      </c>
      <c r="O617" s="7" t="n">
        <f aca="false">K617+N617</f>
        <v>590148.33</v>
      </c>
      <c r="P617" s="166" t="n">
        <f aca="false">O617/J617</f>
        <v>9772.28564331843</v>
      </c>
      <c r="Q617" s="1" t="s">
        <v>2976</v>
      </c>
      <c r="R617" s="2" t="n">
        <v>3</v>
      </c>
      <c r="S617" s="5" t="s">
        <v>29</v>
      </c>
      <c r="T617" s="5" t="s">
        <v>1915</v>
      </c>
      <c r="U617" s="294" t="s">
        <v>31</v>
      </c>
      <c r="V617" s="321" t="n">
        <v>43799</v>
      </c>
    </row>
    <row r="618" customFormat="false" ht="12.8" hidden="false" customHeight="false" outlineLevel="0" collapsed="false">
      <c r="B618" s="1" t="n">
        <v>12022</v>
      </c>
      <c r="C618" s="3" t="n">
        <v>43756</v>
      </c>
      <c r="D618" s="2" t="s">
        <v>22</v>
      </c>
      <c r="E618" s="2" t="s">
        <v>962</v>
      </c>
      <c r="F618" s="1" t="s">
        <v>963</v>
      </c>
      <c r="G618" s="2" t="n">
        <v>3</v>
      </c>
      <c r="H618" s="2" t="n">
        <v>92</v>
      </c>
      <c r="I618" s="2" t="n">
        <v>5</v>
      </c>
      <c r="J618" s="276" t="n">
        <v>62.8</v>
      </c>
      <c r="K618" s="7" t="n">
        <v>600000</v>
      </c>
      <c r="L618" s="7" t="n">
        <f aca="false">K618/J618</f>
        <v>9554.14012738854</v>
      </c>
      <c r="M618" s="1" t="s">
        <v>1739</v>
      </c>
      <c r="O618" s="7" t="n">
        <f aca="false">K618+N618</f>
        <v>600000</v>
      </c>
      <c r="P618" s="166" t="n">
        <f aca="false">O618/J618</f>
        <v>9554.14012738854</v>
      </c>
      <c r="Q618" s="1" t="s">
        <v>2976</v>
      </c>
      <c r="R618" s="2" t="n">
        <v>3</v>
      </c>
      <c r="S618" s="5" t="s">
        <v>29</v>
      </c>
      <c r="T618" s="5" t="s">
        <v>1915</v>
      </c>
      <c r="U618" s="294" t="s">
        <v>31</v>
      </c>
      <c r="V618" s="321" t="n">
        <v>43799</v>
      </c>
    </row>
    <row r="619" customFormat="false" ht="12.8" hidden="false" customHeight="false" outlineLevel="0" collapsed="false">
      <c r="B619" s="1" t="n">
        <v>5182</v>
      </c>
      <c r="C619" s="3" t="n">
        <v>43755</v>
      </c>
      <c r="D619" s="2" t="s">
        <v>22</v>
      </c>
      <c r="E619" s="2" t="s">
        <v>3219</v>
      </c>
      <c r="F619" s="1" t="s">
        <v>3093</v>
      </c>
      <c r="G619" s="2" t="n">
        <v>41</v>
      </c>
      <c r="H619" s="2" t="n">
        <v>90</v>
      </c>
      <c r="I619" s="2" t="n">
        <v>3</v>
      </c>
      <c r="J619" s="276" t="n">
        <v>47.11</v>
      </c>
      <c r="K619" s="7" t="n">
        <v>386302</v>
      </c>
      <c r="L619" s="7" t="n">
        <f aca="false">K619/J619</f>
        <v>8200</v>
      </c>
      <c r="O619" s="7" t="n">
        <f aca="false">K619+N619</f>
        <v>386302</v>
      </c>
      <c r="P619" s="166" t="n">
        <f aca="false">O619/J619</f>
        <v>8200</v>
      </c>
      <c r="Q619" s="1" t="s">
        <v>2799</v>
      </c>
      <c r="R619" s="2" t="n">
        <v>2</v>
      </c>
      <c r="S619" s="5" t="s">
        <v>29</v>
      </c>
      <c r="T619" s="5" t="s">
        <v>1915</v>
      </c>
      <c r="U619" s="294" t="s">
        <v>31</v>
      </c>
      <c r="V619" s="321" t="n">
        <v>43799</v>
      </c>
    </row>
    <row r="620" customFormat="false" ht="12.8" hidden="false" customHeight="false" outlineLevel="0" collapsed="false">
      <c r="B620" s="1" t="n">
        <v>67260</v>
      </c>
      <c r="C620" s="3" t="n">
        <v>43763</v>
      </c>
      <c r="D620" s="2" t="s">
        <v>22</v>
      </c>
      <c r="E620" s="2" t="s">
        <v>322</v>
      </c>
      <c r="F620" s="1" t="s">
        <v>323</v>
      </c>
      <c r="G620" s="2" t="n">
        <v>2</v>
      </c>
      <c r="H620" s="2" t="n">
        <v>15</v>
      </c>
      <c r="I620" s="2" t="n">
        <v>2</v>
      </c>
      <c r="J620" s="276" t="n">
        <v>47.82</v>
      </c>
      <c r="K620" s="7" t="n">
        <v>380163.26</v>
      </c>
      <c r="L620" s="7" t="n">
        <f aca="false">K620/J620</f>
        <v>7949.8799665412</v>
      </c>
      <c r="O620" s="7" t="n">
        <f aca="false">K620+N620</f>
        <v>380163.26</v>
      </c>
      <c r="P620" s="166" t="n">
        <f aca="false">O620/J620</f>
        <v>7949.8799665412</v>
      </c>
      <c r="Q620" s="1" t="s">
        <v>2799</v>
      </c>
      <c r="R620" s="2" t="n">
        <v>2</v>
      </c>
      <c r="S620" s="5" t="s">
        <v>29</v>
      </c>
      <c r="T620" s="5" t="s">
        <v>1915</v>
      </c>
      <c r="U620" s="294" t="s">
        <v>31</v>
      </c>
      <c r="V620" s="321" t="n">
        <v>43799</v>
      </c>
    </row>
    <row r="621" customFormat="false" ht="12.8" hidden="false" customHeight="false" outlineLevel="0" collapsed="false">
      <c r="B621" s="1" t="n">
        <v>34566</v>
      </c>
      <c r="C621" s="3" t="n">
        <v>43760</v>
      </c>
      <c r="D621" s="2" t="s">
        <v>22</v>
      </c>
      <c r="E621" s="2" t="s">
        <v>3085</v>
      </c>
      <c r="F621" s="1" t="s">
        <v>3086</v>
      </c>
      <c r="G621" s="2" t="s">
        <v>5547</v>
      </c>
      <c r="H621" s="2" t="n">
        <v>159</v>
      </c>
      <c r="I621" s="2" t="n">
        <v>2</v>
      </c>
      <c r="J621" s="276" t="n">
        <v>56.2</v>
      </c>
      <c r="K621" s="7" t="n">
        <v>473680.47</v>
      </c>
      <c r="L621" s="7" t="n">
        <f aca="false">K621/J621</f>
        <v>8428.478113879</v>
      </c>
      <c r="M621" s="1" t="s">
        <v>940</v>
      </c>
      <c r="N621" s="7" t="n">
        <v>24000</v>
      </c>
      <c r="O621" s="7" t="n">
        <f aca="false">K621+N621</f>
        <v>497680.47</v>
      </c>
      <c r="P621" s="166" t="n">
        <f aca="false">O621/J621</f>
        <v>8855.5243772242</v>
      </c>
      <c r="Q621" s="1" t="s">
        <v>2799</v>
      </c>
      <c r="R621" s="2" t="n">
        <v>2</v>
      </c>
      <c r="S621" s="5" t="s">
        <v>29</v>
      </c>
      <c r="T621" s="5" t="s">
        <v>1915</v>
      </c>
      <c r="U621" s="294" t="s">
        <v>31</v>
      </c>
      <c r="V621" s="321" t="n">
        <v>43799</v>
      </c>
    </row>
    <row r="622" customFormat="false" ht="12.8" hidden="false" customHeight="false" outlineLevel="0" collapsed="false">
      <c r="B622" s="1" t="n">
        <v>7059</v>
      </c>
      <c r="C622" s="3" t="n">
        <v>43756</v>
      </c>
      <c r="D622" s="2" t="s">
        <v>22</v>
      </c>
      <c r="E622" s="2" t="s">
        <v>2151</v>
      </c>
      <c r="F622" s="1" t="s">
        <v>1223</v>
      </c>
      <c r="G622" s="2" t="n">
        <v>43</v>
      </c>
      <c r="H622" s="2" t="n">
        <v>119</v>
      </c>
      <c r="I622" s="2" t="n">
        <v>6</v>
      </c>
      <c r="J622" s="276" t="n">
        <v>48.16</v>
      </c>
      <c r="K622" s="7" t="n">
        <v>454008.49</v>
      </c>
      <c r="L622" s="7" t="n">
        <f aca="false">K622/J622</f>
        <v>9427.08658637874</v>
      </c>
      <c r="M622" s="1" t="s">
        <v>940</v>
      </c>
      <c r="O622" s="7" t="n">
        <f aca="false">K622+N622</f>
        <v>454008.49</v>
      </c>
      <c r="P622" s="166" t="n">
        <f aca="false">O622/J622</f>
        <v>9427.08658637874</v>
      </c>
      <c r="Q622" s="1" t="s">
        <v>5559</v>
      </c>
      <c r="R622" s="2" t="n">
        <v>3</v>
      </c>
      <c r="S622" s="5" t="s">
        <v>29</v>
      </c>
      <c r="T622" s="5" t="s">
        <v>1915</v>
      </c>
      <c r="U622" s="294" t="s">
        <v>31</v>
      </c>
      <c r="V622" s="321" t="n">
        <v>43799</v>
      </c>
    </row>
    <row r="623" customFormat="false" ht="12.8" hidden="false" customHeight="false" outlineLevel="0" collapsed="false">
      <c r="B623" s="1" t="n">
        <v>11242</v>
      </c>
      <c r="C623" s="3" t="n">
        <v>43746</v>
      </c>
      <c r="D623" s="2" t="s">
        <v>22</v>
      </c>
      <c r="E623" s="2" t="s">
        <v>962</v>
      </c>
      <c r="F623" s="1" t="s">
        <v>963</v>
      </c>
      <c r="G623" s="2" t="n">
        <v>2</v>
      </c>
      <c r="H623" s="2" t="n">
        <v>47</v>
      </c>
      <c r="I623" s="2" t="n">
        <v>5</v>
      </c>
      <c r="J623" s="276" t="n">
        <v>37.92</v>
      </c>
      <c r="K623" s="7" t="n">
        <v>335000</v>
      </c>
      <c r="L623" s="7" t="n">
        <f aca="false">K623/J623</f>
        <v>8834.38818565401</v>
      </c>
      <c r="M623" s="1" t="s">
        <v>940</v>
      </c>
      <c r="O623" s="7" t="n">
        <f aca="false">K623+N623</f>
        <v>335000</v>
      </c>
      <c r="P623" s="166" t="n">
        <f aca="false">O623/J623</f>
        <v>8834.38818565401</v>
      </c>
      <c r="Q623" s="1" t="s">
        <v>2798</v>
      </c>
      <c r="R623" s="2" t="n">
        <v>2</v>
      </c>
      <c r="S623" s="5" t="s">
        <v>29</v>
      </c>
      <c r="T623" s="5" t="s">
        <v>1915</v>
      </c>
      <c r="U623" s="294" t="s">
        <v>31</v>
      </c>
      <c r="V623" s="321" t="n">
        <v>43799</v>
      </c>
    </row>
    <row r="624" customFormat="false" ht="12.8" hidden="false" customHeight="false" outlineLevel="0" collapsed="false">
      <c r="B624" s="1" t="n">
        <v>34663</v>
      </c>
      <c r="C624" s="3" t="n">
        <v>43760</v>
      </c>
      <c r="D624" s="2" t="s">
        <v>22</v>
      </c>
      <c r="E624" s="2" t="s">
        <v>5560</v>
      </c>
      <c r="F624" s="1" t="s">
        <v>3086</v>
      </c>
      <c r="G624" s="2" t="s">
        <v>2784</v>
      </c>
      <c r="H624" s="2" t="n">
        <v>23</v>
      </c>
      <c r="I624" s="2" t="n">
        <v>3</v>
      </c>
      <c r="J624" s="276" t="n">
        <v>45.78</v>
      </c>
      <c r="K624" s="7" t="n">
        <v>429850.29</v>
      </c>
      <c r="L624" s="7" t="n">
        <f aca="false">K624/J624</f>
        <v>9389.47771952818</v>
      </c>
      <c r="O624" s="7" t="n">
        <f aca="false">K624+N624</f>
        <v>429850.29</v>
      </c>
      <c r="P624" s="166" t="n">
        <f aca="false">O624/J624</f>
        <v>9389.47771952818</v>
      </c>
      <c r="Q624" s="1" t="s">
        <v>2799</v>
      </c>
      <c r="R624" s="2" t="n">
        <v>2</v>
      </c>
      <c r="S624" s="5" t="s">
        <v>29</v>
      </c>
      <c r="T624" s="5" t="s">
        <v>1915</v>
      </c>
      <c r="U624" s="294" t="s">
        <v>31</v>
      </c>
      <c r="V624" s="321" t="n">
        <v>43799</v>
      </c>
    </row>
    <row r="625" customFormat="false" ht="12.8" hidden="false" customHeight="false" outlineLevel="0" collapsed="false">
      <c r="B625" s="1" t="n">
        <v>65082</v>
      </c>
      <c r="C625" s="3" t="n">
        <v>43755</v>
      </c>
      <c r="D625" s="2" t="s">
        <v>22</v>
      </c>
      <c r="E625" s="2" t="s">
        <v>322</v>
      </c>
      <c r="F625" s="1" t="s">
        <v>323</v>
      </c>
      <c r="G625" s="2" t="n">
        <v>2</v>
      </c>
      <c r="H625" s="2" t="n">
        <v>80</v>
      </c>
      <c r="I625" s="2" t="n">
        <v>8</v>
      </c>
      <c r="J625" s="276" t="n">
        <v>36.61</v>
      </c>
      <c r="K625" s="7" t="n">
        <v>360593.86</v>
      </c>
      <c r="L625" s="7" t="n">
        <f aca="false">K625/J625</f>
        <v>9849.60010925976</v>
      </c>
      <c r="O625" s="7" t="n">
        <f aca="false">K625+N625</f>
        <v>360593.86</v>
      </c>
      <c r="P625" s="166" t="n">
        <f aca="false">O625/J625</f>
        <v>9849.60010925976</v>
      </c>
      <c r="Q625" s="1" t="s">
        <v>5561</v>
      </c>
      <c r="R625" s="2" t="n">
        <v>1</v>
      </c>
      <c r="S625" s="5" t="s">
        <v>29</v>
      </c>
      <c r="T625" s="5" t="s">
        <v>1915</v>
      </c>
      <c r="U625" s="294" t="s">
        <v>31</v>
      </c>
      <c r="V625" s="321" t="n">
        <v>43799</v>
      </c>
    </row>
    <row r="626" customFormat="false" ht="12.8" hidden="false" customHeight="false" outlineLevel="0" collapsed="false">
      <c r="B626" s="1" t="n">
        <v>12325</v>
      </c>
      <c r="C626" s="3" t="n">
        <v>43796</v>
      </c>
      <c r="D626" s="2" t="s">
        <v>22</v>
      </c>
      <c r="E626" s="222" t="s">
        <v>1380</v>
      </c>
      <c r="F626" s="1" t="s">
        <v>1381</v>
      </c>
      <c r="G626" s="2" t="n">
        <v>2</v>
      </c>
      <c r="H626" s="2" t="n">
        <v>1</v>
      </c>
      <c r="I626" s="2" t="n">
        <v>1</v>
      </c>
      <c r="J626" s="276" t="n">
        <v>77.04</v>
      </c>
      <c r="K626" s="7" t="n">
        <v>660436</v>
      </c>
      <c r="L626" s="7" t="n">
        <f aca="false">K626/J626</f>
        <v>8572.63759086189</v>
      </c>
      <c r="M626" s="1" t="s">
        <v>1739</v>
      </c>
      <c r="O626" s="7" t="n">
        <f aca="false">K626+N626</f>
        <v>660436</v>
      </c>
      <c r="P626" s="7" t="n">
        <f aca="false">O626/J626</f>
        <v>8572.63759086189</v>
      </c>
      <c r="Q626" s="1" t="s">
        <v>5562</v>
      </c>
      <c r="V626" s="2" t="s">
        <v>5563</v>
      </c>
    </row>
    <row r="627" customFormat="false" ht="12.8" hidden="false" customHeight="false" outlineLevel="0" collapsed="false">
      <c r="B627" s="1" t="n">
        <v>5530</v>
      </c>
      <c r="C627" s="3" t="n">
        <v>43777</v>
      </c>
      <c r="D627" s="2" t="s">
        <v>22</v>
      </c>
      <c r="E627" s="5" t="s">
        <v>103</v>
      </c>
      <c r="F627" s="1" t="s">
        <v>3093</v>
      </c>
      <c r="G627" s="2" t="n">
        <v>41</v>
      </c>
      <c r="H627" s="2" t="n">
        <v>20</v>
      </c>
      <c r="I627" s="2" t="n">
        <v>11</v>
      </c>
      <c r="J627" s="276" t="n">
        <v>90.61</v>
      </c>
      <c r="K627" s="7" t="n">
        <v>783890.2</v>
      </c>
      <c r="L627" s="7" t="n">
        <f aca="false">K627/J627</f>
        <v>8651.25482838539</v>
      </c>
      <c r="M627" s="1" t="s">
        <v>1739</v>
      </c>
      <c r="O627" s="7" t="n">
        <f aca="false">K627+N627</f>
        <v>783890.2</v>
      </c>
      <c r="P627" s="7" t="n">
        <f aca="false">O627/J627</f>
        <v>8651.25482838539</v>
      </c>
      <c r="Q627" s="1" t="s">
        <v>5564</v>
      </c>
      <c r="V627" s="2" t="s">
        <v>5565</v>
      </c>
    </row>
    <row r="628" customFormat="false" ht="12.8" hidden="false" customHeight="false" outlineLevel="0" collapsed="false">
      <c r="B628" s="1" t="n">
        <v>14201</v>
      </c>
      <c r="C628" s="3" t="n">
        <v>43787</v>
      </c>
      <c r="D628" s="2" t="s">
        <v>22</v>
      </c>
      <c r="E628" s="2" t="s">
        <v>962</v>
      </c>
      <c r="F628" s="1" t="s">
        <v>963</v>
      </c>
      <c r="G628" s="2" t="n">
        <v>3</v>
      </c>
      <c r="H628" s="2" t="n">
        <v>85</v>
      </c>
      <c r="I628" s="2" t="n">
        <v>4</v>
      </c>
      <c r="J628" s="276" t="n">
        <v>100.82</v>
      </c>
      <c r="K628" s="7" t="n">
        <v>940000</v>
      </c>
      <c r="L628" s="7" t="n">
        <f aca="false">K628/J628</f>
        <v>9323.54691529458</v>
      </c>
      <c r="M628" s="1" t="s">
        <v>5566</v>
      </c>
      <c r="O628" s="7" t="n">
        <f aca="false">K628+N628</f>
        <v>940000</v>
      </c>
      <c r="P628" s="7" t="n">
        <f aca="false">O628/J628</f>
        <v>9323.54691529458</v>
      </c>
      <c r="Q628" s="1" t="s">
        <v>5567</v>
      </c>
      <c r="V628" s="2" t="s">
        <v>5568</v>
      </c>
    </row>
    <row r="629" customFormat="false" ht="12.8" hidden="false" customHeight="false" outlineLevel="0" collapsed="false">
      <c r="B629" s="1" t="n">
        <v>18332</v>
      </c>
      <c r="C629" s="3" t="n">
        <v>43795</v>
      </c>
      <c r="D629" s="2" t="s">
        <v>22</v>
      </c>
      <c r="E629" s="8" t="s">
        <v>717</v>
      </c>
      <c r="F629" s="1" t="s">
        <v>392</v>
      </c>
      <c r="G629" s="2" t="n">
        <v>75</v>
      </c>
      <c r="H629" s="2" t="n">
        <v>7</v>
      </c>
      <c r="I629" s="2" t="n">
        <v>3</v>
      </c>
      <c r="J629" s="276" t="n">
        <v>81.79</v>
      </c>
      <c r="K629" s="7" t="n">
        <v>610875</v>
      </c>
      <c r="L629" s="7" t="n">
        <f aca="false">K629/J629</f>
        <v>7468.8225944492</v>
      </c>
      <c r="O629" s="7" t="n">
        <f aca="false">K629+N629</f>
        <v>610875</v>
      </c>
      <c r="P629" s="7" t="n">
        <f aca="false">O629/J629</f>
        <v>7468.8225944492</v>
      </c>
      <c r="Q629" s="1" t="s">
        <v>5569</v>
      </c>
      <c r="V629" s="2" t="s">
        <v>5570</v>
      </c>
    </row>
    <row r="630" customFormat="false" ht="12.8" hidden="false" customHeight="false" outlineLevel="0" collapsed="false">
      <c r="B630" s="1" t="n">
        <v>8689</v>
      </c>
      <c r="C630" s="3" t="n">
        <v>43797</v>
      </c>
      <c r="D630" s="2" t="s">
        <v>22</v>
      </c>
      <c r="E630" s="2" t="s">
        <v>2151</v>
      </c>
      <c r="F630" s="1" t="s">
        <v>240</v>
      </c>
      <c r="G630" s="2" t="n">
        <v>43</v>
      </c>
      <c r="H630" s="2" t="n">
        <v>93</v>
      </c>
      <c r="I630" s="2" t="n">
        <v>3</v>
      </c>
      <c r="J630" s="276" t="n">
        <v>44.13</v>
      </c>
      <c r="K630" s="7" t="n">
        <v>410124.35</v>
      </c>
      <c r="L630" s="7" t="n">
        <f aca="false">K630/J630</f>
        <v>9293.5497394063</v>
      </c>
      <c r="M630" s="1" t="s">
        <v>943</v>
      </c>
      <c r="O630" s="7" t="n">
        <f aca="false">K630+N630</f>
        <v>410124.35</v>
      </c>
      <c r="P630" s="7" t="n">
        <f aca="false">O630/J630</f>
        <v>9293.5497394063</v>
      </c>
      <c r="Q630" s="1" t="s">
        <v>5571</v>
      </c>
      <c r="V630" s="2" t="s">
        <v>5572</v>
      </c>
    </row>
    <row r="631" customFormat="false" ht="12.8" hidden="false" customHeight="false" outlineLevel="0" collapsed="false">
      <c r="B631" s="1" t="n">
        <v>18617</v>
      </c>
      <c r="C631" s="3" t="n">
        <v>43796</v>
      </c>
      <c r="D631" s="2" t="s">
        <v>22</v>
      </c>
      <c r="E631" s="8" t="s">
        <v>717</v>
      </c>
      <c r="F631" s="1" t="s">
        <v>392</v>
      </c>
      <c r="G631" s="2" t="s">
        <v>5573</v>
      </c>
      <c r="H631" s="2" t="n">
        <v>37</v>
      </c>
      <c r="I631" s="2" t="n">
        <v>6</v>
      </c>
      <c r="J631" s="276" t="n">
        <v>100.29</v>
      </c>
      <c r="K631" s="7" t="n">
        <v>807411</v>
      </c>
      <c r="L631" s="7" t="n">
        <f aca="false">K631/J631</f>
        <v>8050.76278791505</v>
      </c>
      <c r="O631" s="7" t="n">
        <f aca="false">K631+N631</f>
        <v>807411</v>
      </c>
      <c r="P631" s="7" t="n">
        <f aca="false">O631/J631</f>
        <v>8050.76278791505</v>
      </c>
      <c r="Q631" s="1" t="s">
        <v>5574</v>
      </c>
      <c r="V631" s="2" t="s">
        <v>5575</v>
      </c>
    </row>
    <row r="632" customFormat="false" ht="12.8" hidden="false" customHeight="false" outlineLevel="0" collapsed="false">
      <c r="B632" s="1" t="n">
        <v>14376</v>
      </c>
      <c r="C632" s="3" t="n">
        <v>43789</v>
      </c>
      <c r="D632" s="2" t="s">
        <v>22</v>
      </c>
      <c r="E632" s="2" t="s">
        <v>962</v>
      </c>
      <c r="F632" s="1" t="s">
        <v>963</v>
      </c>
      <c r="G632" s="2" t="n">
        <v>3</v>
      </c>
      <c r="H632" s="2" t="n">
        <v>151</v>
      </c>
      <c r="I632" s="2" t="n">
        <v>7</v>
      </c>
      <c r="J632" s="276" t="n">
        <v>72.35</v>
      </c>
      <c r="K632" s="7" t="n">
        <v>770000</v>
      </c>
      <c r="L632" s="7" t="n">
        <f aca="false">K632/J632</f>
        <v>10642.7090532135</v>
      </c>
      <c r="M632" s="7" t="s">
        <v>5576</v>
      </c>
      <c r="O632" s="7" t="n">
        <f aca="false">K632+N632</f>
        <v>770000</v>
      </c>
      <c r="P632" s="7" t="n">
        <f aca="false">O632/J632</f>
        <v>10642.7090532135</v>
      </c>
      <c r="Q632" s="1" t="s">
        <v>5577</v>
      </c>
      <c r="V632" s="2" t="s">
        <v>5578</v>
      </c>
    </row>
    <row r="633" customFormat="false" ht="12.8" hidden="false" customHeight="false" outlineLevel="0" collapsed="false">
      <c r="B633" s="1" t="n">
        <v>6657</v>
      </c>
      <c r="C633" s="3" t="n">
        <v>43790</v>
      </c>
      <c r="D633" s="2" t="s">
        <v>22</v>
      </c>
      <c r="E633" s="2" t="s">
        <v>407</v>
      </c>
      <c r="F633" s="1" t="s">
        <v>2259</v>
      </c>
      <c r="G633" s="2" t="n">
        <v>4</v>
      </c>
      <c r="H633" s="2" t="n">
        <v>9</v>
      </c>
      <c r="I633" s="2" t="n">
        <v>3</v>
      </c>
      <c r="J633" s="276" t="n">
        <v>81.32</v>
      </c>
      <c r="K633" s="7" t="n">
        <v>954976.72</v>
      </c>
      <c r="L633" s="7" t="n">
        <f aca="false">K633/J633</f>
        <v>11743.4422036399</v>
      </c>
      <c r="M633" s="1" t="s">
        <v>940</v>
      </c>
      <c r="O633" s="7" t="n">
        <f aca="false">K633+N633</f>
        <v>954976.72</v>
      </c>
      <c r="P633" s="7" t="n">
        <f aca="false">O633/J633</f>
        <v>11743.4422036399</v>
      </c>
      <c r="Q633" s="1" t="s">
        <v>5579</v>
      </c>
      <c r="V633" s="2" t="s">
        <v>5580</v>
      </c>
    </row>
    <row r="634" customFormat="false" ht="12.8" hidden="false" customHeight="false" outlineLevel="0" collapsed="false">
      <c r="B634" s="1" t="n">
        <v>9817</v>
      </c>
      <c r="C634" s="3" t="n">
        <v>43782</v>
      </c>
      <c r="D634" s="2" t="s">
        <v>22</v>
      </c>
      <c r="E634" s="2" t="s">
        <v>23</v>
      </c>
      <c r="F634" s="1" t="s">
        <v>43</v>
      </c>
      <c r="G634" s="2" t="n">
        <v>28</v>
      </c>
      <c r="H634" s="2" t="n">
        <v>14</v>
      </c>
      <c r="I634" s="2" t="n">
        <v>3</v>
      </c>
      <c r="J634" s="276" t="n">
        <v>51.02</v>
      </c>
      <c r="K634" s="7" t="n">
        <v>715000</v>
      </c>
      <c r="L634" s="7" t="n">
        <f aca="false">K634/J634</f>
        <v>14014.1121128969</v>
      </c>
      <c r="O634" s="7" t="n">
        <f aca="false">K634+N634</f>
        <v>715000</v>
      </c>
      <c r="P634" s="7" t="n">
        <f aca="false">O634/J634</f>
        <v>14014.1121128969</v>
      </c>
      <c r="Q634" s="1" t="s">
        <v>5581</v>
      </c>
      <c r="V634" s="2" t="s">
        <v>5582</v>
      </c>
    </row>
    <row r="635" customFormat="false" ht="12.8" hidden="false" customHeight="false" outlineLevel="0" collapsed="false">
      <c r="B635" s="1" t="n">
        <v>39675</v>
      </c>
      <c r="C635" s="3" t="n">
        <v>43798</v>
      </c>
      <c r="D635" s="2" t="s">
        <v>22</v>
      </c>
      <c r="E635" s="8" t="s">
        <v>3085</v>
      </c>
      <c r="F635" s="1" t="s">
        <v>3086</v>
      </c>
      <c r="G635" s="2" t="s">
        <v>525</v>
      </c>
      <c r="H635" s="2" t="n">
        <v>143</v>
      </c>
      <c r="I635" s="2" t="n">
        <v>7</v>
      </c>
      <c r="J635" s="276" t="n">
        <v>80.3</v>
      </c>
      <c r="K635" s="7" t="n">
        <v>764526.47</v>
      </c>
      <c r="L635" s="7" t="n">
        <f aca="false">K635/J635</f>
        <v>9520.87758405978</v>
      </c>
      <c r="M635" s="1" t="s">
        <v>5583</v>
      </c>
      <c r="N635" s="7" t="n">
        <v>33000</v>
      </c>
      <c r="O635" s="7" t="n">
        <f aca="false">K635+N635</f>
        <v>797526.47</v>
      </c>
      <c r="P635" s="7" t="n">
        <f aca="false">O635/J635</f>
        <v>9931.83648816937</v>
      </c>
      <c r="Q635" s="1" t="s">
        <v>5584</v>
      </c>
      <c r="V635" s="2" t="s">
        <v>5585</v>
      </c>
    </row>
    <row r="636" customFormat="false" ht="12.8" hidden="false" customHeight="false" outlineLevel="0" collapsed="false">
      <c r="B636" s="1" t="n">
        <v>15131</v>
      </c>
      <c r="C636" s="3" t="n">
        <v>43802</v>
      </c>
      <c r="D636" s="2" t="s">
        <v>22</v>
      </c>
      <c r="E636" s="2" t="s">
        <v>962</v>
      </c>
      <c r="F636" s="1" t="s">
        <v>963</v>
      </c>
      <c r="G636" s="2" t="n">
        <v>2</v>
      </c>
      <c r="H636" s="2" t="n">
        <v>59</v>
      </c>
      <c r="I636" s="2" t="n">
        <v>6</v>
      </c>
      <c r="J636" s="276" t="n">
        <v>37.89</v>
      </c>
      <c r="K636" s="7" t="n">
        <v>352000</v>
      </c>
      <c r="L636" s="7" t="n">
        <f aca="false">K636/J636</f>
        <v>9290.05014515703</v>
      </c>
      <c r="M636" s="1" t="s">
        <v>2734</v>
      </c>
      <c r="O636" s="7" t="n">
        <f aca="false">K636+N636</f>
        <v>352000</v>
      </c>
      <c r="P636" s="7" t="n">
        <f aca="false">O636/J636</f>
        <v>9290.05014515703</v>
      </c>
      <c r="Q636" s="1" t="s">
        <v>5586</v>
      </c>
      <c r="V636" s="2" t="s">
        <v>5587</v>
      </c>
    </row>
    <row r="637" customFormat="false" ht="12.8" hidden="false" customHeight="false" outlineLevel="0" collapsed="false">
      <c r="B637" s="1" t="n">
        <v>6229</v>
      </c>
      <c r="C637" s="3" t="n">
        <v>43794</v>
      </c>
      <c r="D637" s="2" t="s">
        <v>22</v>
      </c>
      <c r="E637" s="2" t="s">
        <v>268</v>
      </c>
      <c r="F637" s="1" t="s">
        <v>5588</v>
      </c>
      <c r="G637" s="2" t="n">
        <v>20</v>
      </c>
      <c r="H637" s="2" t="n">
        <v>2</v>
      </c>
      <c r="I637" s="2" t="n">
        <v>1</v>
      </c>
      <c r="J637" s="276" t="n">
        <v>80.79</v>
      </c>
      <c r="K637" s="7" t="n">
        <v>1095000</v>
      </c>
      <c r="L637" s="7" t="n">
        <f aca="false">K637/J637</f>
        <v>13553.6576308949</v>
      </c>
      <c r="M637" s="1" t="s">
        <v>2734</v>
      </c>
      <c r="O637" s="7" t="n">
        <f aca="false">K637+N637</f>
        <v>1095000</v>
      </c>
      <c r="P637" s="7" t="n">
        <f aca="false">O637/J637</f>
        <v>13553.6576308949</v>
      </c>
      <c r="Q637" s="1" t="s">
        <v>5589</v>
      </c>
      <c r="V637" s="2" t="s">
        <v>5590</v>
      </c>
    </row>
    <row r="638" customFormat="false" ht="12.8" hidden="false" customHeight="false" outlineLevel="0" collapsed="false">
      <c r="B638" s="1" t="n">
        <v>12385</v>
      </c>
      <c r="C638" s="3" t="n">
        <v>43798</v>
      </c>
      <c r="D638" s="2" t="s">
        <v>22</v>
      </c>
      <c r="E638" s="5" t="s">
        <v>372</v>
      </c>
      <c r="F638" s="1" t="s">
        <v>272</v>
      </c>
      <c r="G638" s="2" t="s">
        <v>2158</v>
      </c>
      <c r="H638" s="2" t="n">
        <v>1</v>
      </c>
      <c r="I638" s="2" t="n">
        <v>2</v>
      </c>
      <c r="J638" s="276" t="n">
        <v>43.1</v>
      </c>
      <c r="K638" s="7" t="n">
        <v>521510</v>
      </c>
      <c r="L638" s="7" t="n">
        <f aca="false">K638/J638</f>
        <v>12100</v>
      </c>
      <c r="O638" s="7" t="n">
        <f aca="false">K638+N638</f>
        <v>521510</v>
      </c>
      <c r="P638" s="7" t="n">
        <f aca="false">O638/J638</f>
        <v>12100</v>
      </c>
      <c r="Q638" s="1" t="s">
        <v>5591</v>
      </c>
      <c r="V638" s="2" t="s">
        <v>5592</v>
      </c>
    </row>
  </sheetData>
  <autoFilter ref="1:638"/>
  <printOptions headings="false" gridLines="false" gridLinesSet="true" horizontalCentered="false" verticalCentered="false"/>
  <pageMargins left="0.7" right="0.7" top="0.75" bottom="0.75" header="0.75" footer="0.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7.71484375" defaultRowHeight="13.8" zeroHeight="false" outlineLevelRow="0" outlineLevelCol="0"/>
  <cols>
    <col collapsed="false" customWidth="false" hidden="false" outlineLevel="0" max="2" min="1" style="322" width="7.71"/>
    <col collapsed="false" customWidth="true" hidden="false" outlineLevel="0" max="3" min="3" style="322" width="8.64"/>
    <col collapsed="false" customWidth="false" hidden="false" outlineLevel="0" max="21" min="4" style="322" width="7.71"/>
    <col collapsed="false" customWidth="true" hidden="false" outlineLevel="0" max="22" min="22" style="322" width="8.64"/>
    <col collapsed="false" customWidth="false" hidden="false" outlineLevel="0" max="1024" min="23" style="322" width="7.71"/>
  </cols>
  <sheetData>
    <row r="1" s="331" customFormat="true" ht="31.9" hidden="false" customHeight="true" outlineLevel="0" collapsed="false">
      <c r="A1" s="323"/>
      <c r="B1" s="324" t="s">
        <v>0</v>
      </c>
      <c r="C1" s="325" t="s">
        <v>1</v>
      </c>
      <c r="D1" s="326" t="s">
        <v>2</v>
      </c>
      <c r="E1" s="327" t="s">
        <v>3</v>
      </c>
      <c r="F1" s="328" t="s">
        <v>4</v>
      </c>
      <c r="G1" s="326" t="s">
        <v>5</v>
      </c>
      <c r="H1" s="326" t="s">
        <v>6</v>
      </c>
      <c r="I1" s="326" t="s">
        <v>7</v>
      </c>
      <c r="J1" s="329" t="s">
        <v>4102</v>
      </c>
      <c r="K1" s="330" t="s">
        <v>9</v>
      </c>
      <c r="L1" s="330" t="s">
        <v>5593</v>
      </c>
      <c r="M1" s="328" t="s">
        <v>11</v>
      </c>
      <c r="N1" s="330" t="s">
        <v>12</v>
      </c>
      <c r="O1" s="330" t="s">
        <v>13</v>
      </c>
      <c r="P1" s="330" t="s">
        <v>4871</v>
      </c>
      <c r="Q1" s="326" t="s">
        <v>15</v>
      </c>
      <c r="R1" s="326" t="s">
        <v>16</v>
      </c>
      <c r="S1" s="326" t="s">
        <v>17</v>
      </c>
      <c r="T1" s="326" t="s">
        <v>18</v>
      </c>
      <c r="U1" s="326" t="s">
        <v>19</v>
      </c>
      <c r="V1" s="324" t="s">
        <v>20</v>
      </c>
      <c r="W1" s="324" t="s">
        <v>21</v>
      </c>
      <c r="X1" s="323"/>
    </row>
    <row r="2" s="256" customFormat="true" ht="13.8" hidden="false" customHeight="false" outlineLevel="0" collapsed="false">
      <c r="B2" s="256" t="n">
        <v>5022</v>
      </c>
      <c r="C2" s="332" t="n">
        <v>43773</v>
      </c>
      <c r="D2" s="256" t="s">
        <v>22</v>
      </c>
      <c r="F2" s="256" t="s">
        <v>1041</v>
      </c>
      <c r="G2" s="256" t="n">
        <v>75</v>
      </c>
      <c r="H2" s="256" t="n">
        <v>193</v>
      </c>
      <c r="I2" s="256" t="n">
        <v>2</v>
      </c>
      <c r="J2" s="256" t="n">
        <v>44</v>
      </c>
      <c r="K2" s="256" t="n">
        <v>545000</v>
      </c>
      <c r="L2" s="256" t="n">
        <f aca="false">K2/J2</f>
        <v>12386.3636363636</v>
      </c>
      <c r="O2" s="256" t="n">
        <v>545000</v>
      </c>
      <c r="P2" s="256" t="n">
        <f aca="false">O2/J2</f>
        <v>12386.3636363636</v>
      </c>
      <c r="Q2" s="256" t="s">
        <v>1486</v>
      </c>
      <c r="R2" s="256" t="n">
        <v>2</v>
      </c>
      <c r="V2" s="332" t="n">
        <v>43879</v>
      </c>
      <c r="W2" s="256" t="s">
        <v>5594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2012-05-28T15:56:08Z</dcterms:created>
  <dc:creator>user</dc:creator>
  <dc:description/>
  <dc:language>pl-PL</dc:language>
  <cp:lastModifiedBy>Ewa Karwowska</cp:lastModifiedBy>
  <cp:lastPrinted>2013-06-07T12:42:18Z</cp:lastPrinted>
  <dcterms:modified xsi:type="dcterms:W3CDTF">2020-03-03T21:30:32Z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