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 activeTab="1"/>
  </bookViews>
  <sheets>
    <sheet name="Income - Adjusted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AC110" i="2" l="1"/>
  <c r="Y110" i="2"/>
  <c r="U110" i="2"/>
  <c r="Q110" i="2"/>
  <c r="M110" i="2"/>
  <c r="I110" i="2"/>
  <c r="E110" i="2"/>
  <c r="AB108" i="2"/>
  <c r="X108" i="2"/>
  <c r="T108" i="2"/>
  <c r="P108" i="2"/>
  <c r="L108" i="2"/>
  <c r="H108" i="2"/>
  <c r="D108" i="2"/>
  <c r="AA106" i="2"/>
  <c r="W106" i="2"/>
  <c r="S106" i="2"/>
  <c r="O106" i="2"/>
  <c r="K106" i="2"/>
  <c r="G106" i="2"/>
  <c r="C106" i="2"/>
  <c r="Z104" i="2"/>
  <c r="V104" i="2"/>
  <c r="R104" i="2"/>
  <c r="N104" i="2"/>
  <c r="J104" i="2"/>
  <c r="F104" i="2"/>
  <c r="AC101" i="2"/>
  <c r="Y101" i="2"/>
  <c r="U101" i="2"/>
  <c r="Q101" i="2"/>
  <c r="M101" i="2"/>
  <c r="I101" i="2"/>
  <c r="E101" i="2"/>
  <c r="AB99" i="2"/>
  <c r="X99" i="2"/>
  <c r="T99" i="2"/>
  <c r="P99" i="2"/>
  <c r="L99" i="2"/>
  <c r="H99" i="2"/>
  <c r="D99" i="2"/>
  <c r="AA97" i="2"/>
  <c r="W97" i="2"/>
  <c r="S97" i="2"/>
  <c r="O97" i="2"/>
  <c r="K97" i="2"/>
  <c r="G97" i="2"/>
  <c r="C97" i="2"/>
  <c r="Z95" i="2"/>
  <c r="V95" i="2"/>
  <c r="R95" i="2"/>
  <c r="N95" i="2"/>
  <c r="J95" i="2"/>
  <c r="F95" i="2"/>
  <c r="AC93" i="2"/>
  <c r="Y93" i="2"/>
  <c r="U93" i="2"/>
  <c r="Q93" i="2"/>
  <c r="M93" i="2"/>
  <c r="I93" i="2"/>
  <c r="E93" i="2"/>
  <c r="AB91" i="2"/>
  <c r="X91" i="2"/>
  <c r="T91" i="2"/>
  <c r="P91" i="2"/>
  <c r="L91" i="2"/>
  <c r="H91" i="2"/>
  <c r="D91" i="2"/>
  <c r="AA89" i="2"/>
  <c r="W89" i="2"/>
  <c r="S89" i="2"/>
  <c r="O89" i="2"/>
  <c r="K89" i="2"/>
  <c r="G89" i="2"/>
  <c r="C89" i="2"/>
  <c r="Z86" i="2"/>
  <c r="V86" i="2"/>
  <c r="R86" i="2"/>
  <c r="N86" i="2"/>
  <c r="J86" i="2"/>
  <c r="F86" i="2"/>
  <c r="AC85" i="2"/>
  <c r="Y85" i="2"/>
  <c r="U85" i="2"/>
  <c r="Q85" i="2"/>
  <c r="M85" i="2"/>
  <c r="I85" i="2"/>
  <c r="E85" i="2"/>
  <c r="AB84" i="2"/>
  <c r="X84" i="2"/>
  <c r="T84" i="2"/>
  <c r="P84" i="2"/>
  <c r="L84" i="2"/>
  <c r="H84" i="2"/>
  <c r="D84" i="2"/>
  <c r="AA82" i="2"/>
  <c r="W82" i="2"/>
  <c r="S82" i="2"/>
  <c r="O82" i="2"/>
  <c r="K82" i="2"/>
  <c r="G82" i="2"/>
  <c r="C82" i="2"/>
  <c r="Z80" i="2"/>
  <c r="V80" i="2"/>
  <c r="R80" i="2"/>
  <c r="N80" i="2"/>
  <c r="J80" i="2"/>
  <c r="F80" i="2"/>
  <c r="AC78" i="2"/>
  <c r="Y78" i="2"/>
  <c r="U78" i="2"/>
  <c r="Q78" i="2"/>
  <c r="M78" i="2"/>
  <c r="I78" i="2"/>
  <c r="E78" i="2"/>
  <c r="AB77" i="2"/>
  <c r="X77" i="2"/>
  <c r="T77" i="2"/>
  <c r="P77" i="2"/>
  <c r="L77" i="2"/>
  <c r="H77" i="2"/>
  <c r="D77" i="2"/>
  <c r="AA76" i="2"/>
  <c r="W76" i="2"/>
  <c r="S76" i="2"/>
  <c r="O76" i="2"/>
  <c r="K76" i="2"/>
  <c r="AB110" i="2"/>
  <c r="X110" i="2"/>
  <c r="T110" i="2"/>
  <c r="P110" i="2"/>
  <c r="L110" i="2"/>
  <c r="H110" i="2"/>
  <c r="D110" i="2"/>
  <c r="AA108" i="2"/>
  <c r="W108" i="2"/>
  <c r="S108" i="2"/>
  <c r="O108" i="2"/>
  <c r="K108" i="2"/>
  <c r="G108" i="2"/>
  <c r="C108" i="2"/>
  <c r="Z106" i="2"/>
  <c r="V106" i="2"/>
  <c r="R106" i="2"/>
  <c r="N106" i="2"/>
  <c r="J106" i="2"/>
  <c r="F106" i="2"/>
  <c r="AC104" i="2"/>
  <c r="Y104" i="2"/>
  <c r="U104" i="2"/>
  <c r="Q104" i="2"/>
  <c r="M104" i="2"/>
  <c r="I104" i="2"/>
  <c r="E104" i="2"/>
  <c r="AB101" i="2"/>
  <c r="X101" i="2"/>
  <c r="T101" i="2"/>
  <c r="P101" i="2"/>
  <c r="L101" i="2"/>
  <c r="H101" i="2"/>
  <c r="D101" i="2"/>
  <c r="AA99" i="2"/>
  <c r="W99" i="2"/>
  <c r="S99" i="2"/>
  <c r="O99" i="2"/>
  <c r="K99" i="2"/>
  <c r="G99" i="2"/>
  <c r="C99" i="2"/>
  <c r="Z97" i="2"/>
  <c r="V97" i="2"/>
  <c r="R97" i="2"/>
  <c r="N97" i="2"/>
  <c r="J97" i="2"/>
  <c r="F97" i="2"/>
  <c r="AC95" i="2"/>
  <c r="Y95" i="2"/>
  <c r="U95" i="2"/>
  <c r="Q95" i="2"/>
  <c r="M95" i="2"/>
  <c r="I95" i="2"/>
  <c r="E95" i="2"/>
  <c r="AB93" i="2"/>
  <c r="X93" i="2"/>
  <c r="T93" i="2"/>
  <c r="P93" i="2"/>
  <c r="L93" i="2"/>
  <c r="H93" i="2"/>
  <c r="D93" i="2"/>
  <c r="AA91" i="2"/>
  <c r="W91" i="2"/>
  <c r="S91" i="2"/>
  <c r="O91" i="2"/>
  <c r="K91" i="2"/>
  <c r="G91" i="2"/>
  <c r="C91" i="2"/>
  <c r="Z89" i="2"/>
  <c r="V89" i="2"/>
  <c r="R89" i="2"/>
  <c r="N89" i="2"/>
  <c r="J89" i="2"/>
  <c r="F89" i="2"/>
  <c r="AC86" i="2"/>
  <c r="Y86" i="2"/>
  <c r="U86" i="2"/>
  <c r="Q86" i="2"/>
  <c r="M86" i="2"/>
  <c r="I86" i="2"/>
  <c r="E86" i="2"/>
  <c r="AB85" i="2"/>
  <c r="X85" i="2"/>
  <c r="T85" i="2"/>
  <c r="P85" i="2"/>
  <c r="L85" i="2"/>
  <c r="H85" i="2"/>
  <c r="D85" i="2"/>
  <c r="AA84" i="2"/>
  <c r="W84" i="2"/>
  <c r="S84" i="2"/>
  <c r="O84" i="2"/>
  <c r="K84" i="2"/>
  <c r="G84" i="2"/>
  <c r="C84" i="2"/>
  <c r="Z82" i="2"/>
  <c r="V82" i="2"/>
  <c r="R82" i="2"/>
  <c r="N82" i="2"/>
  <c r="J82" i="2"/>
  <c r="F82" i="2"/>
  <c r="AC80" i="2"/>
  <c r="Y80" i="2"/>
  <c r="U80" i="2"/>
  <c r="Q80" i="2"/>
  <c r="M80" i="2"/>
  <c r="I80" i="2"/>
  <c r="E80" i="2"/>
  <c r="AB78" i="2"/>
  <c r="X78" i="2"/>
  <c r="T78" i="2"/>
  <c r="P78" i="2"/>
  <c r="L78" i="2"/>
  <c r="H78" i="2"/>
  <c r="D78" i="2"/>
  <c r="AA77" i="2"/>
  <c r="W77" i="2"/>
  <c r="S77" i="2"/>
  <c r="O77" i="2"/>
  <c r="K77" i="2"/>
  <c r="G77" i="2"/>
  <c r="C77" i="2"/>
  <c r="Z76" i="2"/>
  <c r="V76" i="2"/>
  <c r="R76" i="2"/>
  <c r="N76" i="2"/>
  <c r="J76" i="2"/>
  <c r="AA110" i="2"/>
  <c r="W110" i="2"/>
  <c r="S110" i="2"/>
  <c r="O110" i="2"/>
  <c r="K110" i="2"/>
  <c r="G110" i="2"/>
  <c r="C110" i="2"/>
  <c r="Z108" i="2"/>
  <c r="V108" i="2"/>
  <c r="R108" i="2"/>
  <c r="N108" i="2"/>
  <c r="J108" i="2"/>
  <c r="F108" i="2"/>
  <c r="AC106" i="2"/>
  <c r="Y106" i="2"/>
  <c r="U106" i="2"/>
  <c r="Q106" i="2"/>
  <c r="M106" i="2"/>
  <c r="I106" i="2"/>
  <c r="E106" i="2"/>
  <c r="AB104" i="2"/>
  <c r="X104" i="2"/>
  <c r="T104" i="2"/>
  <c r="P104" i="2"/>
  <c r="L104" i="2"/>
  <c r="H104" i="2"/>
  <c r="D104" i="2"/>
  <c r="AA101" i="2"/>
  <c r="W101" i="2"/>
  <c r="S101" i="2"/>
  <c r="O101" i="2"/>
  <c r="K101" i="2"/>
  <c r="G101" i="2"/>
  <c r="C101" i="2"/>
  <c r="Z99" i="2"/>
  <c r="V99" i="2"/>
  <c r="R99" i="2"/>
  <c r="N99" i="2"/>
  <c r="J99" i="2"/>
  <c r="F99" i="2"/>
  <c r="AC97" i="2"/>
  <c r="Y97" i="2"/>
  <c r="U97" i="2"/>
  <c r="Q97" i="2"/>
  <c r="M97" i="2"/>
  <c r="I97" i="2"/>
  <c r="E97" i="2"/>
  <c r="AB95" i="2"/>
  <c r="X95" i="2"/>
  <c r="T95" i="2"/>
  <c r="P95" i="2"/>
  <c r="L95" i="2"/>
  <c r="H95" i="2"/>
  <c r="D95" i="2"/>
  <c r="AA93" i="2"/>
  <c r="W93" i="2"/>
  <c r="S93" i="2"/>
  <c r="O93" i="2"/>
  <c r="K93" i="2"/>
  <c r="G93" i="2"/>
  <c r="C93" i="2"/>
  <c r="Z91" i="2"/>
  <c r="V91" i="2"/>
  <c r="R91" i="2"/>
  <c r="N91" i="2"/>
  <c r="J91" i="2"/>
  <c r="F91" i="2"/>
  <c r="AC89" i="2"/>
  <c r="Y89" i="2"/>
  <c r="U89" i="2"/>
  <c r="Q89" i="2"/>
  <c r="M89" i="2"/>
  <c r="I89" i="2"/>
  <c r="E89" i="2"/>
  <c r="AB86" i="2"/>
  <c r="X86" i="2"/>
  <c r="T86" i="2"/>
  <c r="P86" i="2"/>
  <c r="L86" i="2"/>
  <c r="H86" i="2"/>
  <c r="D86" i="2"/>
  <c r="AA85" i="2"/>
  <c r="W85" i="2"/>
  <c r="S85" i="2"/>
  <c r="O85" i="2"/>
  <c r="K85" i="2"/>
  <c r="G85" i="2"/>
  <c r="C85" i="2"/>
  <c r="Z84" i="2"/>
  <c r="V84" i="2"/>
  <c r="R84" i="2"/>
  <c r="N84" i="2"/>
  <c r="J84" i="2"/>
  <c r="F84" i="2"/>
  <c r="AC82" i="2"/>
  <c r="Y82" i="2"/>
  <c r="U82" i="2"/>
  <c r="Q82" i="2"/>
  <c r="M82" i="2"/>
  <c r="I82" i="2"/>
  <c r="E82" i="2"/>
  <c r="AB80" i="2"/>
  <c r="X80" i="2"/>
  <c r="T80" i="2"/>
  <c r="P80" i="2"/>
  <c r="L80" i="2"/>
  <c r="H80" i="2"/>
  <c r="D80" i="2"/>
  <c r="AA78" i="2"/>
  <c r="W78" i="2"/>
  <c r="S78" i="2"/>
  <c r="O78" i="2"/>
  <c r="K78" i="2"/>
  <c r="G78" i="2"/>
  <c r="C78" i="2"/>
  <c r="Z77" i="2"/>
  <c r="V77" i="2"/>
  <c r="R77" i="2"/>
  <c r="N77" i="2"/>
  <c r="J77" i="2"/>
  <c r="F77" i="2"/>
  <c r="AC76" i="2"/>
  <c r="Y76" i="2"/>
  <c r="U76" i="2"/>
  <c r="Q76" i="2"/>
  <c r="M76" i="2"/>
  <c r="I76" i="2"/>
  <c r="Z110" i="2"/>
  <c r="J110" i="2"/>
  <c r="U108" i="2"/>
  <c r="E108" i="2"/>
  <c r="P106" i="2"/>
  <c r="AA104" i="2"/>
  <c r="K104" i="2"/>
  <c r="V101" i="2"/>
  <c r="F101" i="2"/>
  <c r="Q99" i="2"/>
  <c r="AB97" i="2"/>
  <c r="L97" i="2"/>
  <c r="W95" i="2"/>
  <c r="G95" i="2"/>
  <c r="R93" i="2"/>
  <c r="AC91" i="2"/>
  <c r="M91" i="2"/>
  <c r="X89" i="2"/>
  <c r="H89" i="2"/>
  <c r="S86" i="2"/>
  <c r="C86" i="2"/>
  <c r="N85" i="2"/>
  <c r="Y84" i="2"/>
  <c r="I84" i="2"/>
  <c r="T82" i="2"/>
  <c r="D82" i="2"/>
  <c r="O80" i="2"/>
  <c r="Z78" i="2"/>
  <c r="J78" i="2"/>
  <c r="U77" i="2"/>
  <c r="E77" i="2"/>
  <c r="P76" i="2"/>
  <c r="F76" i="2"/>
  <c r="AC75" i="2"/>
  <c r="Y75" i="2"/>
  <c r="U75" i="2"/>
  <c r="Q75" i="2"/>
  <c r="M75" i="2"/>
  <c r="I75" i="2"/>
  <c r="E75" i="2"/>
  <c r="AB73" i="2"/>
  <c r="X73" i="2"/>
  <c r="T73" i="2"/>
  <c r="P73" i="2"/>
  <c r="L73" i="2"/>
  <c r="H73" i="2"/>
  <c r="D73" i="2"/>
  <c r="AA71" i="2"/>
  <c r="W71" i="2"/>
  <c r="S71" i="2"/>
  <c r="O71" i="2"/>
  <c r="K71" i="2"/>
  <c r="G71" i="2"/>
  <c r="C71" i="2"/>
  <c r="Z69" i="2"/>
  <c r="V69" i="2"/>
  <c r="R69" i="2"/>
  <c r="N69" i="2"/>
  <c r="J69" i="2"/>
  <c r="F69" i="2"/>
  <c r="AC67" i="2"/>
  <c r="Y67" i="2"/>
  <c r="U67" i="2"/>
  <c r="Q67" i="2"/>
  <c r="M67" i="2"/>
  <c r="I67" i="2"/>
  <c r="E67" i="2"/>
  <c r="AB65" i="2"/>
  <c r="X65" i="2"/>
  <c r="T65" i="2"/>
  <c r="P65" i="2"/>
  <c r="L65" i="2"/>
  <c r="H65" i="2"/>
  <c r="D65" i="2"/>
  <c r="AA63" i="2"/>
  <c r="W63" i="2"/>
  <c r="S63" i="2"/>
  <c r="O63" i="2"/>
  <c r="K63" i="2"/>
  <c r="G63" i="2"/>
  <c r="C63" i="2"/>
  <c r="Z62" i="2"/>
  <c r="V62" i="2"/>
  <c r="R62" i="2"/>
  <c r="N62" i="2"/>
  <c r="J62" i="2"/>
  <c r="F62" i="2"/>
  <c r="AC60" i="2"/>
  <c r="Y60" i="2"/>
  <c r="U60" i="2"/>
  <c r="Q60" i="2"/>
  <c r="M60" i="2"/>
  <c r="I60" i="2"/>
  <c r="E60" i="2"/>
  <c r="AB58" i="2"/>
  <c r="X58" i="2"/>
  <c r="T58" i="2"/>
  <c r="P58" i="2"/>
  <c r="L58" i="2"/>
  <c r="H58" i="2"/>
  <c r="D58" i="2"/>
  <c r="AA56" i="2"/>
  <c r="W56" i="2"/>
  <c r="S56" i="2"/>
  <c r="O56" i="2"/>
  <c r="K56" i="2"/>
  <c r="G56" i="2"/>
  <c r="C56" i="2"/>
  <c r="Z54" i="2"/>
  <c r="V54" i="2"/>
  <c r="R54" i="2"/>
  <c r="N54" i="2"/>
  <c r="J54" i="2"/>
  <c r="F54" i="2"/>
  <c r="AC52" i="2"/>
  <c r="Y52" i="2"/>
  <c r="U52" i="2"/>
  <c r="Q52" i="2"/>
  <c r="M52" i="2"/>
  <c r="I52" i="2"/>
  <c r="E52" i="2"/>
  <c r="AB50" i="2"/>
  <c r="X50" i="2"/>
  <c r="T50" i="2"/>
  <c r="P50" i="2"/>
  <c r="L50" i="2"/>
  <c r="H50" i="2"/>
  <c r="V110" i="2"/>
  <c r="F110" i="2"/>
  <c r="Q108" i="2"/>
  <c r="AB106" i="2"/>
  <c r="L106" i="2"/>
  <c r="W104" i="2"/>
  <c r="G104" i="2"/>
  <c r="R101" i="2"/>
  <c r="AC99" i="2"/>
  <c r="M99" i="2"/>
  <c r="X97" i="2"/>
  <c r="H97" i="2"/>
  <c r="S95" i="2"/>
  <c r="C95" i="2"/>
  <c r="N93" i="2"/>
  <c r="Y91" i="2"/>
  <c r="I91" i="2"/>
  <c r="T89" i="2"/>
  <c r="D89" i="2"/>
  <c r="O86" i="2"/>
  <c r="Z85" i="2"/>
  <c r="J85" i="2"/>
  <c r="U84" i="2"/>
  <c r="E84" i="2"/>
  <c r="P82" i="2"/>
  <c r="AA80" i="2"/>
  <c r="K80" i="2"/>
  <c r="V78" i="2"/>
  <c r="F78" i="2"/>
  <c r="Q77" i="2"/>
  <c r="AB76" i="2"/>
  <c r="L76" i="2"/>
  <c r="E76" i="2"/>
  <c r="AB75" i="2"/>
  <c r="X75" i="2"/>
  <c r="T75" i="2"/>
  <c r="P75" i="2"/>
  <c r="L75" i="2"/>
  <c r="H75" i="2"/>
  <c r="D75" i="2"/>
  <c r="AA73" i="2"/>
  <c r="W73" i="2"/>
  <c r="S73" i="2"/>
  <c r="O73" i="2"/>
  <c r="K73" i="2"/>
  <c r="G73" i="2"/>
  <c r="C73" i="2"/>
  <c r="Z71" i="2"/>
  <c r="V71" i="2"/>
  <c r="R71" i="2"/>
  <c r="N71" i="2"/>
  <c r="J71" i="2"/>
  <c r="F71" i="2"/>
  <c r="AC69" i="2"/>
  <c r="Y69" i="2"/>
  <c r="U69" i="2"/>
  <c r="Q69" i="2"/>
  <c r="M69" i="2"/>
  <c r="I69" i="2"/>
  <c r="E69" i="2"/>
  <c r="AB67" i="2"/>
  <c r="X67" i="2"/>
  <c r="T67" i="2"/>
  <c r="P67" i="2"/>
  <c r="L67" i="2"/>
  <c r="H67" i="2"/>
  <c r="D67" i="2"/>
  <c r="AA65" i="2"/>
  <c r="W65" i="2"/>
  <c r="S65" i="2"/>
  <c r="O65" i="2"/>
  <c r="K65" i="2"/>
  <c r="G65" i="2"/>
  <c r="C65" i="2"/>
  <c r="Z63" i="2"/>
  <c r="V63" i="2"/>
  <c r="R63" i="2"/>
  <c r="N63" i="2"/>
  <c r="J63" i="2"/>
  <c r="F63" i="2"/>
  <c r="AC62" i="2"/>
  <c r="Y62" i="2"/>
  <c r="U62" i="2"/>
  <c r="Q62" i="2"/>
  <c r="M62" i="2"/>
  <c r="I62" i="2"/>
  <c r="E62" i="2"/>
  <c r="AB60" i="2"/>
  <c r="X60" i="2"/>
  <c r="T60" i="2"/>
  <c r="P60" i="2"/>
  <c r="L60" i="2"/>
  <c r="H60" i="2"/>
  <c r="D60" i="2"/>
  <c r="AA58" i="2"/>
  <c r="W58" i="2"/>
  <c r="S58" i="2"/>
  <c r="O58" i="2"/>
  <c r="K58" i="2"/>
  <c r="G58" i="2"/>
  <c r="C58" i="2"/>
  <c r="Z56" i="2"/>
  <c r="V56" i="2"/>
  <c r="R56" i="2"/>
  <c r="N56" i="2"/>
  <c r="J56" i="2"/>
  <c r="F56" i="2"/>
  <c r="AC54" i="2"/>
  <c r="Y54" i="2"/>
  <c r="U54" i="2"/>
  <c r="Q54" i="2"/>
  <c r="M54" i="2"/>
  <c r="I54" i="2"/>
  <c r="E54" i="2"/>
  <c r="AB52" i="2"/>
  <c r="X52" i="2"/>
  <c r="T52" i="2"/>
  <c r="P52" i="2"/>
  <c r="L52" i="2"/>
  <c r="H52" i="2"/>
  <c r="D52" i="2"/>
  <c r="AA50" i="2"/>
  <c r="W50" i="2"/>
  <c r="S50" i="2"/>
  <c r="O50" i="2"/>
  <c r="K50" i="2"/>
  <c r="G50" i="2"/>
  <c r="R110" i="2"/>
  <c r="AC108" i="2"/>
  <c r="M108" i="2"/>
  <c r="X106" i="2"/>
  <c r="H106" i="2"/>
  <c r="S104" i="2"/>
  <c r="C104" i="2"/>
  <c r="N101" i="2"/>
  <c r="Y99" i="2"/>
  <c r="I99" i="2"/>
  <c r="T97" i="2"/>
  <c r="D97" i="2"/>
  <c r="O95" i="2"/>
  <c r="Z93" i="2"/>
  <c r="J93" i="2"/>
  <c r="U91" i="2"/>
  <c r="E91" i="2"/>
  <c r="P89" i="2"/>
  <c r="AA86" i="2"/>
  <c r="K86" i="2"/>
  <c r="V85" i="2"/>
  <c r="F85" i="2"/>
  <c r="Q84" i="2"/>
  <c r="AB82" i="2"/>
  <c r="L82" i="2"/>
  <c r="W80" i="2"/>
  <c r="G80" i="2"/>
  <c r="R78" i="2"/>
  <c r="AC77" i="2"/>
  <c r="M77" i="2"/>
  <c r="X76" i="2"/>
  <c r="H76" i="2"/>
  <c r="D76" i="2"/>
  <c r="AA75" i="2"/>
  <c r="W75" i="2"/>
  <c r="S75" i="2"/>
  <c r="O75" i="2"/>
  <c r="K75" i="2"/>
  <c r="G75" i="2"/>
  <c r="C75" i="2"/>
  <c r="Z73" i="2"/>
  <c r="V73" i="2"/>
  <c r="R73" i="2"/>
  <c r="N73" i="2"/>
  <c r="J73" i="2"/>
  <c r="F73" i="2"/>
  <c r="AC71" i="2"/>
  <c r="Y71" i="2"/>
  <c r="U71" i="2"/>
  <c r="Q71" i="2"/>
  <c r="M71" i="2"/>
  <c r="I71" i="2"/>
  <c r="E71" i="2"/>
  <c r="AB69" i="2"/>
  <c r="X69" i="2"/>
  <c r="T69" i="2"/>
  <c r="P69" i="2"/>
  <c r="L69" i="2"/>
  <c r="H69" i="2"/>
  <c r="D69" i="2"/>
  <c r="AA67" i="2"/>
  <c r="W67" i="2"/>
  <c r="S67" i="2"/>
  <c r="O67" i="2"/>
  <c r="K67" i="2"/>
  <c r="G67" i="2"/>
  <c r="C67" i="2"/>
  <c r="Z65" i="2"/>
  <c r="V65" i="2"/>
  <c r="R65" i="2"/>
  <c r="N65" i="2"/>
  <c r="J65" i="2"/>
  <c r="F65" i="2"/>
  <c r="AC63" i="2"/>
  <c r="Y63" i="2"/>
  <c r="U63" i="2"/>
  <c r="Q63" i="2"/>
  <c r="M63" i="2"/>
  <c r="I63" i="2"/>
  <c r="E63" i="2"/>
  <c r="AB62" i="2"/>
  <c r="X62" i="2"/>
  <c r="T62" i="2"/>
  <c r="P62" i="2"/>
  <c r="L62" i="2"/>
  <c r="H62" i="2"/>
  <c r="D62" i="2"/>
  <c r="AA60" i="2"/>
  <c r="W60" i="2"/>
  <c r="S60" i="2"/>
  <c r="O60" i="2"/>
  <c r="K60" i="2"/>
  <c r="G60" i="2"/>
  <c r="C60" i="2"/>
  <c r="Z58" i="2"/>
  <c r="V58" i="2"/>
  <c r="R58" i="2"/>
  <c r="N58" i="2"/>
  <c r="J58" i="2"/>
  <c r="F58" i="2"/>
  <c r="AC56" i="2"/>
  <c r="Y56" i="2"/>
  <c r="U56" i="2"/>
  <c r="Q56" i="2"/>
  <c r="M56" i="2"/>
  <c r="I56" i="2"/>
  <c r="E56" i="2"/>
  <c r="AB54" i="2"/>
  <c r="X54" i="2"/>
  <c r="T54" i="2"/>
  <c r="P54" i="2"/>
  <c r="L54" i="2"/>
  <c r="H54" i="2"/>
  <c r="D54" i="2"/>
  <c r="AA52" i="2"/>
  <c r="W52" i="2"/>
  <c r="S52" i="2"/>
  <c r="O52" i="2"/>
  <c r="K52" i="2"/>
  <c r="G52" i="2"/>
  <c r="C52" i="2"/>
  <c r="Z50" i="2"/>
  <c r="V50" i="2"/>
  <c r="R50" i="2"/>
  <c r="N50" i="2"/>
  <c r="J50" i="2"/>
  <c r="F50" i="2"/>
  <c r="N110" i="2"/>
  <c r="Y108" i="2"/>
  <c r="I108" i="2"/>
  <c r="T106" i="2"/>
  <c r="D106" i="2"/>
  <c r="O104" i="2"/>
  <c r="Z101" i="2"/>
  <c r="J101" i="2"/>
  <c r="U99" i="2"/>
  <c r="E99" i="2"/>
  <c r="P97" i="2"/>
  <c r="AA95" i="2"/>
  <c r="K95" i="2"/>
  <c r="V93" i="2"/>
  <c r="F93" i="2"/>
  <c r="Q91" i="2"/>
  <c r="AB89" i="2"/>
  <c r="L89" i="2"/>
  <c r="W86" i="2"/>
  <c r="G86" i="2"/>
  <c r="R85" i="2"/>
  <c r="AC84" i="2"/>
  <c r="M84" i="2"/>
  <c r="X82" i="2"/>
  <c r="H82" i="2"/>
  <c r="S80" i="2"/>
  <c r="C80" i="2"/>
  <c r="N78" i="2"/>
  <c r="Y77" i="2"/>
  <c r="I77" i="2"/>
  <c r="T76" i="2"/>
  <c r="G76" i="2"/>
  <c r="C76" i="2"/>
  <c r="Z75" i="2"/>
  <c r="V75" i="2"/>
  <c r="R75" i="2"/>
  <c r="N75" i="2"/>
  <c r="J75" i="2"/>
  <c r="F75" i="2"/>
  <c r="AC73" i="2"/>
  <c r="Y73" i="2"/>
  <c r="U73" i="2"/>
  <c r="Q73" i="2"/>
  <c r="M73" i="2"/>
  <c r="I73" i="2"/>
  <c r="E73" i="2"/>
  <c r="AB71" i="2"/>
  <c r="X71" i="2"/>
  <c r="T71" i="2"/>
  <c r="P71" i="2"/>
  <c r="L71" i="2"/>
  <c r="H71" i="2"/>
  <c r="D71" i="2"/>
  <c r="AA69" i="2"/>
  <c r="W69" i="2"/>
  <c r="S69" i="2"/>
  <c r="O69" i="2"/>
  <c r="K69" i="2"/>
  <c r="G69" i="2"/>
  <c r="C69" i="2"/>
  <c r="Z67" i="2"/>
  <c r="V67" i="2"/>
  <c r="R67" i="2"/>
  <c r="N67" i="2"/>
  <c r="J67" i="2"/>
  <c r="F67" i="2"/>
  <c r="AC65" i="2"/>
  <c r="Y65" i="2"/>
  <c r="U65" i="2"/>
  <c r="Q65" i="2"/>
  <c r="M65" i="2"/>
  <c r="I65" i="2"/>
  <c r="E65" i="2"/>
  <c r="AB63" i="2"/>
  <c r="X63" i="2"/>
  <c r="T63" i="2"/>
  <c r="P63" i="2"/>
  <c r="L63" i="2"/>
  <c r="H63" i="2"/>
  <c r="D63" i="2"/>
  <c r="AA62" i="2"/>
  <c r="W62" i="2"/>
  <c r="S62" i="2"/>
  <c r="O62" i="2"/>
  <c r="K62" i="2"/>
  <c r="G62" i="2"/>
  <c r="C62" i="2"/>
  <c r="Z60" i="2"/>
  <c r="V60" i="2"/>
  <c r="R60" i="2"/>
  <c r="N60" i="2"/>
  <c r="J60" i="2"/>
  <c r="F60" i="2"/>
  <c r="AC58" i="2"/>
  <c r="Y58" i="2"/>
  <c r="U58" i="2"/>
  <c r="Q58" i="2"/>
  <c r="M58" i="2"/>
  <c r="I58" i="2"/>
  <c r="E58" i="2"/>
  <c r="AB56" i="2"/>
  <c r="X56" i="2"/>
  <c r="T56" i="2"/>
  <c r="P56" i="2"/>
  <c r="L56" i="2"/>
  <c r="H56" i="2"/>
  <c r="D56" i="2"/>
  <c r="AA54" i="2"/>
  <c r="W54" i="2"/>
  <c r="S54" i="2"/>
  <c r="O54" i="2"/>
  <c r="K54" i="2"/>
  <c r="G54" i="2"/>
  <c r="C54" i="2"/>
  <c r="Z52" i="2"/>
  <c r="V52" i="2"/>
  <c r="R52" i="2"/>
  <c r="N52" i="2"/>
  <c r="J52" i="2"/>
  <c r="F52" i="2"/>
  <c r="AC50" i="2"/>
  <c r="Y50" i="2"/>
  <c r="U50" i="2"/>
  <c r="Q50" i="2"/>
  <c r="M50" i="2"/>
  <c r="I50" i="2"/>
  <c r="E50" i="2"/>
  <c r="AB48" i="2"/>
  <c r="X48" i="2"/>
  <c r="T48" i="2"/>
  <c r="P48" i="2"/>
  <c r="L48" i="2"/>
  <c r="H48" i="2"/>
  <c r="D48" i="2"/>
  <c r="AA46" i="2"/>
  <c r="W46" i="2"/>
  <c r="S46" i="2"/>
  <c r="O46" i="2"/>
  <c r="K46" i="2"/>
  <c r="G46" i="2"/>
  <c r="C46" i="2"/>
  <c r="Z44" i="2"/>
  <c r="V44" i="2"/>
  <c r="R44" i="2"/>
  <c r="N44" i="2"/>
  <c r="J44" i="2"/>
  <c r="F44" i="2"/>
  <c r="AC42" i="2"/>
  <c r="Y42" i="2"/>
  <c r="U42" i="2"/>
  <c r="Q42" i="2"/>
  <c r="M42" i="2"/>
  <c r="I42" i="2"/>
  <c r="E42" i="2"/>
  <c r="AB40" i="2"/>
  <c r="X40" i="2"/>
  <c r="T40" i="2"/>
  <c r="P40" i="2"/>
  <c r="L40" i="2"/>
  <c r="H40" i="2"/>
  <c r="D40" i="2"/>
  <c r="AA38" i="2"/>
  <c r="W38" i="2"/>
  <c r="S38" i="2"/>
  <c r="O38" i="2"/>
  <c r="K38" i="2"/>
  <c r="G38" i="2"/>
  <c r="C38" i="2"/>
  <c r="Z36" i="2"/>
  <c r="V36" i="2"/>
  <c r="R36" i="2"/>
  <c r="N36" i="2"/>
  <c r="J36" i="2"/>
  <c r="F36" i="2"/>
  <c r="AC34" i="2"/>
  <c r="Y34" i="2"/>
  <c r="U34" i="2"/>
  <c r="Q34" i="2"/>
  <c r="M34" i="2"/>
  <c r="I34" i="2"/>
  <c r="E34" i="2"/>
  <c r="AB32" i="2"/>
  <c r="X32" i="2"/>
  <c r="T32" i="2"/>
  <c r="P32" i="2"/>
  <c r="L32" i="2"/>
  <c r="H32" i="2"/>
  <c r="D32" i="2"/>
  <c r="AA30" i="2"/>
  <c r="W30" i="2"/>
  <c r="S30" i="2"/>
  <c r="O30" i="2"/>
  <c r="K30" i="2"/>
  <c r="G30" i="2"/>
  <c r="C30" i="2"/>
  <c r="Z28" i="2"/>
  <c r="V28" i="2"/>
  <c r="R28" i="2"/>
  <c r="N28" i="2"/>
  <c r="J28" i="2"/>
  <c r="F28" i="2"/>
  <c r="AC27" i="2"/>
  <c r="Y27" i="2"/>
  <c r="U27" i="2"/>
  <c r="Q27" i="2"/>
  <c r="M27" i="2"/>
  <c r="I27" i="2"/>
  <c r="E27" i="2"/>
  <c r="AB25" i="2"/>
  <c r="X25" i="2"/>
  <c r="T25" i="2"/>
  <c r="P25" i="2"/>
  <c r="L25" i="2"/>
  <c r="H25" i="2"/>
  <c r="D25" i="2"/>
  <c r="AA23" i="2"/>
  <c r="W23" i="2"/>
  <c r="S23" i="2"/>
  <c r="O23" i="2"/>
  <c r="K23" i="2"/>
  <c r="G23" i="2"/>
  <c r="C23" i="2"/>
  <c r="Z21" i="2"/>
  <c r="V21" i="2"/>
  <c r="R21" i="2"/>
  <c r="N21" i="2"/>
  <c r="J21" i="2"/>
  <c r="F21" i="2"/>
  <c r="AC19" i="2"/>
  <c r="Y19" i="2"/>
  <c r="U19" i="2"/>
  <c r="Q19" i="2"/>
  <c r="M19" i="2"/>
  <c r="I19" i="2"/>
  <c r="E19" i="2"/>
  <c r="AB18" i="2"/>
  <c r="X18" i="2"/>
  <c r="T18" i="2"/>
  <c r="P18" i="2"/>
  <c r="L18" i="2"/>
  <c r="H18" i="2"/>
  <c r="D18" i="2"/>
  <c r="AA16" i="2"/>
  <c r="W16" i="2"/>
  <c r="S16" i="2"/>
  <c r="O16" i="2"/>
  <c r="K16" i="2"/>
  <c r="D50" i="2"/>
  <c r="AA48" i="2"/>
  <c r="W48" i="2"/>
  <c r="S48" i="2"/>
  <c r="O48" i="2"/>
  <c r="K48" i="2"/>
  <c r="G48" i="2"/>
  <c r="C48" i="2"/>
  <c r="Z46" i="2"/>
  <c r="V46" i="2"/>
  <c r="R46" i="2"/>
  <c r="N46" i="2"/>
  <c r="J46" i="2"/>
  <c r="F46" i="2"/>
  <c r="AC44" i="2"/>
  <c r="Y44" i="2"/>
  <c r="U44" i="2"/>
  <c r="Q44" i="2"/>
  <c r="M44" i="2"/>
  <c r="I44" i="2"/>
  <c r="E44" i="2"/>
  <c r="AB42" i="2"/>
  <c r="X42" i="2"/>
  <c r="T42" i="2"/>
  <c r="P42" i="2"/>
  <c r="L42" i="2"/>
  <c r="H42" i="2"/>
  <c r="D42" i="2"/>
  <c r="AA40" i="2"/>
  <c r="W40" i="2"/>
  <c r="S40" i="2"/>
  <c r="O40" i="2"/>
  <c r="K40" i="2"/>
  <c r="G40" i="2"/>
  <c r="C40" i="2"/>
  <c r="Z38" i="2"/>
  <c r="V38" i="2"/>
  <c r="R38" i="2"/>
  <c r="N38" i="2"/>
  <c r="J38" i="2"/>
  <c r="F38" i="2"/>
  <c r="AC36" i="2"/>
  <c r="Y36" i="2"/>
  <c r="U36" i="2"/>
  <c r="Q36" i="2"/>
  <c r="M36" i="2"/>
  <c r="I36" i="2"/>
  <c r="E36" i="2"/>
  <c r="AB34" i="2"/>
  <c r="X34" i="2"/>
  <c r="T34" i="2"/>
  <c r="P34" i="2"/>
  <c r="L34" i="2"/>
  <c r="H34" i="2"/>
  <c r="D34" i="2"/>
  <c r="AA32" i="2"/>
  <c r="W32" i="2"/>
  <c r="S32" i="2"/>
  <c r="O32" i="2"/>
  <c r="K32" i="2"/>
  <c r="G32" i="2"/>
  <c r="C32" i="2"/>
  <c r="Z30" i="2"/>
  <c r="V30" i="2"/>
  <c r="R30" i="2"/>
  <c r="N30" i="2"/>
  <c r="J30" i="2"/>
  <c r="F30" i="2"/>
  <c r="AC28" i="2"/>
  <c r="Y28" i="2"/>
  <c r="U28" i="2"/>
  <c r="Q28" i="2"/>
  <c r="M28" i="2"/>
  <c r="I28" i="2"/>
  <c r="E28" i="2"/>
  <c r="AB27" i="2"/>
  <c r="X27" i="2"/>
  <c r="T27" i="2"/>
  <c r="P27" i="2"/>
  <c r="L27" i="2"/>
  <c r="H27" i="2"/>
  <c r="D27" i="2"/>
  <c r="AA25" i="2"/>
  <c r="W25" i="2"/>
  <c r="S25" i="2"/>
  <c r="O25" i="2"/>
  <c r="K25" i="2"/>
  <c r="G25" i="2"/>
  <c r="C25" i="2"/>
  <c r="Z23" i="2"/>
  <c r="V23" i="2"/>
  <c r="R23" i="2"/>
  <c r="N23" i="2"/>
  <c r="J23" i="2"/>
  <c r="F23" i="2"/>
  <c r="AC21" i="2"/>
  <c r="Y21" i="2"/>
  <c r="U21" i="2"/>
  <c r="Q21" i="2"/>
  <c r="M21" i="2"/>
  <c r="I21" i="2"/>
  <c r="E21" i="2"/>
  <c r="AB19" i="2"/>
  <c r="X19" i="2"/>
  <c r="T19" i="2"/>
  <c r="P19" i="2"/>
  <c r="L19" i="2"/>
  <c r="H19" i="2"/>
  <c r="D19" i="2"/>
  <c r="AA18" i="2"/>
  <c r="W18" i="2"/>
  <c r="S18" i="2"/>
  <c r="O18" i="2"/>
  <c r="K18" i="2"/>
  <c r="G18" i="2"/>
  <c r="C18" i="2"/>
  <c r="Z16" i="2"/>
  <c r="V16" i="2"/>
  <c r="R16" i="2"/>
  <c r="N16" i="2"/>
  <c r="J16" i="2"/>
  <c r="F16" i="2"/>
  <c r="AC14" i="2"/>
  <c r="Y14" i="2"/>
  <c r="U14" i="2"/>
  <c r="Q14" i="2"/>
  <c r="M14" i="2"/>
  <c r="C50" i="2"/>
  <c r="Z48" i="2"/>
  <c r="V48" i="2"/>
  <c r="R48" i="2"/>
  <c r="N48" i="2"/>
  <c r="J48" i="2"/>
  <c r="F48" i="2"/>
  <c r="AC46" i="2"/>
  <c r="Y46" i="2"/>
  <c r="U46" i="2"/>
  <c r="Q46" i="2"/>
  <c r="M46" i="2"/>
  <c r="I46" i="2"/>
  <c r="E46" i="2"/>
  <c r="AB44" i="2"/>
  <c r="X44" i="2"/>
  <c r="T44" i="2"/>
  <c r="P44" i="2"/>
  <c r="L44" i="2"/>
  <c r="H44" i="2"/>
  <c r="D44" i="2"/>
  <c r="AA42" i="2"/>
  <c r="W42" i="2"/>
  <c r="S42" i="2"/>
  <c r="O42" i="2"/>
  <c r="K42" i="2"/>
  <c r="G42" i="2"/>
  <c r="C42" i="2"/>
  <c r="Z40" i="2"/>
  <c r="V40" i="2"/>
  <c r="R40" i="2"/>
  <c r="N40" i="2"/>
  <c r="J40" i="2"/>
  <c r="F40" i="2"/>
  <c r="AC38" i="2"/>
  <c r="Y38" i="2"/>
  <c r="U38" i="2"/>
  <c r="Q38" i="2"/>
  <c r="M38" i="2"/>
  <c r="I38" i="2"/>
  <c r="E38" i="2"/>
  <c r="AB36" i="2"/>
  <c r="X36" i="2"/>
  <c r="T36" i="2"/>
  <c r="P36" i="2"/>
  <c r="L36" i="2"/>
  <c r="H36" i="2"/>
  <c r="D36" i="2"/>
  <c r="AA34" i="2"/>
  <c r="W34" i="2"/>
  <c r="S34" i="2"/>
  <c r="O34" i="2"/>
  <c r="K34" i="2"/>
  <c r="G34" i="2"/>
  <c r="C34" i="2"/>
  <c r="Z32" i="2"/>
  <c r="V32" i="2"/>
  <c r="R32" i="2"/>
  <c r="N32" i="2"/>
  <c r="J32" i="2"/>
  <c r="F32" i="2"/>
  <c r="AC30" i="2"/>
  <c r="Y30" i="2"/>
  <c r="U30" i="2"/>
  <c r="Q30" i="2"/>
  <c r="M30" i="2"/>
  <c r="I30" i="2"/>
  <c r="E30" i="2"/>
  <c r="AB28" i="2"/>
  <c r="X28" i="2"/>
  <c r="T28" i="2"/>
  <c r="P28" i="2"/>
  <c r="L28" i="2"/>
  <c r="H28" i="2"/>
  <c r="D28" i="2"/>
  <c r="AA27" i="2"/>
  <c r="W27" i="2"/>
  <c r="S27" i="2"/>
  <c r="O27" i="2"/>
  <c r="K27" i="2"/>
  <c r="G27" i="2"/>
  <c r="C27" i="2"/>
  <c r="Z25" i="2"/>
  <c r="V25" i="2"/>
  <c r="R25" i="2"/>
  <c r="N25" i="2"/>
  <c r="J25" i="2"/>
  <c r="F25" i="2"/>
  <c r="AC23" i="2"/>
  <c r="Y23" i="2"/>
  <c r="U23" i="2"/>
  <c r="Q23" i="2"/>
  <c r="M23" i="2"/>
  <c r="I23" i="2"/>
  <c r="E23" i="2"/>
  <c r="AB21" i="2"/>
  <c r="X21" i="2"/>
  <c r="T21" i="2"/>
  <c r="P21" i="2"/>
  <c r="L21" i="2"/>
  <c r="H21" i="2"/>
  <c r="D21" i="2"/>
  <c r="AA19" i="2"/>
  <c r="W19" i="2"/>
  <c r="S19" i="2"/>
  <c r="O19" i="2"/>
  <c r="K19" i="2"/>
  <c r="G19" i="2"/>
  <c r="C19" i="2"/>
  <c r="Z18" i="2"/>
  <c r="V18" i="2"/>
  <c r="R18" i="2"/>
  <c r="N18" i="2"/>
  <c r="J18" i="2"/>
  <c r="F18" i="2"/>
  <c r="AC16" i="2"/>
  <c r="Y16" i="2"/>
  <c r="U16" i="2"/>
  <c r="Q16" i="2"/>
  <c r="M16" i="2"/>
  <c r="I16" i="2"/>
  <c r="E16" i="2"/>
  <c r="AB14" i="2"/>
  <c r="X14" i="2"/>
  <c r="T14" i="2"/>
  <c r="P14" i="2"/>
  <c r="L14" i="2"/>
  <c r="H14" i="2"/>
  <c r="AC48" i="2"/>
  <c r="Y48" i="2"/>
  <c r="U48" i="2"/>
  <c r="Q48" i="2"/>
  <c r="M48" i="2"/>
  <c r="I48" i="2"/>
  <c r="E48" i="2"/>
  <c r="AB46" i="2"/>
  <c r="X46" i="2"/>
  <c r="T46" i="2"/>
  <c r="P46" i="2"/>
  <c r="L46" i="2"/>
  <c r="H46" i="2"/>
  <c r="D46" i="2"/>
  <c r="AA44" i="2"/>
  <c r="W44" i="2"/>
  <c r="S44" i="2"/>
  <c r="O44" i="2"/>
  <c r="K44" i="2"/>
  <c r="G44" i="2"/>
  <c r="C44" i="2"/>
  <c r="Z42" i="2"/>
  <c r="V42" i="2"/>
  <c r="R42" i="2"/>
  <c r="N42" i="2"/>
  <c r="J42" i="2"/>
  <c r="F42" i="2"/>
  <c r="AC40" i="2"/>
  <c r="Y40" i="2"/>
  <c r="U40" i="2"/>
  <c r="Q40" i="2"/>
  <c r="M40" i="2"/>
  <c r="I40" i="2"/>
  <c r="E40" i="2"/>
  <c r="AB38" i="2"/>
  <c r="X38" i="2"/>
  <c r="T38" i="2"/>
  <c r="P38" i="2"/>
  <c r="L38" i="2"/>
  <c r="H38" i="2"/>
  <c r="D38" i="2"/>
  <c r="AA36" i="2"/>
  <c r="W36" i="2"/>
  <c r="S36" i="2"/>
  <c r="O36" i="2"/>
  <c r="K36" i="2"/>
  <c r="G36" i="2"/>
  <c r="C36" i="2"/>
  <c r="Z34" i="2"/>
  <c r="V34" i="2"/>
  <c r="R34" i="2"/>
  <c r="N34" i="2"/>
  <c r="J34" i="2"/>
  <c r="F34" i="2"/>
  <c r="AC32" i="2"/>
  <c r="Y32" i="2"/>
  <c r="U32" i="2"/>
  <c r="Q32" i="2"/>
  <c r="M32" i="2"/>
  <c r="I32" i="2"/>
  <c r="E32" i="2"/>
  <c r="AB30" i="2"/>
  <c r="X30" i="2"/>
  <c r="T30" i="2"/>
  <c r="P30" i="2"/>
  <c r="L30" i="2"/>
  <c r="H30" i="2"/>
  <c r="D30" i="2"/>
  <c r="AA28" i="2"/>
  <c r="W28" i="2"/>
  <c r="S28" i="2"/>
  <c r="O28" i="2"/>
  <c r="K28" i="2"/>
  <c r="G28" i="2"/>
  <c r="C28" i="2"/>
  <c r="Z27" i="2"/>
  <c r="V27" i="2"/>
  <c r="R27" i="2"/>
  <c r="N27" i="2"/>
  <c r="J27" i="2"/>
  <c r="F27" i="2"/>
  <c r="AC25" i="2"/>
  <c r="Y25" i="2"/>
  <c r="U25" i="2"/>
  <c r="Q25" i="2"/>
  <c r="M25" i="2"/>
  <c r="I25" i="2"/>
  <c r="E25" i="2"/>
  <c r="AB23" i="2"/>
  <c r="X23" i="2"/>
  <c r="T23" i="2"/>
  <c r="P23" i="2"/>
  <c r="L23" i="2"/>
  <c r="H23" i="2"/>
  <c r="D23" i="2"/>
  <c r="AA21" i="2"/>
  <c r="W21" i="2"/>
  <c r="S21" i="2"/>
  <c r="O21" i="2"/>
  <c r="K21" i="2"/>
  <c r="G21" i="2"/>
  <c r="C21" i="2"/>
  <c r="Z19" i="2"/>
  <c r="V19" i="2"/>
  <c r="R19" i="2"/>
  <c r="N19" i="2"/>
  <c r="J19" i="2"/>
  <c r="F19" i="2"/>
  <c r="AC18" i="2"/>
  <c r="Y18" i="2"/>
  <c r="U18" i="2"/>
  <c r="Q18" i="2"/>
  <c r="M18" i="2"/>
  <c r="I18" i="2"/>
  <c r="E18" i="2"/>
  <c r="AB16" i="2"/>
  <c r="X16" i="2"/>
  <c r="T16" i="2"/>
  <c r="P16" i="2"/>
  <c r="L16" i="2"/>
  <c r="H16" i="2"/>
  <c r="D16" i="2"/>
  <c r="AA14" i="2"/>
  <c r="W14" i="2"/>
  <c r="S14" i="2"/>
  <c r="G16" i="2"/>
  <c r="R14" i="2"/>
  <c r="J14" i="2"/>
  <c r="E14" i="2"/>
  <c r="AB12" i="2"/>
  <c r="X12" i="2"/>
  <c r="T12" i="2"/>
  <c r="P12" i="2"/>
  <c r="L12" i="2"/>
  <c r="H12" i="2"/>
  <c r="D12" i="2"/>
  <c r="AA10" i="2"/>
  <c r="W10" i="2"/>
  <c r="S10" i="2"/>
  <c r="O10" i="2"/>
  <c r="K10" i="2"/>
  <c r="G10" i="2"/>
  <c r="C10" i="2"/>
  <c r="Z8" i="2"/>
  <c r="V8" i="2"/>
  <c r="R8" i="2"/>
  <c r="N8" i="2"/>
  <c r="J8" i="2"/>
  <c r="F8" i="2"/>
  <c r="AC6" i="2"/>
  <c r="Y6" i="2"/>
  <c r="U6" i="2"/>
  <c r="Q6" i="2"/>
  <c r="M6" i="2"/>
  <c r="I6" i="2"/>
  <c r="E6" i="2"/>
  <c r="Z10" i="2"/>
  <c r="J10" i="2"/>
  <c r="Y8" i="2"/>
  <c r="X6" i="2"/>
  <c r="P6" i="2"/>
  <c r="C16" i="2"/>
  <c r="O14" i="2"/>
  <c r="I14" i="2"/>
  <c r="D14" i="2"/>
  <c r="AA12" i="2"/>
  <c r="W12" i="2"/>
  <c r="S12" i="2"/>
  <c r="O12" i="2"/>
  <c r="K12" i="2"/>
  <c r="C12" i="2"/>
  <c r="N10" i="2"/>
  <c r="U8" i="2"/>
  <c r="AB6" i="2"/>
  <c r="L6" i="2"/>
  <c r="Z14" i="2"/>
  <c r="N14" i="2"/>
  <c r="G14" i="2"/>
  <c r="C14" i="2"/>
  <c r="Z12" i="2"/>
  <c r="V12" i="2"/>
  <c r="R12" i="2"/>
  <c r="N12" i="2"/>
  <c r="J12" i="2"/>
  <c r="F12" i="2"/>
  <c r="AC10" i="2"/>
  <c r="Y10" i="2"/>
  <c r="U10" i="2"/>
  <c r="Q10" i="2"/>
  <c r="M10" i="2"/>
  <c r="I10" i="2"/>
  <c r="E10" i="2"/>
  <c r="AB8" i="2"/>
  <c r="X8" i="2"/>
  <c r="T8" i="2"/>
  <c r="P8" i="2"/>
  <c r="L8" i="2"/>
  <c r="H8" i="2"/>
  <c r="D8" i="2"/>
  <c r="AA6" i="2"/>
  <c r="W6" i="2"/>
  <c r="S6" i="2"/>
  <c r="O6" i="2"/>
  <c r="K6" i="2"/>
  <c r="G6" i="2"/>
  <c r="C6" i="2"/>
  <c r="V10" i="2"/>
  <c r="AC8" i="2"/>
  <c r="M8" i="2"/>
  <c r="I8" i="2"/>
  <c r="H6" i="2"/>
  <c r="V14" i="2"/>
  <c r="K14" i="2"/>
  <c r="F14" i="2"/>
  <c r="AC12" i="2"/>
  <c r="Y12" i="2"/>
  <c r="U12" i="2"/>
  <c r="Q12" i="2"/>
  <c r="M12" i="2"/>
  <c r="I12" i="2"/>
  <c r="E12" i="2"/>
  <c r="AB10" i="2"/>
  <c r="X10" i="2"/>
  <c r="T10" i="2"/>
  <c r="P10" i="2"/>
  <c r="L10" i="2"/>
  <c r="H10" i="2"/>
  <c r="D10" i="2"/>
  <c r="AA8" i="2"/>
  <c r="W8" i="2"/>
  <c r="S8" i="2"/>
  <c r="O8" i="2"/>
  <c r="K8" i="2"/>
  <c r="G8" i="2"/>
  <c r="C8" i="2"/>
  <c r="Z6" i="2"/>
  <c r="V6" i="2"/>
  <c r="R6" i="2"/>
  <c r="N6" i="2"/>
  <c r="J6" i="2"/>
  <c r="F6" i="2"/>
  <c r="G12" i="2"/>
  <c r="R10" i="2"/>
  <c r="F10" i="2"/>
  <c r="Q8" i="2"/>
  <c r="E8" i="2"/>
  <c r="T6" i="2"/>
  <c r="D6" i="2"/>
</calcChain>
</file>

<file path=xl/sharedStrings.xml><?xml version="1.0" encoding="utf-8"?>
<sst xmlns="http://schemas.openxmlformats.org/spreadsheetml/2006/main" count="2185" uniqueCount="173">
  <si>
    <t>Revenue</t>
  </si>
  <si>
    <t>Gross Profit</t>
  </si>
  <si>
    <t>Right click to show data transparency (not supported for all values)</t>
  </si>
  <si>
    <t>FY 2005</t>
  </si>
  <si>
    <t>Hermes International (RMS FP) - Adjusted</t>
  </si>
  <si>
    <t>In Millions of USD except Per Share</t>
  </si>
  <si>
    <t>FY 1991</t>
  </si>
  <si>
    <t>FY 1992</t>
  </si>
  <si>
    <t>FY 1993</t>
  </si>
  <si>
    <t>FY 1994</t>
  </si>
  <si>
    <t>FY 1995</t>
  </si>
  <si>
    <t>FY 1996</t>
  </si>
  <si>
    <t>FY 1997</t>
  </si>
  <si>
    <t>FY 1998</t>
  </si>
  <si>
    <t>FY 1999</t>
  </si>
  <si>
    <t>FY 2000</t>
  </si>
  <si>
    <t>FY 2001</t>
  </si>
  <si>
    <t>FY 2002</t>
  </si>
  <si>
    <t>FY 2003</t>
  </si>
  <si>
    <t>FY 2004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</si>
  <si>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</si>
  <si>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</si>
  <si>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</si>
  <si>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</si>
  <si>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</si>
  <si>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</si>
  <si>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</si>
  <si>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</si>
  <si>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</si>
  <si>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</si>
  <si>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</si>
  <si>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</si>
  <si>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 Est</t>
  </si>
  <si>
    <t>FY 2019 Est</t>
  </si>
  <si>
    <t>12 Months Ending</t>
  </si>
  <si>
    <t>12/31/1991</t>
  </si>
  <si>
    <t>12/31/1992</t>
  </si>
  <si>
    <t>12/31/1993</t>
  </si>
  <si>
    <t>12/31/1994</t>
  </si>
  <si>
    <t>12/31/1995</t>
  </si>
  <si>
    <t>12/31/1996</t>
  </si>
  <si>
    <t>12/31/1997</t>
  </si>
  <si>
    <t>12/31/1998</t>
  </si>
  <si>
    <t>12/31/1999</t>
  </si>
  <si>
    <t>12/31/2000</t>
  </si>
  <si>
    <t>12/31/2001</t>
  </si>
  <si>
    <t>12/31/2002</t>
  </si>
  <si>
    <t>12/31/2003</t>
  </si>
  <si>
    <t>12/31/2004</t>
  </si>
  <si>
    <t>12/31/2005</t>
  </si>
  <si>
    <t>12/31/2006</t>
  </si>
  <si>
    <t>12/31/2007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</si>
  <si>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</si>
  <si>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</si>
  <si>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</si>
  <si>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</si>
  <si>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</si>
  <si>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</si>
  <si>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</si>
  <si>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</si>
  <si>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</si>
  <si>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</si>
  <si>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</si>
  <si>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</si>
  <si>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SALES_REV_TURN</t>
  </si>
  <si>
    <t xml:space="preserve">    Growth (YoY)</t>
  </si>
  <si>
    <t>—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</si>
  <si>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</si>
  <si>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</si>
  <si>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</si>
  <si>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</si>
  <si>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</si>
  <si>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</si>
  <si>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 xml:space="preserve">    + Depreciation &amp; Amortization</t>
  </si>
  <si>
    <t>IS_D&amp;A_COST_OF_REVENUE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</si>
  <si>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</si>
  <si>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</si>
  <si>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</si>
  <si>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</si>
  <si>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</si>
  <si>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</si>
  <si>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IS_SG&amp;A_EXPENSE</t>
  </si>
  <si>
    <t xml:space="preserve">    + Selling &amp; Marketing</t>
  </si>
  <si>
    <t>IS_SELLING_EXPENSES</t>
  </si>
  <si>
    <t xml:space="preserve">    + General &amp; Administrative</t>
  </si>
  <si>
    <t>IS_GENERAL_AND_ADMINISTRATIVE</t>
  </si>
  <si>
    <t xml:space="preserve">    + Research &amp; Development</t>
  </si>
  <si>
    <t>IS_OPEX_R&amp;D</t>
  </si>
  <si>
    <t>IS_DEPRECIATION_AND_AMORTIZATION</t>
  </si>
  <si>
    <t xml:space="preserve">    + Prov For Doubtful Accts</t>
  </si>
  <si>
    <t>IS_PROVISION_DOUBTFUL_ACCOUNTS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</si>
  <si>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</si>
  <si>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</si>
  <si>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</si>
  <si>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</si>
  <si>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</si>
  <si>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</si>
  <si>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</si>
  <si>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</si>
  <si>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</si>
  <si>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</si>
  <si>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</si>
  <si>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</si>
  <si>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</si>
  <si>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</si>
  <si>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</si>
  <si>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</si>
  <si>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</si>
  <si>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</si>
  <si>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</si>
  <si>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</si>
  <si>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</si>
  <si>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</si>
  <si>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Disposal of Assets</t>
  </si>
  <si>
    <t>IS_GAIN_LOSS_DISPOSAL_ASSETS</t>
  </si>
  <si>
    <t xml:space="preserve">    + Asset Write-Down</t>
  </si>
  <si>
    <t>IS_IMPAIRMENT_ASSETS</t>
  </si>
  <si>
    <t xml:space="preserve">    + Impairment of Goodwill</t>
  </si>
  <si>
    <t>IS_IMPAIRMENT_GOODWILL_INTANGIBL</t>
  </si>
  <si>
    <t xml:space="preserve">    + Impairment of Intangibles</t>
  </si>
  <si>
    <t>IS_IMPAIR_OF_INTANG_ASSETS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</si>
  <si>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</si>
  <si>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</si>
  <si>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</si>
  <si>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</si>
  <si>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</si>
  <si>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</si>
  <si>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</si>
  <si>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</si>
  <si>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</si>
  <si>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 xml:space="preserve">  - (Income) Loss from Affiliates</t>
  </si>
  <si>
    <t>IS_SH_PRO_EQY_MT_INV_NET_OF_TAX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</si>
  <si>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</si>
  <si>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</si>
  <si>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</si>
  <si>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</si>
  <si>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</si>
  <si>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</si>
  <si>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</si>
  <si>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IS_EXTRAORD_ITEMS_&amp;_ACCTG_CHNG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</si>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</sst>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171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</cellStyleXfs>
  <cellXfs count="17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171" fontId="1" fillId="34" borderId="2" xfId="53" applyNumberFormat="1" applyFont="1" applyFill="1" applyBorder="1" applyAlignment="1" applyProtection="1">
      <alignment horizontal="right"/>
    </xf>
    <xf numFmtId="3" fontId="8" fillId="34" borderId="2" xfId="54" applyNumberFormat="1" applyFont="1" applyFill="1" applyBorder="1" applyAlignment="1" applyProtection="1">
      <alignment horizontal="right"/>
    </xf>
    <xf numFmtId="171" fontId="8" fillId="34" borderId="2" xfId="55" applyNumberFormat="1" applyFont="1" applyFill="1" applyBorder="1" applyAlignment="1" applyProtection="1">
      <alignment horizontal="right"/>
    </xf>
    <xf numFmtId="4" fontId="8" fillId="34" borderId="2" xfId="56" applyNumberFormat="1" applyFont="1" applyFill="1" applyBorder="1" applyAlignment="1" applyProtection="1">
      <alignment horizontal="right"/>
    </xf>
    <xf numFmtId="171" fontId="11" fillId="34" borderId="2" xfId="57" applyNumberFormat="1" applyFont="1" applyFill="1" applyBorder="1" applyAlignment="1" applyProtection="1">
      <alignment horizontal="right"/>
    </xf>
  </cellXfs>
  <cellStyles count="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2"/>
    <cellStyle name="fa_column_header_empty" xfId="31"/>
    <cellStyle name="fa_column_header_top" xfId="32"/>
    <cellStyle name="fa_column_header_top_left" xfId="33"/>
    <cellStyle name="fa_data_bold_0_grouped" xfId="54"/>
    <cellStyle name="fa_data_bold_1_grouped" xfId="55"/>
    <cellStyle name="fa_data_bold_2_grouped" xfId="56"/>
    <cellStyle name="fa_data_italic_1_grouped" xfId="57"/>
    <cellStyle name="fa_data_standard_1_grouped" xfId="53"/>
    <cellStyle name="fa_footer_italic" xfId="34"/>
    <cellStyle name="fa_row_header_bold" xfId="35"/>
    <cellStyle name="fa_row_header_italic" xfId="36"/>
    <cellStyle name="fa_row_header_standard" xfId="37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—</v>
        <stp/>
        <stp>##V3_BDHV12</stp>
        <stp>RMS FP Equity</stp>
        <stp>IS_SH_PRO_EQY_MT_INV_NET_OF_TAX</stp>
        <stp>FY 1995</stp>
        <stp>FY 1995</stp>
        <stp>[FA1_ididqeuc.xlsx]Income - Adjusted!R71C7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71" s="2"/>
      </tp>
      <tp>
        <v>91.095699999999994</v>
        <stp/>
        <stp>##V3_BDHV12</stp>
        <stp>RMS FP Equity</stp>
        <stp>EARN_FOR_COMMON</stp>
        <stp>FY 1997</stp>
        <stp>FY 1997</stp>
        <stp>[FA1_ididqeuc.xlsx]Income - Adjusted!R86C9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86" s="2"/>
      </tp>
      <tp>
        <v>410.57749999999999</v>
        <stp/>
        <stp>##V3_BDHV12</stp>
        <stp>RMS FP Equity</stp>
        <stp>IS_COGS_TO_FE_AND_PP_AND_G</stp>
        <stp>FY 1999</stp>
        <stp>FY 1999</stp>
        <stp>[FA1_ididqeuc.xlsx]Income - Adjusted!R10C11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0" s="2"/>
      </tp>
      <tp>
        <v>978.47619999999995</v>
        <stp/>
        <stp>##V3_BDHV12</stp>
        <stp>RMS FP Equity</stp>
        <stp>IS_COGS_TO_FE_AND_PP_AND_G</stp>
        <stp>FY 2009</stp>
        <stp>FY 2009</stp>
        <stp>[FA1_ididqeuc.xlsx]Income - Adjusted!R10C21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0" s="2"/>
      </tp>
      <tp>
        <v>11.299099999999999</v>
        <stp/>
        <stp>##V3_BDHV12</stp>
        <stp>RMS FP Equity</stp>
        <stp>MIN_NONCONTROL_INTEREST_CREDITS</stp>
        <stp>FY 1995</stp>
        <stp>FY 1995</stp>
        <stp>[FA1_ididqeuc.xlsx]Income - Adjusted!R80C7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80" s="2"/>
      </tp>
      <tp t="s">
        <v>—</v>
        <stp/>
        <stp>##V3_BDHV12</stp>
        <stp>RMS FP Equity</stp>
        <stp>IS_OTHER_OPER_INC</stp>
        <stp>FY 2009</stp>
        <stp>FY 2009</stp>
        <stp>[FA1_ididqeuc.xlsx]Income - Adjusted!R18C21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8" s="2"/>
      </tp>
      <tp t="s">
        <v>—</v>
        <stp/>
        <stp>##V3_BDHV12</stp>
        <stp>RMS FP Equity</stp>
        <stp>IS_OTHER_OPER_INC</stp>
        <stp>FY 1999</stp>
        <stp>FY 1999</stp>
        <stp>[FA1_ididqeuc.xlsx]Income - Adjusted!R18C11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8" s="2"/>
      </tp>
      <tp t="s">
        <v>—</v>
        <stp/>
        <stp>##V3_BDHV12</stp>
        <stp>RMS FP Equity</stp>
        <stp>IS_SH_PRO_EQY_MT_INV_NET_OF_TAX</stp>
        <stp>FY 1994</stp>
        <stp>FY 1994</stp>
        <stp>[FA1_ididqeuc.xlsx]Income - Adjusted!R71C6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71" s="2"/>
      </tp>
      <tp>
        <v>89.3887</v>
        <stp/>
        <stp>##V3_BDHV12</stp>
        <stp>RMS FP Equity</stp>
        <stp>EARN_FOR_COMMON</stp>
        <stp>FY 1996</stp>
        <stp>FY 1996</stp>
        <stp>[FA1_ididqeuc.xlsx]Income - Adjusted!R86C8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86" s="2"/>
      </tp>
      <tp>
        <v>348.22710000000001</v>
        <stp/>
        <stp>##V3_BDHV12</stp>
        <stp>RMS FP Equity</stp>
        <stp>IS_COGS_TO_FE_AND_PP_AND_G</stp>
        <stp>FY 1998</stp>
        <stp>FY 1998</stp>
        <stp>[FA1_ididqeuc.xlsx]Income - Adjusted!R10C10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0" s="2"/>
      </tp>
      <tp>
        <v>918.57039999999995</v>
        <stp/>
        <stp>##V3_BDHV12</stp>
        <stp>RMS FP Equity</stp>
        <stp>IS_COGS_TO_FE_AND_PP_AND_G</stp>
        <stp>FY 2008</stp>
        <stp>FY 2008</stp>
        <stp>[FA1_ididqeuc.xlsx]Income - Adjusted!R10C20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0" s="2"/>
      </tp>
      <tp>
        <v>8.1288</v>
        <stp/>
        <stp>##V3_BDHV12</stp>
        <stp>RMS FP Equity</stp>
        <stp>MIN_NONCONTROL_INTEREST_CREDITS</stp>
        <stp>FY 1994</stp>
        <stp>FY 1994</stp>
        <stp>[FA1_ididqeuc.xlsx]Income - Adjusted!R80C6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80" s="2"/>
      </tp>
      <tp t="s">
        <v>—</v>
        <stp/>
        <stp>##V3_BDHV12</stp>
        <stp>RMS FP Equity</stp>
        <stp>IS_IMPAIRMENT_GOODWILL_INTANGIBL</stp>
        <stp>FY 1991</stp>
        <stp>FY 1991</stp>
        <stp>[FA1_ididqeuc.xlsx]Income - Adjusted!R58C3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58" s="2"/>
      </tp>
      <tp t="s">
        <v>—</v>
        <stp/>
        <stp>##V3_BDHV12</stp>
        <stp>RMS FP Equity</stp>
        <stp>IS_IMPAIRMENT_GOODWILL_INTANGIBL</stp>
        <stp>FY 1993</stp>
        <stp>FY 1993</stp>
        <stp>[FA1_ididqeuc.xlsx]Income - Adjusted!R58C5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58" s="2"/>
      </tp>
      <tp t="s">
        <v>—</v>
        <stp/>
        <stp>##V3_BDHV12</stp>
        <stp>RMS FP Equity</stp>
        <stp>IS_IMPAIRMENT_GOODWILL_INTANGIBL</stp>
        <stp>FY 1992</stp>
        <stp>FY 1992</stp>
        <stp>[FA1_ididqeuc.xlsx]Income - Adjusted!R58C4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58" s="2"/>
      </tp>
      <tp t="s">
        <v>—</v>
        <stp/>
        <stp>##V3_BDHV12</stp>
        <stp>RMS FP Equity</stp>
        <stp>IS_IMPAIRMENT_GOODWILL_INTANGIBL</stp>
        <stp>FY 1995</stp>
        <stp>FY 1995</stp>
        <stp>[FA1_ididqeuc.xlsx]Income - Adjusted!R58C7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58" s="2"/>
      </tp>
      <tp t="s">
        <v>—</v>
        <stp/>
        <stp>##V3_BDHV12</stp>
        <stp>RMS FP Equity</stp>
        <stp>IS_IMPAIRMENT_GOODWILL_INTANGIBL</stp>
        <stp>FY 1994</stp>
        <stp>FY 1994</stp>
        <stp>[FA1_ididqeuc.xlsx]Income - Adjusted!R58C6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58" s="2"/>
      </tp>
      <tp t="s">
        <v>—</v>
        <stp/>
        <stp>##V3_BDHV12</stp>
        <stp>RMS FP Equity</stp>
        <stp>IS_IMPAIRMENT_GOODWILL_INTANGIBL</stp>
        <stp>FY 1997</stp>
        <stp>FY 1997</stp>
        <stp>[FA1_ididqeuc.xlsx]Income - Adjusted!R58C9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58" s="2"/>
      </tp>
      <tp t="s">
        <v>—</v>
        <stp/>
        <stp>##V3_BDHV12</stp>
        <stp>RMS FP Equity</stp>
        <stp>IS_IMPAIRMENT_GOODWILL_INTANGIBL</stp>
        <stp>FY 1996</stp>
        <stp>FY 1996</stp>
        <stp>[FA1_ididqeuc.xlsx]Income - Adjusted!R58C8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58" s="2"/>
      </tp>
      <tp t="s">
        <v>—</v>
        <stp/>
        <stp>##V3_BDHV12</stp>
        <stp>RMS FP Equity</stp>
        <stp>IS_OTHER_OPER_INC</stp>
        <stp>FY 2008</stp>
        <stp>FY 2008</stp>
        <stp>[FA1_ididqeuc.xlsx]Income - Adjusted!R18C20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8" s="2"/>
      </tp>
      <tp t="s">
        <v>—</v>
        <stp/>
        <stp>##V3_BDHV12</stp>
        <stp>RMS FP Equity</stp>
        <stp>IS_OTHER_OPER_INC</stp>
        <stp>FY 1998</stp>
        <stp>FY 1998</stp>
        <stp>[FA1_ididqeuc.xlsx]Income - Adjusted!R18C10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8" s="2"/>
      </tp>
      <tp t="s">
        <v>—</v>
        <stp/>
        <stp>##V3_BDHV12</stp>
        <stp>RMS FP Equity</stp>
        <stp>IS_OTHER_OPERATING_EXPENSES</stp>
        <stp>FY 1997</stp>
        <stp>FY 1997</stp>
        <stp>[FA1_ididqeuc.xlsx]Income - Adjusted!R32C9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32" s="2"/>
      </tp>
      <tp t="s">
        <v>—</v>
        <stp/>
        <stp>##V3_BDHV12</stp>
        <stp>RMS FP Equity</stp>
        <stp>IS_SH_PRO_EQY_MT_INV_NET_OF_TAX</stp>
        <stp>FY 1993</stp>
        <stp>FY 1993</stp>
        <stp>[FA1_ididqeuc.xlsx]Income - Adjusted!R71C5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71" s="2"/>
      </tp>
      <tp>
        <v>402.6755</v>
        <stp/>
        <stp>##V3_BDHV12</stp>
        <stp>RMS FP Equity</stp>
        <stp>IS_COGS_TO_FE_AND_PP_AND_G</stp>
        <stp>FY 2001</stp>
        <stp>FY 2001</stp>
        <stp>[FA1_ididqeuc.xlsx]Income - Adjusted!R10C13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0" s="2"/>
      </tp>
      <tp>
        <v>1234.2253000000001</v>
        <stp/>
        <stp>##V3_BDHV12</stp>
        <stp>RMS FP Equity</stp>
        <stp>IS_COGS_TO_FE_AND_PP_AND_G</stp>
        <stp>FY 2011</stp>
        <stp>FY 2011</stp>
        <stp>[FA1_ididqeuc.xlsx]Income - Adjusted!R10C23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0" s="2"/>
      </tp>
      <tp t="s">
        <v>—</v>
        <stp/>
        <stp>##V3_BDHV12</stp>
        <stp>RMS FP Equity</stp>
        <stp>IS_SELLING_EXPENSES</stp>
        <stp>FY 1991</stp>
        <stp>FY 1991</stp>
        <stp>[FA1_ididqeuc.xlsx]Income - Adjusted!R23C3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3" s="2"/>
      </tp>
      <tp>
        <v>4.4526000000000003</v>
        <stp/>
        <stp>##V3_BDHV12</stp>
        <stp>RMS FP Equity</stp>
        <stp>MIN_NONCONTROL_INTEREST_CREDITS</stp>
        <stp>FY 1993</stp>
        <stp>FY 1993</stp>
        <stp>[FA1_ididqeuc.xlsx]Income - Adjusted!R80C5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80" s="2"/>
      </tp>
      <tp t="s">
        <v>—</v>
        <stp/>
        <stp>##V3_BDHV12</stp>
        <stp>RMS FP Equity</stp>
        <stp>IS_OTHER_OPER_INC</stp>
        <stp>FY 2011</stp>
        <stp>FY 2011</stp>
        <stp>[FA1_ididqeuc.xlsx]Income - Adjusted!R18C23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8" s="2"/>
      </tp>
      <tp t="s">
        <v>—</v>
        <stp/>
        <stp>##V3_BDHV12</stp>
        <stp>RMS FP Equity</stp>
        <stp>IS_OTHER_OPER_INC</stp>
        <stp>FY 2001</stp>
        <stp>FY 2001</stp>
        <stp>[FA1_ididqeuc.xlsx]Income - Adjusted!R18C13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8" s="2"/>
      </tp>
      <tp t="s">
        <v>—</v>
        <stp/>
        <stp>##V3_BDHV12</stp>
        <stp>RMS FP Equity</stp>
        <stp>IS_INT_INC</stp>
        <stp>FY 1997</stp>
        <stp>FY 1997</stp>
        <stp>[FA1_ididqeuc.xlsx]Income - Adjusted!R42C9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42" s="2"/>
      </tp>
      <tp t="s">
        <v>—</v>
        <stp/>
        <stp>##V3_BDHV12</stp>
        <stp>RMS FP Equity</stp>
        <stp>IS_OTHER_OPERATING_EXPENSES</stp>
        <stp>FY 1996</stp>
        <stp>FY 1996</stp>
        <stp>[FA1_ididqeuc.xlsx]Income - Adjusted!R32C8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32" s="2"/>
      </tp>
      <tp t="s">
        <v>—</v>
        <stp/>
        <stp>##V3_BDHV12</stp>
        <stp>RMS FP Equity</stp>
        <stp>IS_SH_PRO_EQY_MT_INV_NET_OF_TAX</stp>
        <stp>FY 1992</stp>
        <stp>FY 1992</stp>
        <stp>[FA1_ididqeuc.xlsx]Income - Adjusted!R71C4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71" s="2"/>
      </tp>
      <tp>
        <v>408.47039999999998</v>
        <stp/>
        <stp>##V3_BDHV12</stp>
        <stp>RMS FP Equity</stp>
        <stp>IS_COGS_TO_FE_AND_PP_AND_G</stp>
        <stp>FY 2000</stp>
        <stp>FY 2000</stp>
        <stp>[FA1_ididqeuc.xlsx]Income - Adjusted!R10C12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0" s="2"/>
      </tp>
      <tp>
        <v>1081.1881000000001</v>
        <stp/>
        <stp>##V3_BDHV12</stp>
        <stp>RMS FP Equity</stp>
        <stp>IS_COGS_TO_FE_AND_PP_AND_G</stp>
        <stp>FY 2010</stp>
        <stp>FY 2010</stp>
        <stp>[FA1_ididqeuc.xlsx]Income - Adjusted!R10C22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0" s="2"/>
      </tp>
      <tp>
        <v>3.1999</v>
        <stp/>
        <stp>##V3_BDHV12</stp>
        <stp>RMS FP Equity</stp>
        <stp>MIN_NONCONTROL_INTEREST_CREDITS</stp>
        <stp>FY 1992</stp>
        <stp>FY 1992</stp>
        <stp>[FA1_ididqeuc.xlsx]Income - Adjusted!R80C4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80" s="2"/>
      </tp>
      <tp t="s">
        <v>—</v>
        <stp/>
        <stp>##V3_BDHV12</stp>
        <stp>RMS FP Equity</stp>
        <stp>IS_OTHER_OPER_INC</stp>
        <stp>FY 2010</stp>
        <stp>FY 2010</stp>
        <stp>[FA1_ididqeuc.xlsx]Income - Adjusted!R18C22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8" s="2"/>
      </tp>
      <tp t="s">
        <v>—</v>
        <stp/>
        <stp>##V3_BDHV12</stp>
        <stp>RMS FP Equity</stp>
        <stp>IS_OTHER_OPER_INC</stp>
        <stp>FY 2000</stp>
        <stp>FY 2000</stp>
        <stp>[FA1_ididqeuc.xlsx]Income - Adjusted!R18C12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8" s="2"/>
      </tp>
      <tp t="s">
        <v>—</v>
        <stp/>
        <stp>##V3_BDHV12</stp>
        <stp>RMS FP Equity</stp>
        <stp>IS_INT_INC</stp>
        <stp>FY 1996</stp>
        <stp>FY 1996</stp>
        <stp>[FA1_ididqeuc.xlsx]Income - Adjusted!R42C8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42" s="2"/>
      </tp>
      <tp t="s">
        <v>—</v>
        <stp/>
        <stp>##V3_BDHV12</stp>
        <stp>RMS FP Equity</stp>
        <stp>IS_SH_PRO_EQY_MT_INV_NET_OF_TAX</stp>
        <stp>FY 1991</stp>
        <stp>FY 1991</stp>
        <stp>[FA1_ididqeuc.xlsx]Income - Adjusted!R71C3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1" s="2"/>
      </tp>
      <tp>
        <v>483.78649999999999</v>
        <stp/>
        <stp>##V3_BDHV12</stp>
        <stp>RMS FP Equity</stp>
        <stp>IS_COGS_TO_FE_AND_PP_AND_G</stp>
        <stp>FY 2003</stp>
        <stp>FY 2003</stp>
        <stp>[FA1_ididqeuc.xlsx]Income - Adjusted!R10C15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0" s="2"/>
      </tp>
      <tp>
        <v>1554.5228999999999</v>
        <stp/>
        <stp>##V3_BDHV12</stp>
        <stp>RMS FP Equity</stp>
        <stp>IS_COGS_TO_FE_AND_PP_AND_G</stp>
        <stp>FY 2013</stp>
        <stp>FY 2013</stp>
        <stp>[FA1_ididqeuc.xlsx]Income - Adjusted!R10C25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0" s="2"/>
      </tp>
      <tp t="s">
        <v>—</v>
        <stp/>
        <stp>##V3_BDHV12</stp>
        <stp>RMS FP Equity</stp>
        <stp>IS_SELLING_EXPENSES</stp>
        <stp>FY 1993</stp>
        <stp>FY 1993</stp>
        <stp>[FA1_ididqeuc.xlsx]Income - Adjusted!R23C5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3" s="2"/>
      </tp>
      <tp>
        <v>1.4937</v>
        <stp/>
        <stp>##V3_BDHV12</stp>
        <stp>RMS FP Equity</stp>
        <stp>MIN_NONCONTROL_INTEREST_CREDITS</stp>
        <stp>FY 1991</stp>
        <stp>FY 1991</stp>
        <stp>[FA1_ididqeuc.xlsx]Income - Adjusted!R80C3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0" s="2"/>
      </tp>
      <tp>
        <v>197.1208</v>
        <stp/>
        <stp>##V3_BDHV12</stp>
        <stp>RMS FP Equity</stp>
        <stp>IS_INC_TAX_EXP</stp>
        <stp>FY 2007</stp>
        <stp>FY 2007</stp>
        <stp>[FA1_ididqeuc.xlsx]Income - Adjusted!R65C19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65" s="2"/>
      </tp>
      <tp>
        <v>756.12249999999995</v>
        <stp/>
        <stp>##V3_BDHV12</stp>
        <stp>RMS FP Equity</stp>
        <stp>IS_INC_TAX_EXP</stp>
        <stp>FY 2017</stp>
        <stp>FY 2017</stp>
        <stp>[FA1_ididqeuc.xlsx]Income - Adjusted!R65C29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65" s="2"/>
      </tp>
      <tp t="s">
        <v>—</v>
        <stp/>
        <stp>##V3_BDHV12</stp>
        <stp>RMS FP Equity</stp>
        <stp>IS_OTHER_ONE_TIME_ITEMS</stp>
        <stp>FY 2004</stp>
        <stp>FY 2004</stp>
        <stp>[FA1_ididqeuc.xlsx]Income - Adjusted!R62C16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62" s="2"/>
      </tp>
      <tp t="s">
        <v>—</v>
        <stp/>
        <stp>##V3_BDHV12</stp>
        <stp>RMS FP Equity</stp>
        <stp>IS_OTHER_ONE_TIME_ITEMS</stp>
        <stp>FY 2005</stp>
        <stp>FY 2005</stp>
        <stp>[FA1_ididqeuc.xlsx]Income - Adjusted!R62C17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62" s="2"/>
      </tp>
      <tp t="s">
        <v>—</v>
        <stp/>
        <stp>##V3_BDHV12</stp>
        <stp>RMS FP Equity</stp>
        <stp>IS_OTHER_ONE_TIME_ITEMS</stp>
        <stp>FY 2002</stp>
        <stp>FY 2002</stp>
        <stp>[FA1_ididqeuc.xlsx]Income - Adjusted!R62C14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62" s="2"/>
      </tp>
      <tp t="s">
        <v>—</v>
        <stp/>
        <stp>##V3_BDHV12</stp>
        <stp>RMS FP Equity</stp>
        <stp>IS_OTHER_ONE_TIME_ITEMS</stp>
        <stp>FY 2003</stp>
        <stp>FY 2003</stp>
        <stp>[FA1_ididqeuc.xlsx]Income - Adjusted!R62C15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62" s="2"/>
      </tp>
      <tp t="s">
        <v>—</v>
        <stp/>
        <stp>##V3_BDHV12</stp>
        <stp>RMS FP Equity</stp>
        <stp>IS_OTHER_ONE_TIME_ITEMS</stp>
        <stp>FY 2000</stp>
        <stp>FY 2000</stp>
        <stp>[FA1_ididqeuc.xlsx]Income - Adjusted!R62C12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62" s="2"/>
      </tp>
      <tp t="s">
        <v>—</v>
        <stp/>
        <stp>##V3_BDHV12</stp>
        <stp>RMS FP Equity</stp>
        <stp>IS_OTHER_ONE_TIME_ITEMS</stp>
        <stp>FY 2001</stp>
        <stp>FY 2001</stp>
        <stp>[FA1_ididqeuc.xlsx]Income - Adjusted!R62C13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62" s="2"/>
      </tp>
      <tp t="s">
        <v>—</v>
        <stp/>
        <stp>##V3_BDHV12</stp>
        <stp>RMS FP Equity</stp>
        <stp>IS_OTHER_ONE_TIME_ITEMS</stp>
        <stp>FY 1998</stp>
        <stp>FY 1998</stp>
        <stp>[FA1_ididqeuc.xlsx]Income - Adjusted!R62C10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62" s="2"/>
      </tp>
      <tp t="s">
        <v>—</v>
        <stp/>
        <stp>##V3_BDHV12</stp>
        <stp>RMS FP Equity</stp>
        <stp>IS_OTHER_ONE_TIME_ITEMS</stp>
        <stp>FY 1999</stp>
        <stp>FY 1999</stp>
        <stp>[FA1_ididqeuc.xlsx]Income - Adjusted!R62C11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62" s="2"/>
      </tp>
      <tp t="s">
        <v>—</v>
        <stp/>
        <stp>##V3_BDHV12</stp>
        <stp>RMS FP Equity</stp>
        <stp>IS_OTHER_ONE_TIME_ITEMS</stp>
        <stp>FY 2006</stp>
        <stp>FY 2006</stp>
        <stp>[FA1_ididqeuc.xlsx]Income - Adjusted!R62C18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62" s="2"/>
      </tp>
      <tp t="s">
        <v>—</v>
        <stp/>
        <stp>##V3_BDHV12</stp>
        <stp>RMS FP Equity</stp>
        <stp>IS_OTHER_ONE_TIME_ITEMS</stp>
        <stp>FY 2007</stp>
        <stp>FY 2007</stp>
        <stp>[FA1_ididqeuc.xlsx]Income - Adjusted!R62C19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62" s="2"/>
      </tp>
      <tp t="s">
        <v>—</v>
        <stp/>
        <stp>##V3_BDHV12</stp>
        <stp>RMS FP Equity</stp>
        <stp>IS_OTHER_OPER_INC</stp>
        <stp>FY 2013</stp>
        <stp>FY 2013</stp>
        <stp>[FA1_ididqeuc.xlsx]Income - Adjusted!R18C25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8" s="2"/>
      </tp>
      <tp t="s">
        <v>—</v>
        <stp/>
        <stp>##V3_BDHV12</stp>
        <stp>RMS FP Equity</stp>
        <stp>IS_OTHER_OPER_INC</stp>
        <stp>FY 2003</stp>
        <stp>FY 2003</stp>
        <stp>[FA1_ididqeuc.xlsx]Income - Adjusted!R18C15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8" s="2"/>
      </tp>
      <tp t="s">
        <v>—</v>
        <stp/>
        <stp>##V3_BDHV12</stp>
        <stp>RMS FP Equity</stp>
        <stp>IS_NET_ABNORMAL_ITEMS</stp>
        <stp>FY 1996</stp>
        <stp>FY 1996</stp>
        <stp>[FA1_ididqeuc.xlsx]Income - Adjusted!R91C8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91" s="2"/>
      </tp>
      <tp t="s">
        <v>—</v>
        <stp/>
        <stp>##V3_BDHV12</stp>
        <stp>RMS FP Equity</stp>
        <stp>IS_NET_ABNORMAL_ITEMS</stp>
        <stp>FY 1997</stp>
        <stp>FY 1997</stp>
        <stp>[FA1_ididqeuc.xlsx]Income - Adjusted!R91C9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91" s="2"/>
      </tp>
      <tp t="s">
        <v>—</v>
        <stp/>
        <stp>##V3_BDHV12</stp>
        <stp>RMS FP Equity</stp>
        <stp>IS_NET_ABNORMAL_ITEMS</stp>
        <stp>FY 1991</stp>
        <stp>FY 1991</stp>
        <stp>[FA1_ididqeuc.xlsx]Income - Adjusted!R91C3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91" s="2"/>
      </tp>
      <tp t="s">
        <v>—</v>
        <stp/>
        <stp>##V3_BDHV12</stp>
        <stp>RMS FP Equity</stp>
        <stp>IS_NET_ABNORMAL_ITEMS</stp>
        <stp>FY 1994</stp>
        <stp>FY 1994</stp>
        <stp>[FA1_ididqeuc.xlsx]Income - Adjusted!R91C6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91" s="2"/>
      </tp>
      <tp t="s">
        <v>—</v>
        <stp/>
        <stp>##V3_BDHV12</stp>
        <stp>RMS FP Equity</stp>
        <stp>IS_NET_ABNORMAL_ITEMS</stp>
        <stp>FY 1995</stp>
        <stp>FY 1995</stp>
        <stp>[FA1_ididqeuc.xlsx]Income - Adjusted!R91C7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91" s="2"/>
      </tp>
      <tp>
        <v>413.68180000000001</v>
        <stp/>
        <stp>##V3_BDHV12</stp>
        <stp>RMS FP Equity</stp>
        <stp>IS_COGS_TO_FE_AND_PP_AND_G</stp>
        <stp>FY 2002</stp>
        <stp>FY 2002</stp>
        <stp>[FA1_ididqeuc.xlsx]Income - Adjusted!R10C14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0" s="2"/>
      </tp>
      <tp>
        <v>1428.3456000000001</v>
        <stp/>
        <stp>##V3_BDHV12</stp>
        <stp>RMS FP Equity</stp>
        <stp>IS_COGS_TO_FE_AND_PP_AND_G</stp>
        <stp>FY 2012</stp>
        <stp>FY 2012</stp>
        <stp>[FA1_ididqeuc.xlsx]Income - Adjusted!R10C24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0" s="2"/>
      </tp>
      <tp t="s">
        <v>—</v>
        <stp/>
        <stp>##V3_BDHV12</stp>
        <stp>RMS FP Equity</stp>
        <stp>IS_SELLING_EXPENSES</stp>
        <stp>FY 1992</stp>
        <stp>FY 1992</stp>
        <stp>[FA1_ididqeuc.xlsx]Income - Adjusted!R23C4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3" s="2"/>
      </tp>
      <tp t="s">
        <v>—</v>
        <stp/>
        <stp>##V3_BDHV12</stp>
        <stp>RMS FP Equity</stp>
        <stp>IS_NET_ABNORMAL_ITEMS</stp>
        <stp>FY 1992</stp>
        <stp>FY 1992</stp>
        <stp>[FA1_ididqeuc.xlsx]Income - Adjusted!R91C4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91" s="2"/>
      </tp>
      <tp t="s">
        <v>—</v>
        <stp/>
        <stp>##V3_BDHV12</stp>
        <stp>RMS FP Equity</stp>
        <stp>IS_NET_ABNORMAL_ITEMS</stp>
        <stp>FY 1993</stp>
        <stp>FY 1993</stp>
        <stp>[FA1_ididqeuc.xlsx]Income - Adjusted!R91C5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91" s="2"/>
      </tp>
      <tp>
        <v>171.12010000000001</v>
        <stp/>
        <stp>##V3_BDHV12</stp>
        <stp>RMS FP Equity</stp>
        <stp>IS_INC_TAX_EXP</stp>
        <stp>FY 2006</stp>
        <stp>FY 2006</stp>
        <stp>[FA1_ididqeuc.xlsx]Income - Adjusted!R65C18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65" s="2"/>
      </tp>
      <tp>
        <v>614.8433</v>
        <stp/>
        <stp>##V3_BDHV12</stp>
        <stp>RMS FP Equity</stp>
        <stp>IS_INC_TAX_EXP</stp>
        <stp>FY 2016</stp>
        <stp>FY 2016</stp>
        <stp>[FA1_ididqeuc.xlsx]Income - Adjusted!R65C28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65" s="2"/>
      </tp>
      <tp t="s">
        <v>—</v>
        <stp/>
        <stp>##V3_BDHV12</stp>
        <stp>RMS FP Equity</stp>
        <stp>IS_OTHER_OPER_INC</stp>
        <stp>FY 2012</stp>
        <stp>FY 2012</stp>
        <stp>[FA1_ididqeuc.xlsx]Income - Adjusted!R18C24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8" s="2"/>
      </tp>
      <tp t="s">
        <v>—</v>
        <stp/>
        <stp>##V3_BDHV12</stp>
        <stp>RMS FP Equity</stp>
        <stp>IS_OTHER_OPER_INC</stp>
        <stp>FY 2002</stp>
        <stp>FY 2002</stp>
        <stp>[FA1_ididqeuc.xlsx]Income - Adjusted!R18C14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8" s="2"/>
      </tp>
      <tp>
        <v>620.36680000000001</v>
        <stp/>
        <stp>##V3_BDHV12</stp>
        <stp>RMS FP Equity</stp>
        <stp>IS_COGS_TO_FE_AND_PP_AND_G</stp>
        <stp>FY 2005</stp>
        <stp>FY 2005</stp>
        <stp>[FA1_ididqeuc.xlsx]Income - Adjusted!R10C17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0" s="2"/>
      </tp>
      <tp>
        <v>1823.1759999999999</v>
        <stp/>
        <stp>##V3_BDHV12</stp>
        <stp>RMS FP Equity</stp>
        <stp>IS_COGS_TO_FE_AND_PP_AND_G</stp>
        <stp>FY 2015</stp>
        <stp>FY 2015</stp>
        <stp>[FA1_ididqeuc.xlsx]Income - Adjusted!R10C27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0" s="2"/>
      </tp>
      <tp>
        <v>3.9100000000000003E-2</v>
        <stp/>
        <stp>##V3_BDHV12</stp>
        <stp>RMS FP Equity</stp>
        <stp>INCOME_LOSS_FROM_AFFILIATES</stp>
        <stp>FY 1996</stp>
        <stp>FY 1996</stp>
        <stp>[FA1_ididqeuc.xlsx]Income - Adjusted!R46C8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46" s="2"/>
      </tp>
      <tp t="s">
        <v>—</v>
        <stp/>
        <stp>##V3_BDHV12</stp>
        <stp>RMS FP Equity</stp>
        <stp>IS_SELLING_EXPENSES</stp>
        <stp>FY 1995</stp>
        <stp>FY 1995</stp>
        <stp>[FA1_ididqeuc.xlsx]Income - Adjusted!R23C7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3" s="2"/>
      </tp>
      <tp>
        <v>1411.0065</v>
        <stp/>
        <stp>##V3_BDHV12</stp>
        <stp>RMS FP Equity</stp>
        <stp>EARN_FOR_COMMON</stp>
        <stp>FY 2017</stp>
        <stp>FY 2017</stp>
        <stp>[FA1_ididqeuc.xlsx]Income - Adjusted!R89C29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89" s="2"/>
      </tp>
      <tp>
        <v>394.78989999999999</v>
        <stp/>
        <stp>##V3_BDHV12</stp>
        <stp>RMS FP Equity</stp>
        <stp>EARN_FOR_COMMON</stp>
        <stp>FY 2007</stp>
        <stp>FY 2007</stp>
        <stp>[FA1_ididqeuc.xlsx]Income - Adjusted!R89C19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89" s="2"/>
      </tp>
      <tp>
        <v>0</v>
        <stp/>
        <stp>##V3_BDHV12</stp>
        <stp>RMS FP Equity</stp>
        <stp>IS_OTHER_OPER_INC</stp>
        <stp>FY 2015</stp>
        <stp>FY 2015</stp>
        <stp>[FA1_ididqeuc.xlsx]Income - Adjusted!R18C27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8" s="2"/>
      </tp>
      <tp t="s">
        <v>—</v>
        <stp/>
        <stp>##V3_BDHV12</stp>
        <stp>RMS FP Equity</stp>
        <stp>IS_OTHER_OPER_INC</stp>
        <stp>FY 2005</stp>
        <stp>FY 2005</stp>
        <stp>[FA1_ididqeuc.xlsx]Income - Adjusted!R18C17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8" s="2"/>
      </tp>
      <tp>
        <v>722.17200000000003</v>
        <stp/>
        <stp>##V3_BDHV12</stp>
        <stp>RMS FP Equity</stp>
        <stp>IS_OPERATING_EXPN</stp>
        <stp>FY 2006</stp>
        <stp>FY 2006</stp>
        <stp>[FA1_ididqeuc.xlsx]Income - Adjusted!R19C18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9" s="2"/>
      </tp>
      <tp>
        <v>2008.4512999999999</v>
        <stp/>
        <stp>##V3_BDHV12</stp>
        <stp>RMS FP Equity</stp>
        <stp>IS_OPERATING_EXPN</stp>
        <stp>FY 2016</stp>
        <stp>FY 2016</stp>
        <stp>[FA1_ididqeuc.xlsx]Income - Adjusted!R19C28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9" s="2"/>
      </tp>
      <tp>
        <v>576.57010000000002</v>
        <stp/>
        <stp>##V3_BDHV12</stp>
        <stp>RMS FP Equity</stp>
        <stp>IS_COGS_TO_FE_AND_PP_AND_G</stp>
        <stp>FY 2004</stp>
        <stp>FY 2004</stp>
        <stp>[FA1_ididqeuc.xlsx]Income - Adjusted!R10C16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0" s="2"/>
      </tp>
      <tp>
        <v>1814.1802</v>
        <stp/>
        <stp>##V3_BDHV12</stp>
        <stp>RMS FP Equity</stp>
        <stp>IS_COGS_TO_FE_AND_PP_AND_G</stp>
        <stp>FY 2014</stp>
        <stp>FY 2014</stp>
        <stp>[FA1_ididqeuc.xlsx]Income - Adjusted!R10C26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0" s="2"/>
      </tp>
      <tp>
        <v>0.8236</v>
        <stp/>
        <stp>##V3_BDHV12</stp>
        <stp>RMS FP Equity</stp>
        <stp>INCOME_LOSS_FROM_AFFILIATES</stp>
        <stp>FY 1997</stp>
        <stp>FY 1997</stp>
        <stp>[FA1_ididqeuc.xlsx]Income - Adjusted!R46C9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46" s="2"/>
      </tp>
      <tp t="s">
        <v>—</v>
        <stp/>
        <stp>##V3_BDHV12</stp>
        <stp>RMS FP Equity</stp>
        <stp>IS_SELLING_EXPENSES</stp>
        <stp>FY 1994</stp>
        <stp>FY 1994</stp>
        <stp>[FA1_ididqeuc.xlsx]Income - Adjusted!R23C6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3" s="2"/>
      </tp>
      <tp t="s">
        <v>—</v>
        <stp/>
        <stp>##V3_BDHV12</stp>
        <stp>RMS FP Equity</stp>
        <stp>IS_OTHER_ONE_TIME_ITEMS</stp>
        <stp>FY 2014</stp>
        <stp>FY 2014</stp>
        <stp>[FA1_ididqeuc.xlsx]Income - Adjusted!R62C26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62" s="2"/>
      </tp>
      <tp t="s">
        <v>—</v>
        <stp/>
        <stp>##V3_BDHV12</stp>
        <stp>RMS FP Equity</stp>
        <stp>IS_OTHER_ONE_TIME_ITEMS</stp>
        <stp>FY 2015</stp>
        <stp>FY 2015</stp>
        <stp>[FA1_ididqeuc.xlsx]Income - Adjusted!R62C27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62" s="2"/>
      </tp>
      <tp>
        <v>-40.504899999999999</v>
        <stp/>
        <stp>##V3_BDHV12</stp>
        <stp>RMS FP Equity</stp>
        <stp>IS_OTHER_ONE_TIME_ITEMS</stp>
        <stp>FY 2012</stp>
        <stp>FY 2012</stp>
        <stp>[FA1_ididqeuc.xlsx]Income - Adjusted!R62C24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62" s="2"/>
      </tp>
      <tp t="s">
        <v>—</v>
        <stp/>
        <stp>##V3_BDHV12</stp>
        <stp>RMS FP Equity</stp>
        <stp>IS_OTHER_ONE_TIME_ITEMS</stp>
        <stp>FY 2013</stp>
        <stp>FY 2013</stp>
        <stp>[FA1_ididqeuc.xlsx]Income - Adjusted!R62C25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62" s="2"/>
      </tp>
      <tp t="s">
        <v>—</v>
        <stp/>
        <stp>##V3_BDHV12</stp>
        <stp>RMS FP Equity</stp>
        <stp>IS_OTHER_ONE_TIME_ITEMS</stp>
        <stp>FY 2010</stp>
        <stp>FY 2010</stp>
        <stp>[FA1_ididqeuc.xlsx]Income - Adjusted!R62C22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62" s="2"/>
      </tp>
      <tp t="s">
        <v>—</v>
        <stp/>
        <stp>##V3_BDHV12</stp>
        <stp>RMS FP Equity</stp>
        <stp>IS_OTHER_ONE_TIME_ITEMS</stp>
        <stp>FY 2011</stp>
        <stp>FY 2011</stp>
        <stp>[FA1_ididqeuc.xlsx]Income - Adjusted!R62C23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62" s="2"/>
      </tp>
      <tp t="s">
        <v>—</v>
        <stp/>
        <stp>##V3_BDHV12</stp>
        <stp>RMS FP Equity</stp>
        <stp>IS_OTHER_ONE_TIME_ITEMS</stp>
        <stp>FY 2008</stp>
        <stp>FY 2008</stp>
        <stp>[FA1_ididqeuc.xlsx]Income - Adjusted!R62C20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62" s="2"/>
      </tp>
      <tp t="s">
        <v>—</v>
        <stp/>
        <stp>##V3_BDHV12</stp>
        <stp>RMS FP Equity</stp>
        <stp>IS_OTHER_ONE_TIME_ITEMS</stp>
        <stp>FY 2009</stp>
        <stp>FY 2009</stp>
        <stp>[FA1_ididqeuc.xlsx]Income - Adjusted!R62C21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62" s="2"/>
      </tp>
      <tp t="s">
        <v>—</v>
        <stp/>
        <stp>##V3_BDHV12</stp>
        <stp>RMS FP Equity</stp>
        <stp>IS_OTHER_ONE_TIME_ITEMS</stp>
        <stp>FY 2016</stp>
        <stp>FY 2016</stp>
        <stp>[FA1_ididqeuc.xlsx]Income - Adjusted!R62C28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62" s="2"/>
      </tp>
      <tp t="s">
        <v>—</v>
        <stp/>
        <stp>##V3_BDHV12</stp>
        <stp>RMS FP Equity</stp>
        <stp>IS_OTHER_ONE_TIME_ITEMS</stp>
        <stp>FY 2017</stp>
        <stp>FY 2017</stp>
        <stp>[FA1_ididqeuc.xlsx]Income - Adjusted!R62C29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62" s="2"/>
      </tp>
      <tp>
        <v>1224.5235</v>
        <stp/>
        <stp>##V3_BDHV12</stp>
        <stp>RMS FP Equity</stp>
        <stp>EARN_FOR_COMMON</stp>
        <stp>FY 2016</stp>
        <stp>FY 2016</stp>
        <stp>[FA1_ididqeuc.xlsx]Income - Adjusted!R89C28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89" s="2"/>
      </tp>
      <tp>
        <v>337.21460000000002</v>
        <stp/>
        <stp>##V3_BDHV12</stp>
        <stp>RMS FP Equity</stp>
        <stp>EARN_FOR_COMMON</stp>
        <stp>FY 2006</stp>
        <stp>FY 2006</stp>
        <stp>[FA1_ididqeuc.xlsx]Income - Adjusted!R89C18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89" s="2"/>
      </tp>
      <tp t="s">
        <v>—</v>
        <stp/>
        <stp>##V3_BDHV12</stp>
        <stp>RMS FP Equity</stp>
        <stp>IS_OTHER_OPER_INC</stp>
        <stp>FY 2014</stp>
        <stp>FY 2014</stp>
        <stp>[FA1_ididqeuc.xlsx]Income - Adjusted!R18C26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8" s="2"/>
      </tp>
      <tp t="s">
        <v>—</v>
        <stp/>
        <stp>##V3_BDHV12</stp>
        <stp>RMS FP Equity</stp>
        <stp>IS_OTHER_OPER_INC</stp>
        <stp>FY 2004</stp>
        <stp>FY 2004</stp>
        <stp>[FA1_ididqeuc.xlsx]Income - Adjusted!R18C16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8" s="2"/>
      </tp>
      <tp>
        <v>877.31100000000004</v>
        <stp/>
        <stp>##V3_BDHV12</stp>
        <stp>RMS FP Equity</stp>
        <stp>IS_OPERATING_EXPN</stp>
        <stp>FY 2007</stp>
        <stp>FY 2007</stp>
        <stp>[FA1_ididqeuc.xlsx]Income - Adjusted!R19C19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9" s="2"/>
      </tp>
      <tp>
        <v>2175.8431999999998</v>
        <stp/>
        <stp>##V3_BDHV12</stp>
        <stp>RMS FP Equity</stp>
        <stp>IS_OPERATING_EXPN</stp>
        <stp>FY 2017</stp>
        <stp>FY 2017</stp>
        <stp>[FA1_ididqeuc.xlsx]Income - Adjusted!R19C29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9" s="2"/>
      </tp>
      <tp t="s">
        <v>—</v>
        <stp/>
        <stp>##V3_BDHV12</stp>
        <stp>RMS FP Equity</stp>
        <stp>IS_OTHER_OPERATING_EXPENSES</stp>
        <stp>FY 1991</stp>
        <stp>FY 1991</stp>
        <stp>[FA1_ididqeuc.xlsx]Income - Adjusted!R32C3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32" s="2"/>
      </tp>
      <tp>
        <v>782.17759999999998</v>
        <stp/>
        <stp>##V3_BDHV12</stp>
        <stp>RMS FP Equity</stp>
        <stp>IS_COGS_TO_FE_AND_PP_AND_G</stp>
        <stp>FY 2007</stp>
        <stp>FY 2007</stp>
        <stp>[FA1_ididqeuc.xlsx]Income - Adjusted!R10C19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0" s="2"/>
      </tp>
      <tp>
        <v>1874.5464999999999</v>
        <stp/>
        <stp>##V3_BDHV12</stp>
        <stp>RMS FP Equity</stp>
        <stp>IS_COGS_TO_FE_AND_PP_AND_G</stp>
        <stp>FY 2017</stp>
        <stp>FY 2017</stp>
        <stp>[FA1_ididqeuc.xlsx]Income - Adjusted!R10C29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0" s="2"/>
      </tp>
      <tp>
        <v>-9.0300000000000005E-2</v>
        <stp/>
        <stp>##V3_BDHV12</stp>
        <stp>RMS FP Equity</stp>
        <stp>INCOME_LOSS_FROM_AFFILIATES</stp>
        <stp>FY 1994</stp>
        <stp>FY 1994</stp>
        <stp>[FA1_ididqeuc.xlsx]Income - Adjusted!R46C6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46" s="2"/>
      </tp>
      <tp t="s">
        <v>—</v>
        <stp/>
        <stp>##V3_BDHV12</stp>
        <stp>RMS FP Equity</stp>
        <stp>IS_SELLING_EXPENSES</stp>
        <stp>FY 1997</stp>
        <stp>FY 1997</stp>
        <stp>[FA1_ididqeuc.xlsx]Income - Adjusted!R23C9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3" s="2"/>
      </tp>
      <tp>
        <v>134.4229</v>
        <stp/>
        <stp>##V3_BDHV12</stp>
        <stp>RMS FP Equity</stp>
        <stp>IS_INC_TAX_EXP</stp>
        <stp>FY 2003</stp>
        <stp>FY 2003</stp>
        <stp>[FA1_ididqeuc.xlsx]Income - Adjusted!R65C15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65" s="2"/>
      </tp>
      <tp>
        <v>528.13660000000004</v>
        <stp/>
        <stp>##V3_BDHV12</stp>
        <stp>RMS FP Equity</stp>
        <stp>IS_INC_TAX_EXP</stp>
        <stp>FY 2013</stp>
        <stp>FY 2013</stp>
        <stp>[FA1_ididqeuc.xlsx]Income - Adjusted!R65C25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65" s="2"/>
      </tp>
      <tp>
        <v>1100.1394</v>
        <stp/>
        <stp>##V3_BDHV12</stp>
        <stp>RMS FP Equity</stp>
        <stp>EARN_FOR_COMMON</stp>
        <stp>FY 2015</stp>
        <stp>FY 2015</stp>
        <stp>[FA1_ididqeuc.xlsx]Income - Adjusted!R89C27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89" s="2"/>
      </tp>
      <tp>
        <v>307.32170000000002</v>
        <stp/>
        <stp>##V3_BDHV12</stp>
        <stp>RMS FP Equity</stp>
        <stp>EARN_FOR_COMMON</stp>
        <stp>FY 2005</stp>
        <stp>FY 2005</stp>
        <stp>[FA1_ididqeuc.xlsx]Income - Adjusted!R89C17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89" s="2"/>
      </tp>
      <tp>
        <v>0</v>
        <stp/>
        <stp>##V3_BDHV12</stp>
        <stp>RMS FP Equity</stp>
        <stp>IS_OTHER_OPER_INC</stp>
        <stp>FY 2017</stp>
        <stp>FY 2017</stp>
        <stp>[FA1_ididqeuc.xlsx]Income - Adjusted!R18C29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8" s="2"/>
      </tp>
      <tp t="s">
        <v>—</v>
        <stp/>
        <stp>##V3_BDHV12</stp>
        <stp>RMS FP Equity</stp>
        <stp>IS_OTHER_OPER_INC</stp>
        <stp>FY 2007</stp>
        <stp>FY 2007</stp>
        <stp>[FA1_ididqeuc.xlsx]Income - Adjusted!R18C19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8" s="2"/>
      </tp>
      <tp t="s">
        <v>—</v>
        <stp/>
        <stp>##V3_BDHV12</stp>
        <stp>RMS FP Equity</stp>
        <stp>IS_INT_INC</stp>
        <stp>FY 1991</stp>
        <stp>FY 1991</stp>
        <stp>[FA1_ididqeuc.xlsx]Income - Adjusted!R42C3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42" s="2"/>
      </tp>
      <tp>
        <v>635.67049999999995</v>
        <stp/>
        <stp>##V3_BDHV12</stp>
        <stp>RMS FP Equity</stp>
        <stp>IS_OPERATING_EXPN</stp>
        <stp>FY 2004</stp>
        <stp>FY 2004</stp>
        <stp>[FA1_ididqeuc.xlsx]Income - Adjusted!R19C16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9" s="2"/>
      </tp>
      <tp>
        <v>1898.5391</v>
        <stp/>
        <stp>##V3_BDHV12</stp>
        <stp>RMS FP Equity</stp>
        <stp>IS_OPERATING_EXPN</stp>
        <stp>FY 2014</stp>
        <stp>FY 2014</stp>
        <stp>[FA1_ididqeuc.xlsx]Income - Adjusted!R19C26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9" s="2"/>
      </tp>
      <tp>
        <v>659.47829999999999</v>
        <stp/>
        <stp>##V3_BDHV12</stp>
        <stp>RMS FP Equity</stp>
        <stp>IS_COGS_TO_FE_AND_PP_AND_G</stp>
        <stp>FY 2006</stp>
        <stp>FY 2006</stp>
        <stp>[FA1_ididqeuc.xlsx]Income - Adjusted!R10C18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0" s="2"/>
      </tp>
      <tp>
        <v>1861.5752</v>
        <stp/>
        <stp>##V3_BDHV12</stp>
        <stp>RMS FP Equity</stp>
        <stp>IS_COGS_TO_FE_AND_PP_AND_G</stp>
        <stp>FY 2016</stp>
        <stp>FY 2016</stp>
        <stp>[FA1_ididqeuc.xlsx]Income - Adjusted!R10C28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0" s="2"/>
      </tp>
      <tp>
        <v>0.50170000000000003</v>
        <stp/>
        <stp>##V3_BDHV12</stp>
        <stp>RMS FP Equity</stp>
        <stp>INCOME_LOSS_FROM_AFFILIATES</stp>
        <stp>FY 1995</stp>
        <stp>FY 1995</stp>
        <stp>[FA1_ididqeuc.xlsx]Income - Adjusted!R46C7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46" s="2"/>
      </tp>
      <tp t="s">
        <v>—</v>
        <stp/>
        <stp>##V3_BDHV12</stp>
        <stp>RMS FP Equity</stp>
        <stp>IS_SELLING_EXPENSES</stp>
        <stp>FY 1996</stp>
        <stp>FY 1996</stp>
        <stp>[FA1_ididqeuc.xlsx]Income - Adjusted!R23C8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3" s="2"/>
      </tp>
      <tp>
        <v>101.8599</v>
        <stp/>
        <stp>##V3_BDHV12</stp>
        <stp>RMS FP Equity</stp>
        <stp>IS_INC_TAX_EXP</stp>
        <stp>FY 2002</stp>
        <stp>FY 2002</stp>
        <stp>[FA1_ididqeuc.xlsx]Income - Adjusted!R65C14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65" s="2"/>
      </tp>
      <tp>
        <v>448.89760000000001</v>
        <stp/>
        <stp>##V3_BDHV12</stp>
        <stp>RMS FP Equity</stp>
        <stp>IS_INC_TAX_EXP</stp>
        <stp>FY 2012</stp>
        <stp>FY 2012</stp>
        <stp>[FA1_ididqeuc.xlsx]Income - Adjusted!R65C24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65" s="2"/>
      </tp>
      <tp>
        <v>1168.8389999999999</v>
        <stp/>
        <stp>##V3_BDHV12</stp>
        <stp>RMS FP Equity</stp>
        <stp>EARN_FOR_COMMON</stp>
        <stp>FY 2014</stp>
        <stp>FY 2014</stp>
        <stp>[FA1_ididqeuc.xlsx]Income - Adjusted!R89C26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89" s="2"/>
      </tp>
      <tp>
        <v>266.13799999999998</v>
        <stp/>
        <stp>##V3_BDHV12</stp>
        <stp>RMS FP Equity</stp>
        <stp>EARN_FOR_COMMON</stp>
        <stp>FY 2004</stp>
        <stp>FY 2004</stp>
        <stp>[FA1_ididqeuc.xlsx]Income - Adjusted!R89C16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89" s="2"/>
      </tp>
      <tp>
        <v>0</v>
        <stp/>
        <stp>##V3_BDHV12</stp>
        <stp>RMS FP Equity</stp>
        <stp>IS_OTHER_OPER_INC</stp>
        <stp>FY 2016</stp>
        <stp>FY 2016</stp>
        <stp>[FA1_ididqeuc.xlsx]Income - Adjusted!R18C28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8" s="2"/>
      </tp>
      <tp t="s">
        <v>—</v>
        <stp/>
        <stp>##V3_BDHV12</stp>
        <stp>RMS FP Equity</stp>
        <stp>IS_OTHER_OPER_INC</stp>
        <stp>FY 2006</stp>
        <stp>FY 2006</stp>
        <stp>[FA1_ididqeuc.xlsx]Income - Adjusted!R18C18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8" s="2"/>
      </tp>
      <tp>
        <v>678.47170000000006</v>
        <stp/>
        <stp>##V3_BDHV12</stp>
        <stp>RMS FP Equity</stp>
        <stp>IS_OPERATING_EXPN</stp>
        <stp>FY 2005</stp>
        <stp>FY 2005</stp>
        <stp>[FA1_ididqeuc.xlsx]Income - Adjusted!R19C17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9" s="2"/>
      </tp>
      <tp>
        <v>1814.6289999999999</v>
        <stp/>
        <stp>##V3_BDHV12</stp>
        <stp>RMS FP Equity</stp>
        <stp>IS_OPERATING_EXPN</stp>
        <stp>FY 2015</stp>
        <stp>FY 2015</stp>
        <stp>[FA1_ididqeuc.xlsx]Income - Adjusted!R19C27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9" s="2"/>
      </tp>
      <tp>
        <v>21.498999999999999</v>
        <stp/>
        <stp>##V3_BDHV12</stp>
        <stp>RMS FP Equity</stp>
        <stp>EARN_FOR_COMMON</stp>
        <stp>FY 1991</stp>
        <stp>FY 1991</stp>
        <stp>[FA1_ididqeuc.xlsx]Income - Adjusted!R86C3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6" s="2"/>
      </tp>
      <tp>
        <v>-0.1515</v>
        <stp/>
        <stp>##V3_BDHV12</stp>
        <stp>RMS FP Equity</stp>
        <stp>INCOME_LOSS_FROM_AFFILIATES</stp>
        <stp>FY 1992</stp>
        <stp>FY 1992</stp>
        <stp>[FA1_ididqeuc.xlsx]Income - Adjusted!R46C4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46" s="2"/>
      </tp>
      <tp>
        <v>168.96469999999999</v>
        <stp/>
        <stp>##V3_BDHV12</stp>
        <stp>RMS FP Equity</stp>
        <stp>IS_INC_TAX_EXP</stp>
        <stp>FY 2005</stp>
        <stp>FY 2005</stp>
        <stp>[FA1_ididqeuc.xlsx]Income - Adjusted!R65C17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65" s="2"/>
      </tp>
      <tp>
        <v>594.5163</v>
        <stp/>
        <stp>##V3_BDHV12</stp>
        <stp>RMS FP Equity</stp>
        <stp>IS_INC_TAX_EXP</stp>
        <stp>FY 2015</stp>
        <stp>FY 2015</stp>
        <stp>[FA1_ididqeuc.xlsx]Income - Adjusted!R65C27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65" s="2"/>
      </tp>
      <tp>
        <v>1075.114</v>
        <stp/>
        <stp>##V3_BDHV12</stp>
        <stp>RMS FP Equity</stp>
        <stp>EARN_FOR_COMMON</stp>
        <stp>FY 2013</stp>
        <stp>FY 2013</stp>
        <stp>[FA1_ididqeuc.xlsx]Income - Adjusted!R89C25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89" s="2"/>
      </tp>
      <tp>
        <v>245.5171</v>
        <stp/>
        <stp>##V3_BDHV12</stp>
        <stp>RMS FP Equity</stp>
        <stp>EARN_FOR_COMMON</stp>
        <stp>FY 2003</stp>
        <stp>FY 2003</stp>
        <stp>[FA1_ididqeuc.xlsx]Income - Adjusted!R89C15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89" s="2"/>
      </tp>
      <tp>
        <v>458.4169</v>
        <stp/>
        <stp>##V3_BDHV12</stp>
        <stp>RMS FP Equity</stp>
        <stp>IS_OPERATING_EXPN</stp>
        <stp>FY 2002</stp>
        <stp>FY 2002</stp>
        <stp>[FA1_ididqeuc.xlsx]Income - Adjusted!R19C14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9" s="2"/>
      </tp>
      <tp>
        <v>1617.883</v>
        <stp/>
        <stp>##V3_BDHV12</stp>
        <stp>RMS FP Equity</stp>
        <stp>IS_OPERATING_EXPN</stp>
        <stp>FY 2012</stp>
        <stp>FY 2012</stp>
        <stp>[FA1_ididqeuc.xlsx]Income - Adjusted!R19C24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9" s="2"/>
      </tp>
      <tp>
        <v>-1.77E-2</v>
        <stp/>
        <stp>##V3_BDHV12</stp>
        <stp>RMS FP Equity</stp>
        <stp>INCOME_LOSS_FROM_AFFILIATES</stp>
        <stp>FY 1993</stp>
        <stp>FY 1993</stp>
        <stp>[FA1_ididqeuc.xlsx]Income - Adjusted!R46C5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46" s="2"/>
      </tp>
      <tp>
        <v>155.77600000000001</v>
        <stp/>
        <stp>##V3_BDHV12</stp>
        <stp>RMS FP Equity</stp>
        <stp>IS_INC_TAX_EXP</stp>
        <stp>FY 2004</stp>
        <stp>FY 2004</stp>
        <stp>[FA1_ididqeuc.xlsx]Income - Adjusted!R65C16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65" s="2"/>
      </tp>
      <tp>
        <v>562.87940000000003</v>
        <stp/>
        <stp>##V3_BDHV12</stp>
        <stp>RMS FP Equity</stp>
        <stp>IS_INC_TAX_EXP</stp>
        <stp>FY 2014</stp>
        <stp>FY 2014</stp>
        <stp>[FA1_ididqeuc.xlsx]Income - Adjusted!R65C26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65" s="2"/>
      </tp>
      <tp>
        <v>960.14520000000005</v>
        <stp/>
        <stp>##V3_BDHV12</stp>
        <stp>RMS FP Equity</stp>
        <stp>EARN_FOR_COMMON</stp>
        <stp>FY 2012</stp>
        <stp>FY 2012</stp>
        <stp>[FA1_ididqeuc.xlsx]Income - Adjusted!R89C24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89" s="2"/>
      </tp>
      <tp>
        <v>203.81440000000001</v>
        <stp/>
        <stp>##V3_BDHV12</stp>
        <stp>RMS FP Equity</stp>
        <stp>EARN_FOR_COMMON</stp>
        <stp>FY 2002</stp>
        <stp>FY 2002</stp>
        <stp>[FA1_ididqeuc.xlsx]Income - Adjusted!R89C14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89" s="2"/>
      </tp>
      <tp>
        <v>532.25570000000005</v>
        <stp/>
        <stp>##V3_BDHV12</stp>
        <stp>RMS FP Equity</stp>
        <stp>IS_OPERATING_EXPN</stp>
        <stp>FY 2003</stp>
        <stp>FY 2003</stp>
        <stp>[FA1_ididqeuc.xlsx]Income - Adjusted!R19C15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9" s="2"/>
      </tp>
      <tp>
        <v>1788.1729</v>
        <stp/>
        <stp>##V3_BDHV12</stp>
        <stp>RMS FP Equity</stp>
        <stp>IS_OPERATING_EXPN</stp>
        <stp>FY 2013</stp>
        <stp>FY 2013</stp>
        <stp>[FA1_ididqeuc.xlsx]Income - Adjusted!R19C25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9" s="2"/>
      </tp>
      <tp t="s">
        <v>—</v>
        <stp/>
        <stp>##V3_BDHV12</stp>
        <stp>RMS FP Equity</stp>
        <stp>IS_OTHER_OPERATING_EXPENSES</stp>
        <stp>FY 1995</stp>
        <stp>FY 1995</stp>
        <stp>[FA1_ididqeuc.xlsx]Income - Adjusted!R32C7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32" s="2"/>
      </tp>
      <tp>
        <v>37.1404</v>
        <stp/>
        <stp>##V3_BDHV12</stp>
        <stp>RMS FP Equity</stp>
        <stp>EARN_FOR_COMMON</stp>
        <stp>FY 1993</stp>
        <stp>FY 1993</stp>
        <stp>[FA1_ididqeuc.xlsx]Income - Adjusted!R86C5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86" s="2"/>
      </tp>
      <tp>
        <v>78.5929</v>
        <stp/>
        <stp>##V3_BDHV12</stp>
        <stp>RMS FP Equity</stp>
        <stp>IS_INC_TAX_EXP</stp>
        <stp>FY 1999</stp>
        <stp>FY 1999</stp>
        <stp>[FA1_ididqeuc.xlsx]Income - Adjusted!R65C11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65" s="2"/>
      </tp>
      <tp>
        <v>206.65549999999999</v>
        <stp/>
        <stp>##V3_BDHV12</stp>
        <stp>RMS FP Equity</stp>
        <stp>IS_INC_TAX_EXP</stp>
        <stp>FY 2009</stp>
        <stp>FY 2009</stp>
        <stp>[FA1_ididqeuc.xlsx]Income - Adjusted!R65C21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65" s="2"/>
      </tp>
      <tp>
        <v>829.37310000000002</v>
        <stp/>
        <stp>##V3_BDHV12</stp>
        <stp>RMS FP Equity</stp>
        <stp>EARN_FOR_COMMON</stp>
        <stp>FY 2011</stp>
        <stp>FY 2011</stp>
        <stp>[FA1_ididqeuc.xlsx]Income - Adjusted!R89C23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89" s="2"/>
      </tp>
      <tp>
        <v>180.64869999999999</v>
        <stp/>
        <stp>##V3_BDHV12</stp>
        <stp>RMS FP Equity</stp>
        <stp>EARN_FOR_COMMON</stp>
        <stp>FY 2001</stp>
        <stp>FY 2001</stp>
        <stp>[FA1_ididqeuc.xlsx]Income - Adjusted!R89C13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89" s="2"/>
      </tp>
      <tp t="s">
        <v>—</v>
        <stp/>
        <stp>##V3_BDHV12</stp>
        <stp>RMS FP Equity</stp>
        <stp>IS_INT_INC</stp>
        <stp>FY 1995</stp>
        <stp>FY 1995</stp>
        <stp>[FA1_ididqeuc.xlsx]Income - Adjusted!R42C7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42" s="2"/>
      </tp>
      <tp>
        <v>395.92660000000001</v>
        <stp/>
        <stp>##V3_BDHV12</stp>
        <stp>RMS FP Equity</stp>
        <stp>IS_OPERATING_EXPN</stp>
        <stp>FY 2000</stp>
        <stp>FY 2000</stp>
        <stp>[FA1_ididqeuc.xlsx]Income - Adjusted!R19C12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9" s="2"/>
      </tp>
      <tp>
        <v>1212.2573</v>
        <stp/>
        <stp>##V3_BDHV12</stp>
        <stp>RMS FP Equity</stp>
        <stp>IS_OPERATING_EXPN</stp>
        <stp>FY 2010</stp>
        <stp>FY 2010</stp>
        <stp>[FA1_ididqeuc.xlsx]Income - Adjusted!R19C22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9" s="2"/>
      </tp>
      <tp>
        <v>-63.089199999999998</v>
        <stp/>
        <stp>##V3_BDHV12</stp>
        <stp>RMS FP Equity</stp>
        <stp>IS_DEFERRED_INCOME_TAX_BENEFIT</stp>
        <stp>FY 2016</stp>
        <stp>FY 2016</stp>
        <stp>[FA1_ididqeuc.xlsx]Income - Adjusted!R69C28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69" s="2"/>
      </tp>
      <tp>
        <v>-23.046299999999999</v>
        <stp/>
        <stp>##V3_BDHV12</stp>
        <stp>RMS FP Equity</stp>
        <stp>IS_DEFERRED_INCOME_TAX_BENEFIT</stp>
        <stp>FY 2017</stp>
        <stp>FY 2017</stp>
        <stp>[FA1_ididqeuc.xlsx]Income - Adjusted!R69C29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69" s="2"/>
      </tp>
      <tp>
        <v>-48.622599999999998</v>
        <stp/>
        <stp>##V3_BDHV12</stp>
        <stp>RMS FP Equity</stp>
        <stp>IS_DEFERRED_INCOME_TAX_BENEFIT</stp>
        <stp>FY 2014</stp>
        <stp>FY 2014</stp>
        <stp>[FA1_ididqeuc.xlsx]Income - Adjusted!R69C26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69" s="2"/>
      </tp>
      <tp>
        <v>-4.3289999999999997</v>
        <stp/>
        <stp>##V3_BDHV12</stp>
        <stp>RMS FP Equity</stp>
        <stp>IS_DEFERRED_INCOME_TAX_BENEFIT</stp>
        <stp>FY 2015</stp>
        <stp>FY 2015</stp>
        <stp>[FA1_ididqeuc.xlsx]Income - Adjusted!R69C27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69" s="2"/>
      </tp>
      <tp>
        <v>-63.0077</v>
        <stp/>
        <stp>##V3_BDHV12</stp>
        <stp>RMS FP Equity</stp>
        <stp>IS_DEFERRED_INCOME_TAX_BENEFIT</stp>
        <stp>FY 2012</stp>
        <stp>FY 2012</stp>
        <stp>[FA1_ididqeuc.xlsx]Income - Adjusted!R69C24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69" s="2"/>
      </tp>
      <tp>
        <v>-42.506</v>
        <stp/>
        <stp>##V3_BDHV12</stp>
        <stp>RMS FP Equity</stp>
        <stp>IS_DEFERRED_INCOME_TAX_BENEFIT</stp>
        <stp>FY 2013</stp>
        <stp>FY 2013</stp>
        <stp>[FA1_ididqeuc.xlsx]Income - Adjusted!R69C25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69" s="2"/>
      </tp>
      <tp>
        <v>-7.2964000000000002</v>
        <stp/>
        <stp>##V3_BDHV12</stp>
        <stp>RMS FP Equity</stp>
        <stp>IS_DEFERRED_INCOME_TAX_BENEFIT</stp>
        <stp>FY 2010</stp>
        <stp>FY 2010</stp>
        <stp>[FA1_ididqeuc.xlsx]Income - Adjusted!R69C22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69" s="2"/>
      </tp>
      <tp>
        <v>3.7595000000000001</v>
        <stp/>
        <stp>##V3_BDHV12</stp>
        <stp>RMS FP Equity</stp>
        <stp>IS_DEFERRED_INCOME_TAX_BENEFIT</stp>
        <stp>FY 2011</stp>
        <stp>FY 2011</stp>
        <stp>[FA1_ididqeuc.xlsx]Income - Adjusted!R69C23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69" s="2"/>
      </tp>
      <tp>
        <v>-5.2952000000000004</v>
        <stp/>
        <stp>##V3_BDHV12</stp>
        <stp>RMS FP Equity</stp>
        <stp>IS_DEFERRED_INCOME_TAX_BENEFIT</stp>
        <stp>FY 2008</stp>
        <stp>FY 2008</stp>
        <stp>[FA1_ididqeuc.xlsx]Income - Adjusted!R69C20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69" s="2"/>
      </tp>
      <tp>
        <v>-18.127700000000001</v>
        <stp/>
        <stp>##V3_BDHV12</stp>
        <stp>RMS FP Equity</stp>
        <stp>IS_DEFERRED_INCOME_TAX_BENEFIT</stp>
        <stp>FY 2009</stp>
        <stp>FY 2009</stp>
        <stp>[FA1_ididqeuc.xlsx]Income - Adjusted!R69C21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69" s="2"/>
      </tp>
      <tp t="s">
        <v>—</v>
        <stp/>
        <stp>##V3_BDHV12</stp>
        <stp>RMS FP Equity</stp>
        <stp>IS_OTHER_OPERATING_EXPENSES</stp>
        <stp>FY 1994</stp>
        <stp>FY 1994</stp>
        <stp>[FA1_ididqeuc.xlsx]Income - Adjusted!R32C6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32" s="2"/>
      </tp>
      <tp>
        <v>33.362499999999997</v>
        <stp/>
        <stp>##V3_BDHV12</stp>
        <stp>RMS FP Equity</stp>
        <stp>EARN_FOR_COMMON</stp>
        <stp>FY 1992</stp>
        <stp>FY 1992</stp>
        <stp>[FA1_ididqeuc.xlsx]Income - Adjusted!R86C4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86" s="2"/>
      </tp>
      <tp>
        <v>2.6318000000000001</v>
        <stp/>
        <stp>##V3_BDHV12</stp>
        <stp>RMS FP Equity</stp>
        <stp>INCOME_LOSS_FROM_AFFILIATES</stp>
        <stp>FY 1991</stp>
        <stp>FY 1991</stp>
        <stp>[FA1_ididqeuc.xlsx]Income - Adjusted!R46C3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46" s="2"/>
      </tp>
      <tp>
        <v>77.308300000000003</v>
        <stp/>
        <stp>##V3_BDHV12</stp>
        <stp>RMS FP Equity</stp>
        <stp>IS_INC_TAX_EXP</stp>
        <stp>FY 1998</stp>
        <stp>FY 1998</stp>
        <stp>[FA1_ididqeuc.xlsx]Income - Adjusted!R65C10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65" s="2"/>
      </tp>
      <tp>
        <v>235.48939999999999</v>
        <stp/>
        <stp>##V3_BDHV12</stp>
        <stp>RMS FP Equity</stp>
        <stp>IS_INC_TAX_EXP</stp>
        <stp>FY 2008</stp>
        <stp>FY 2008</stp>
        <stp>[FA1_ididqeuc.xlsx]Income - Adjusted!R65C20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65" s="2"/>
      </tp>
      <tp t="s">
        <v>—</v>
        <stp/>
        <stp>##V3_BDHV12</stp>
        <stp>RMS FP Equity</stp>
        <stp>IS_ABNORMAL_ITEM</stp>
        <stp>FY 1997</stp>
        <stp>FY 1997</stp>
        <stp>[FA1_ididqeuc.xlsx]Income - Adjusted!R52C9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52" s="2"/>
      </tp>
      <tp t="s">
        <v>—</v>
        <stp/>
        <stp>##V3_BDHV12</stp>
        <stp>RMS FP Equity</stp>
        <stp>IS_ABNORMAL_ITEM</stp>
        <stp>FY 1996</stp>
        <stp>FY 1996</stp>
        <stp>[FA1_ididqeuc.xlsx]Income - Adjusted!R52C8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52" s="2"/>
      </tp>
      <tp t="s">
        <v>—</v>
        <stp/>
        <stp>##V3_BDHV12</stp>
        <stp>RMS FP Equity</stp>
        <stp>IS_ABNORMAL_ITEM</stp>
        <stp>FY 1995</stp>
        <stp>FY 1995</stp>
        <stp>[FA1_ididqeuc.xlsx]Income - Adjusted!R52C7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52" s="2"/>
      </tp>
      <tp>
        <v>0</v>
        <stp/>
        <stp>##V3_BDHV12</stp>
        <stp>RMS FP Equity</stp>
        <stp>IS_ABNORMAL_ITEM</stp>
        <stp>FY 1994</stp>
        <stp>FY 1994</stp>
        <stp>[FA1_ididqeuc.xlsx]Income - Adjusted!R52C6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52" s="2"/>
      </tp>
      <tp>
        <v>0</v>
        <stp/>
        <stp>##V3_BDHV12</stp>
        <stp>RMS FP Equity</stp>
        <stp>IS_ABNORMAL_ITEM</stp>
        <stp>FY 1993</stp>
        <stp>FY 1993</stp>
        <stp>[FA1_ididqeuc.xlsx]Income - Adjusted!R52C5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52" s="2"/>
      </tp>
      <tp t="s">
        <v>—</v>
        <stp/>
        <stp>##V3_BDHV12</stp>
        <stp>RMS FP Equity</stp>
        <stp>IS_ABNORMAL_ITEM</stp>
        <stp>FY 1992</stp>
        <stp>FY 1992</stp>
        <stp>[FA1_ididqeuc.xlsx]Income - Adjusted!R52C4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52" s="2"/>
      </tp>
      <tp t="s">
        <v>—</v>
        <stp/>
        <stp>##V3_BDHV12</stp>
        <stp>RMS FP Equity</stp>
        <stp>IS_ABNORMAL_ITEM</stp>
        <stp>FY 1991</stp>
        <stp>FY 1991</stp>
        <stp>[FA1_ididqeuc.xlsx]Income - Adjusted!R52C3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52" s="2"/>
      </tp>
      <tp>
        <v>562.73889999999994</v>
        <stp/>
        <stp>##V3_BDHV12</stp>
        <stp>RMS FP Equity</stp>
        <stp>EARN_FOR_COMMON</stp>
        <stp>FY 2010</stp>
        <stp>FY 2010</stp>
        <stp>[FA1_ididqeuc.xlsx]Income - Adjusted!R89C22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89" s="2"/>
      </tp>
      <tp>
        <v>161.6199</v>
        <stp/>
        <stp>##V3_BDHV12</stp>
        <stp>RMS FP Equity</stp>
        <stp>EARN_FOR_COMMON</stp>
        <stp>FY 2000</stp>
        <stp>FY 2000</stp>
        <stp>[FA1_ididqeuc.xlsx]Income - Adjusted!R89C12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89" s="2"/>
      </tp>
      <tp t="s">
        <v>—</v>
        <stp/>
        <stp>##V3_BDHV12</stp>
        <stp>RMS FP Equity</stp>
        <stp>IS_INT_INC</stp>
        <stp>FY 1994</stp>
        <stp>FY 1994</stp>
        <stp>[FA1_ididqeuc.xlsx]Income - Adjusted!R42C6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42" s="2"/>
      </tp>
      <tp>
        <v>421.12549999999999</v>
        <stp/>
        <stp>##V3_BDHV12</stp>
        <stp>RMS FP Equity</stp>
        <stp>IS_OPERATING_EXPN</stp>
        <stp>FY 2001</stp>
        <stp>FY 2001</stp>
        <stp>[FA1_ididqeuc.xlsx]Income - Adjusted!R19C13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9" s="2"/>
      </tp>
      <tp>
        <v>1486.3893</v>
        <stp/>
        <stp>##V3_BDHV12</stp>
        <stp>RMS FP Equity</stp>
        <stp>IS_OPERATING_EXPN</stp>
        <stp>FY 2011</stp>
        <stp>FY 2011</stp>
        <stp>[FA1_ididqeuc.xlsx]Income - Adjusted!R19C23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9" s="2"/>
      </tp>
      <tp t="s">
        <v>—</v>
        <stp/>
        <stp>##V3_BDHV12</stp>
        <stp>RMS FP Equity</stp>
        <stp>IS_CURRENT_INCOME_TAX_BENEFIT</stp>
        <stp>FY 1991</stp>
        <stp>FY 1991</stp>
        <stp>[FA1_ididqeuc.xlsx]Income - Adjusted!R67C3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67" s="2"/>
      </tp>
      <tp t="s">
        <v>—</v>
        <stp/>
        <stp>##V3_BDHV12</stp>
        <stp>RMS FP Equity</stp>
        <stp>IS_OTHER_OPERATING_EXPENSES</stp>
        <stp>FY 1993</stp>
        <stp>FY 1993</stp>
        <stp>[FA1_ididqeuc.xlsx]Income - Adjusted!R32C5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32" s="2"/>
      </tp>
      <tp t="s">
        <v>—</v>
        <stp/>
        <stp>##V3_BDHV12</stp>
        <stp>RMS FP Equity</stp>
        <stp>IS_CURRENT_INCOME_TAX_BENEFIT</stp>
        <stp>FY 1994</stp>
        <stp>FY 1994</stp>
        <stp>[FA1_ididqeuc.xlsx]Income - Adjusted!R67C6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67" s="2"/>
      </tp>
      <tp t="s">
        <v>—</v>
        <stp/>
        <stp>##V3_BDHV12</stp>
        <stp>RMS FP Equity</stp>
        <stp>IS_CURRENT_INCOME_TAX_BENEFIT</stp>
        <stp>FY 1995</stp>
        <stp>FY 1995</stp>
        <stp>[FA1_ididqeuc.xlsx]Income - Adjusted!R67C7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67" s="2"/>
      </tp>
      <tp t="s">
        <v>—</v>
        <stp/>
        <stp>##V3_BDHV12</stp>
        <stp>RMS FP Equity</stp>
        <stp>IS_CURRENT_INCOME_TAX_BENEFIT</stp>
        <stp>FY 1992</stp>
        <stp>FY 1992</stp>
        <stp>[FA1_ididqeuc.xlsx]Income - Adjusted!R67C4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67" s="2"/>
      </tp>
      <tp t="s">
        <v>—</v>
        <stp/>
        <stp>##V3_BDHV12</stp>
        <stp>RMS FP Equity</stp>
        <stp>IS_SH_PRO_EQY_MT_INV_NET_OF_TAX</stp>
        <stp>FY 1997</stp>
        <stp>FY 1997</stp>
        <stp>[FA1_ididqeuc.xlsx]Income - Adjusted!R71C9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71" s="2"/>
      </tp>
      <tp t="s">
        <v>—</v>
        <stp/>
        <stp>##V3_BDHV12</stp>
        <stp>RMS FP Equity</stp>
        <stp>IS_CURRENT_INCOME_TAX_BENEFIT</stp>
        <stp>FY 1993</stp>
        <stp>FY 1993</stp>
        <stp>[FA1_ididqeuc.xlsx]Income - Adjusted!R67C5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67" s="2"/>
      </tp>
      <tp>
        <v>81.080600000000004</v>
        <stp/>
        <stp>##V3_BDHV12</stp>
        <stp>RMS FP Equity</stp>
        <stp>EARN_FOR_COMMON</stp>
        <stp>FY 1995</stp>
        <stp>FY 1995</stp>
        <stp>[FA1_ididqeuc.xlsx]Income - Adjusted!R86C7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86" s="2"/>
      </tp>
      <tp t="s">
        <v>—</v>
        <stp/>
        <stp>##V3_BDHV12</stp>
        <stp>RMS FP Equity</stp>
        <stp>IS_CURRENT_INCOME_TAX_BENEFIT</stp>
        <stp>FY 1996</stp>
        <stp>FY 1996</stp>
        <stp>[FA1_ididqeuc.xlsx]Income - Adjusted!R67C8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67" s="2"/>
      </tp>
      <tp t="s">
        <v>—</v>
        <stp/>
        <stp>##V3_BDHV12</stp>
        <stp>RMS FP Equity</stp>
        <stp>IS_CURRENT_INCOME_TAX_BENEFIT</stp>
        <stp>FY 1997</stp>
        <stp>FY 1997</stp>
        <stp>[FA1_ididqeuc.xlsx]Income - Adjusted!R67C9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67" s="2"/>
      </tp>
      <tp>
        <v>4.4097999999999997</v>
        <stp/>
        <stp>##V3_BDHV12</stp>
        <stp>RMS FP Equity</stp>
        <stp>MIN_NONCONTROL_INTEREST_CREDITS</stp>
        <stp>FY 1997</stp>
        <stp>FY 1997</stp>
        <stp>[FA1_ididqeuc.xlsx]Income - Adjusted!R80C9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80" s="2"/>
      </tp>
      <tp>
        <v>96.190700000000007</v>
        <stp/>
        <stp>##V3_BDHV12</stp>
        <stp>RMS FP Equity</stp>
        <stp>IS_INC_TAX_EXP</stp>
        <stp>FY 2001</stp>
        <stp>FY 2001</stp>
        <stp>[FA1_ididqeuc.xlsx]Income - Adjusted!R65C13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65" s="2"/>
      </tp>
      <tp>
        <v>403.5181</v>
        <stp/>
        <stp>##V3_BDHV12</stp>
        <stp>RMS FP Equity</stp>
        <stp>IS_INC_TAX_EXP</stp>
        <stp>FY 2011</stp>
        <stp>FY 2011</stp>
        <stp>[FA1_ididqeuc.xlsx]Income - Adjusted!R65C23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65" s="2"/>
      </tp>
      <tp>
        <v>405.27460000000002</v>
        <stp/>
        <stp>##V3_BDHV12</stp>
        <stp>RMS FP Equity</stp>
        <stp>EARN_FOR_COMMON</stp>
        <stp>FY 2009</stp>
        <stp>FY 2009</stp>
        <stp>[FA1_ididqeuc.xlsx]Income - Adjusted!R89C21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89" s="2"/>
      </tp>
      <tp>
        <v>126.73650000000001</v>
        <stp/>
        <stp>##V3_BDHV12</stp>
        <stp>RMS FP Equity</stp>
        <stp>EARN_FOR_COMMON</stp>
        <stp>FY 1999</stp>
        <stp>FY 1999</stp>
        <stp>[FA1_ididqeuc.xlsx]Income - Adjusted!R89C11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89" s="2"/>
      </tp>
      <tp t="s">
        <v>—</v>
        <stp/>
        <stp>##V3_BDHV12</stp>
        <stp>RMS FP Equity</stp>
        <stp>IS_INT_INC</stp>
        <stp>FY 1993</stp>
        <stp>FY 1993</stp>
        <stp>[FA1_ididqeuc.xlsx]Income - Adjusted!R42C5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42" s="2"/>
      </tp>
      <tp>
        <v>329.40949999999998</v>
        <stp/>
        <stp>##V3_BDHV12</stp>
        <stp>RMS FP Equity</stp>
        <stp>IS_OPERATING_EXPN</stp>
        <stp>FY 1998</stp>
        <stp>FY 1998</stp>
        <stp>[FA1_ididqeuc.xlsx]Income - Adjusted!R19C10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9" s="2"/>
      </tp>
      <tp>
        <v>971.52250000000004</v>
        <stp/>
        <stp>##V3_BDHV12</stp>
        <stp>RMS FP Equity</stp>
        <stp>IS_OPERATING_EXPN</stp>
        <stp>FY 2008</stp>
        <stp>FY 2008</stp>
        <stp>[FA1_ididqeuc.xlsx]Income - Adjusted!R19C20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9" s="2"/>
      </tp>
      <tp t="s">
        <v>—</v>
        <stp/>
        <stp>##V3_BDHV12</stp>
        <stp>RMS FP Equity</stp>
        <stp>IS_OTHER_OPERATING_EXPENSES</stp>
        <stp>FY 1992</stp>
        <stp>FY 1992</stp>
        <stp>[FA1_ididqeuc.xlsx]Income - Adjusted!R32C4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32" s="2"/>
      </tp>
      <tp t="s">
        <v>—</v>
        <stp/>
        <stp>##V3_BDHV12</stp>
        <stp>RMS FP Equity</stp>
        <stp>IS_SH_PRO_EQY_MT_INV_NET_OF_TAX</stp>
        <stp>FY 1996</stp>
        <stp>FY 1996</stp>
        <stp>[FA1_ididqeuc.xlsx]Income - Adjusted!R71C8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71" s="2"/>
      </tp>
      <tp>
        <v>52.566499999999998</v>
        <stp/>
        <stp>##V3_BDHV12</stp>
        <stp>RMS FP Equity</stp>
        <stp>EARN_FOR_COMMON</stp>
        <stp>FY 1994</stp>
        <stp>FY 1994</stp>
        <stp>[FA1_ididqeuc.xlsx]Income - Adjusted!R86C6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86" s="2"/>
      </tp>
      <tp>
        <v>4.6748000000000003</v>
        <stp/>
        <stp>##V3_BDHV12</stp>
        <stp>RMS FP Equity</stp>
        <stp>MIN_NONCONTROL_INTEREST_CREDITS</stp>
        <stp>FY 1996</stp>
        <stp>FY 1996</stp>
        <stp>[FA1_ididqeuc.xlsx]Income - Adjusted!R80C8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80" s="2"/>
      </tp>
      <tp>
        <v>106.6156</v>
        <stp/>
        <stp>##V3_BDHV12</stp>
        <stp>RMS FP Equity</stp>
        <stp>IS_INC_TAX_EXP</stp>
        <stp>FY 2000</stp>
        <stp>FY 2000</stp>
        <stp>[FA1_ididqeuc.xlsx]Income - Adjusted!R65C12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65" s="2"/>
      </tp>
      <tp>
        <v>293.18110000000001</v>
        <stp/>
        <stp>##V3_BDHV12</stp>
        <stp>RMS FP Equity</stp>
        <stp>IS_INC_TAX_EXP</stp>
        <stp>FY 2010</stp>
        <stp>FY 2010</stp>
        <stp>[FA1_ididqeuc.xlsx]Income - Adjusted!R65C22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65" s="2"/>
      </tp>
      <tp>
        <v>426.85210000000001</v>
        <stp/>
        <stp>##V3_BDHV12</stp>
        <stp>RMS FP Equity</stp>
        <stp>EARN_FOR_COMMON</stp>
        <stp>FY 2008</stp>
        <stp>FY 2008</stp>
        <stp>[FA1_ididqeuc.xlsx]Income - Adjusted!R89C20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89" s="2"/>
      </tp>
      <tp>
        <v>99.352699999999999</v>
        <stp/>
        <stp>##V3_BDHV12</stp>
        <stp>RMS FP Equity</stp>
        <stp>EARN_FOR_COMMON</stp>
        <stp>FY 1998</stp>
        <stp>FY 1998</stp>
        <stp>[FA1_ididqeuc.xlsx]Income - Adjusted!R89C10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89" s="2"/>
      </tp>
      <tp t="s">
        <v>—</v>
        <stp/>
        <stp>##V3_BDHV12</stp>
        <stp>RMS FP Equity</stp>
        <stp>IS_INT_INC</stp>
        <stp>FY 1992</stp>
        <stp>FY 1992</stp>
        <stp>[FA1_ididqeuc.xlsx]Income - Adjusted!R42C4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42" s="2"/>
      </tp>
      <tp>
        <v>373.28769999999997</v>
        <stp/>
        <stp>##V3_BDHV12</stp>
        <stp>RMS FP Equity</stp>
        <stp>IS_OPERATING_EXPN</stp>
        <stp>FY 1999</stp>
        <stp>FY 1999</stp>
        <stp>[FA1_ididqeuc.xlsx]Income - Adjusted!R19C11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9" s="2"/>
      </tp>
      <tp>
        <v>1041.5047999999999</v>
        <stp/>
        <stp>##V3_BDHV12</stp>
        <stp>RMS FP Equity</stp>
        <stp>IS_OPERATING_EXPN</stp>
        <stp>FY 2009</stp>
        <stp>FY 2009</stp>
        <stp>[FA1_ididqeuc.xlsx]Income - Adjusted!R19C21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9" s="2"/>
      </tp>
      <tp t="s">
        <v>—</v>
        <stp/>
        <stp>##V3_BDHV12</stp>
        <stp>RMS FP Equity</stp>
        <stp>IS_DEFERRED_INCOME_TAX_BENEFIT</stp>
        <stp>FY 2006</stp>
        <stp>FY 2006</stp>
        <stp>[FA1_ididqeuc.xlsx]Income - Adjusted!R69C18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69" s="2"/>
      </tp>
      <tp t="s">
        <v>—</v>
        <stp/>
        <stp>##V3_BDHV12</stp>
        <stp>RMS FP Equity</stp>
        <stp>IS_DEFERRED_INCOME_TAX_BENEFIT</stp>
        <stp>FY 2007</stp>
        <stp>FY 2007</stp>
        <stp>[FA1_ididqeuc.xlsx]Income - Adjusted!R69C19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69" s="2"/>
      </tp>
      <tp t="s">
        <v>—</v>
        <stp/>
        <stp>##V3_BDHV12</stp>
        <stp>RMS FP Equity</stp>
        <stp>IS_DEFERRED_INCOME_TAX_BENEFIT</stp>
        <stp>FY 2004</stp>
        <stp>FY 2004</stp>
        <stp>[FA1_ididqeuc.xlsx]Income - Adjusted!R69C16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69" s="2"/>
      </tp>
      <tp t="s">
        <v>—</v>
        <stp/>
        <stp>##V3_BDHV12</stp>
        <stp>RMS FP Equity</stp>
        <stp>IS_DEFERRED_INCOME_TAX_BENEFIT</stp>
        <stp>FY 2005</stp>
        <stp>FY 2005</stp>
        <stp>[FA1_ididqeuc.xlsx]Income - Adjusted!R69C17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69" s="2"/>
      </tp>
      <tp t="s">
        <v>—</v>
        <stp/>
        <stp>##V3_BDHV12</stp>
        <stp>RMS FP Equity</stp>
        <stp>IS_DEFERRED_INCOME_TAX_BENEFIT</stp>
        <stp>FY 2002</stp>
        <stp>FY 2002</stp>
        <stp>[FA1_ididqeuc.xlsx]Income - Adjusted!R69C14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69" s="2"/>
      </tp>
      <tp t="s">
        <v>—</v>
        <stp/>
        <stp>##V3_BDHV12</stp>
        <stp>RMS FP Equity</stp>
        <stp>IS_DEFERRED_INCOME_TAX_BENEFIT</stp>
        <stp>FY 2003</stp>
        <stp>FY 2003</stp>
        <stp>[FA1_ididqeuc.xlsx]Income - Adjusted!R69C15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69" s="2"/>
      </tp>
      <tp t="s">
        <v>—</v>
        <stp/>
        <stp>##V3_BDHV12</stp>
        <stp>RMS FP Equity</stp>
        <stp>IS_DEFERRED_INCOME_TAX_BENEFIT</stp>
        <stp>FY 2000</stp>
        <stp>FY 2000</stp>
        <stp>[FA1_ididqeuc.xlsx]Income - Adjusted!R69C12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69" s="2"/>
      </tp>
      <tp t="s">
        <v>—</v>
        <stp/>
        <stp>##V3_BDHV12</stp>
        <stp>RMS FP Equity</stp>
        <stp>IS_DEFERRED_INCOME_TAX_BENEFIT</stp>
        <stp>FY 2001</stp>
        <stp>FY 2001</stp>
        <stp>[FA1_ididqeuc.xlsx]Income - Adjusted!R69C13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69" s="2"/>
      </tp>
      <tp t="s">
        <v>—</v>
        <stp/>
        <stp>##V3_BDHV12</stp>
        <stp>RMS FP Equity</stp>
        <stp>IS_DEFERRED_INCOME_TAX_BENEFIT</stp>
        <stp>FY 1998</stp>
        <stp>FY 1998</stp>
        <stp>[FA1_ididqeuc.xlsx]Income - Adjusted!R69C10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69" s="2"/>
      </tp>
      <tp t="s">
        <v>—</v>
        <stp/>
        <stp>##V3_BDHV12</stp>
        <stp>RMS FP Equity</stp>
        <stp>IS_DEFERRED_INCOME_TAX_BENEFIT</stp>
        <stp>FY 1999</stp>
        <stp>FY 1999</stp>
        <stp>[FA1_ididqeuc.xlsx]Income - Adjusted!R69C11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69" s="2"/>
      </tp>
      <tp t="s">
        <v>—</v>
        <stp/>
        <stp>##V3_BDHV12</stp>
        <stp>RMS FP Equity</stp>
        <stp>IS_DEPRECIATION_AND_AMORTIZATION</stp>
        <stp>FY 1994</stp>
        <stp>FY 1994</stp>
        <stp>[FA1_ididqeuc.xlsx]Income - Adjusted!R28C6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8" s="2"/>
      </tp>
      <tp>
        <v>61.044699999999999</v>
        <stp/>
        <stp>##V3_BDHV12</stp>
        <stp>RMS FP Equity</stp>
        <stp>IS_OPER_INC</stp>
        <stp>FY 1992</stp>
        <stp>FY 1992</stp>
        <stp>[FA1_ididqeuc.xlsx]Income - Adjusted!R34C4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34" s="2"/>
      </tp>
      <tp>
        <v>208.0266</v>
        <stp/>
        <stp>##V3_BDHV12</stp>
        <stp>RMS FP Equity</stp>
        <stp>PRETAX_INC</stp>
        <stp>FY 1999</stp>
        <stp>FY 1999</stp>
        <stp>[FA1_ididqeuc.xlsx]Income - Adjusted!R50C11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50" s="2"/>
      </tp>
      <tp>
        <v>631.6798</v>
        <stp/>
        <stp>##V3_BDHV12</stp>
        <stp>RMS FP Equity</stp>
        <stp>PRETAX_INC</stp>
        <stp>FY 2009</stp>
        <stp>FY 2009</stp>
        <stp>[FA1_ididqeuc.xlsx]Income - Adjusted!R50C21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50" s="2"/>
      </tp>
      <tp>
        <v>92.3797</v>
        <stp/>
        <stp>##V3_BDHV12</stp>
        <stp>RMS FP Equity</stp>
        <stp>NI_INCLUDING_MINORITY_INT_RATIO</stp>
        <stp>FY 1995</stp>
        <stp>FY 1995</stp>
        <stp>[FA1_ididqeuc.xlsx]Income - Adjusted!R78C7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78" s="2"/>
      </tp>
      <tp>
        <v>1064.2075</v>
        <stp/>
        <stp>##V3_BDHV12</stp>
        <stp>RMS FP Equity</stp>
        <stp>IS_SG&amp;A_EXPENSE</stp>
        <stp>FY 2010</stp>
        <stp>FY 2010</stp>
        <stp>[FA1_ididqeuc.xlsx]Income - Adjusted!R21C22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1" s="2"/>
      </tp>
      <tp t="s">
        <v>—</v>
        <stp/>
        <stp>##V3_BDHV12</stp>
        <stp>RMS FP Equity</stp>
        <stp>IS_SG&amp;A_EXPENSE</stp>
        <stp>FY 2000</stp>
        <stp>FY 2000</stp>
        <stp>[FA1_ididqeuc.xlsx]Income - Adjusted!R21C12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1" s="2"/>
      </tp>
      <tp>
        <v>0.81289999999999996</v>
        <stp/>
        <stp>##V3_BDHV12</stp>
        <stp>RMS FP Equity</stp>
        <stp>IS_EARN_BEF_XO_ITEMS_PER_SH</stp>
        <stp>FY 1996</stp>
        <stp>FY 1996</stp>
        <stp>[FA1_ididqeuc.xlsx]Income - Adjusted!R99C8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H99" s="2"/>
      </tp>
      <tp t="s">
        <v>—</v>
        <stp/>
        <stp>##V3_BDHV12</stp>
        <stp>RMS FP Equity</stp>
        <stp>IS_DEPRECIATION_AND_AMORTIZATION</stp>
        <stp>FY 1995</stp>
        <stp>FY 1995</stp>
        <stp>[FA1_ididqeuc.xlsx]Income - Adjusted!R28C7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8" s="2"/>
      </tp>
      <tp>
        <v>62.5486</v>
        <stp/>
        <stp>##V3_BDHV12</stp>
        <stp>RMS FP Equity</stp>
        <stp>IS_OPER_INC</stp>
        <stp>FY 1993</stp>
        <stp>FY 1993</stp>
        <stp>[FA1_ididqeuc.xlsx]Income - Adjusted!R34C5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34" s="2"/>
      </tp>
      <tp>
        <v>179.8879</v>
        <stp/>
        <stp>##V3_BDHV12</stp>
        <stp>RMS FP Equity</stp>
        <stp>PRETAX_INC</stp>
        <stp>FY 1998</stp>
        <stp>FY 1998</stp>
        <stp>[FA1_ididqeuc.xlsx]Income - Adjusted!R50C10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50" s="2"/>
      </tp>
      <tp>
        <v>686.61120000000005</v>
        <stp/>
        <stp>##V3_BDHV12</stp>
        <stp>RMS FP Equity</stp>
        <stp>PRETAX_INC</stp>
        <stp>FY 2008</stp>
        <stp>FY 2008</stp>
        <stp>[FA1_ididqeuc.xlsx]Income - Adjusted!R50C20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50" s="2"/>
      </tp>
      <tp>
        <v>60.695399999999999</v>
        <stp/>
        <stp>##V3_BDHV12</stp>
        <stp>RMS FP Equity</stp>
        <stp>NI_INCLUDING_MINORITY_INT_RATIO</stp>
        <stp>FY 1994</stp>
        <stp>FY 1994</stp>
        <stp>[FA1_ididqeuc.xlsx]Income - Adjusted!R78C6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78" s="2"/>
      </tp>
      <tp>
        <v>1316.7946999999999</v>
        <stp/>
        <stp>##V3_BDHV12</stp>
        <stp>RMS FP Equity</stp>
        <stp>IS_SG&amp;A_EXPENSE</stp>
        <stp>FY 2011</stp>
        <stp>FY 2011</stp>
        <stp>[FA1_ididqeuc.xlsx]Income - Adjusted!R21C23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1" s="2"/>
      </tp>
      <tp t="s">
        <v>—</v>
        <stp/>
        <stp>##V3_BDHV12</stp>
        <stp>RMS FP Equity</stp>
        <stp>IS_SG&amp;A_EXPENSE</stp>
        <stp>FY 2001</stp>
        <stp>FY 2001</stp>
        <stp>[FA1_ididqeuc.xlsx]Income - Adjusted!R21C13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1" s="2"/>
      </tp>
      <tp>
        <v>19.542899999999999</v>
        <stp/>
        <stp>##V3_BDHV12</stp>
        <stp>RMS FP Equity</stp>
        <stp>IS_INC_TAX_EXP</stp>
        <stp>FY 1991</stp>
        <stp>FY 1991</stp>
        <stp>[FA1_ididqeuc.xlsx]Income - Adjusted!R65C3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5" s="2"/>
      </tp>
      <tp>
        <v>0.82709999999999995</v>
        <stp/>
        <stp>##V3_BDHV12</stp>
        <stp>RMS FP Equity</stp>
        <stp>IS_EARN_BEF_XO_ITEMS_PER_SH</stp>
        <stp>FY 1997</stp>
        <stp>FY 1997</stp>
        <stp>[FA1_ididqeuc.xlsx]Income - Adjusted!R99C9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I99" s="2"/>
      </tp>
      <tp t="s">
        <v>—</v>
        <stp/>
        <stp>##V3_BDHV12</stp>
        <stp>RMS FP Equity</stp>
        <stp>IS_DIL_EPS_BEF_XO</stp>
        <stp>FY 1991</stp>
        <stp>FY 1991</stp>
        <stp>[FA1_ididqeuc.xlsx]Income - Adjusted!R108C3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C108" s="2"/>
      </tp>
      <tp t="s">
        <v>—</v>
        <stp/>
        <stp>##V3_BDHV12</stp>
        <stp>RMS FP Equity</stp>
        <stp>IS_DEPRECIATION_AND_AMORTIZATION</stp>
        <stp>FY 1992</stp>
        <stp>FY 1992</stp>
        <stp>[FA1_ididqeuc.xlsx]Income - Adjusted!R28C4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8" s="2"/>
      </tp>
      <tp>
        <v>103.18210000000001</v>
        <stp/>
        <stp>##V3_BDHV12</stp>
        <stp>RMS FP Equity</stp>
        <stp>IS_OPER_INC</stp>
        <stp>FY 1994</stp>
        <stp>FY 1994</stp>
        <stp>[FA1_ididqeuc.xlsx]Income - Adjusted!R34C6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34" s="2"/>
      </tp>
      <tp>
        <v>282.661</v>
        <stp/>
        <stp>##V3_BDHV12</stp>
        <stp>RMS FP Equity</stp>
        <stp>PRETAX_INC</stp>
        <stp>FY 2001</stp>
        <stp>FY 2001</stp>
        <stp>[FA1_ididqeuc.xlsx]Income - Adjusted!R50C13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50" s="2"/>
      </tp>
      <tp>
        <v>1252.8833999999999</v>
        <stp/>
        <stp>##V3_BDHV12</stp>
        <stp>RMS FP Equity</stp>
        <stp>PRETAX_INC</stp>
        <stp>FY 2011</stp>
        <stp>FY 2011</stp>
        <stp>[FA1_ididqeuc.xlsx]Income - Adjusted!R50C23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50" s="2"/>
      </tp>
      <tp>
        <v>41.593000000000004</v>
        <stp/>
        <stp>##V3_BDHV12</stp>
        <stp>RMS FP Equity</stp>
        <stp>NI_INCLUDING_MINORITY_INT_RATIO</stp>
        <stp>FY 1993</stp>
        <stp>FY 1993</stp>
        <stp>[FA1_ididqeuc.xlsx]Income - Adjusted!R78C5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78" s="2"/>
      </tp>
      <tp>
        <v>900.47850000000005</v>
        <stp/>
        <stp>##V3_BDHV12</stp>
        <stp>RMS FP Equity</stp>
        <stp>IS_SG&amp;A_EXPENSE</stp>
        <stp>FY 2008</stp>
        <stp>FY 2008</stp>
        <stp>[FA1_ididqeuc.xlsx]Income - Adjusted!R21C20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1" s="2"/>
      </tp>
      <tp t="s">
        <v>—</v>
        <stp/>
        <stp>##V3_BDHV12</stp>
        <stp>RMS FP Equity</stp>
        <stp>IS_SG&amp;A_EXPENSE</stp>
        <stp>FY 1998</stp>
        <stp>FY 1998</stp>
        <stp>[FA1_ididqeuc.xlsx]Income - Adjusted!R21C10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1" s="2"/>
      </tp>
      <tp>
        <v>207.4325</v>
        <stp/>
        <stp>##V3_BDHV12</stp>
        <stp>RMS FP Equity</stp>
        <stp>IS_COGS_TO_FE_AND_PP_AND_G</stp>
        <stp>FY 1991</stp>
        <stp>FY 1991</stp>
        <stp>[FA1_ididqeuc.xlsx]Income - Adjusted!R10C3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0" s="2"/>
      </tp>
      <tp t="s">
        <v>—</v>
        <stp/>
        <stp>##V3_BDHV12</stp>
        <stp>RMS FP Equity</stp>
        <stp>IS_DEPRECIATION_AND_AMORTIZATION</stp>
        <stp>FY 1993</stp>
        <stp>FY 1993</stp>
        <stp>[FA1_ididqeuc.xlsx]Income - Adjusted!R28C5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8" s="2"/>
      </tp>
      <tp>
        <v>137.37540000000001</v>
        <stp/>
        <stp>##V3_BDHV12</stp>
        <stp>RMS FP Equity</stp>
        <stp>IS_OPER_INC</stp>
        <stp>FY 1995</stp>
        <stp>FY 1995</stp>
        <stp>[FA1_ididqeuc.xlsx]Income - Adjusted!R34C7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34" s="2"/>
      </tp>
      <tp>
        <v>274.5145</v>
        <stp/>
        <stp>##V3_BDHV12</stp>
        <stp>RMS FP Equity</stp>
        <stp>PRETAX_INC</stp>
        <stp>FY 2000</stp>
        <stp>FY 2000</stp>
        <stp>[FA1_ididqeuc.xlsx]Income - Adjusted!R50C12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50" s="2"/>
      </tp>
      <tp>
        <v>874.9</v>
        <stp/>
        <stp>##V3_BDHV12</stp>
        <stp>RMS FP Equity</stp>
        <stp>PRETAX_INC</stp>
        <stp>FY 2010</stp>
        <stp>FY 2010</stp>
        <stp>[FA1_ididqeuc.xlsx]Income - Adjusted!R50C22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50" s="2"/>
      </tp>
      <tp>
        <v>36.562399999999997</v>
        <stp/>
        <stp>##V3_BDHV12</stp>
        <stp>RMS FP Equity</stp>
        <stp>NI_INCLUDING_MINORITY_INT_RATIO</stp>
        <stp>FY 1992</stp>
        <stp>FY 1992</stp>
        <stp>[FA1_ididqeuc.xlsx]Income - Adjusted!R78C4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78" s="2"/>
      </tp>
      <tp>
        <v>921.16489999999999</v>
        <stp/>
        <stp>##V3_BDHV12</stp>
        <stp>RMS FP Equity</stp>
        <stp>IS_SG&amp;A_EXPENSE</stp>
        <stp>FY 2009</stp>
        <stp>FY 2009</stp>
        <stp>[FA1_ididqeuc.xlsx]Income - Adjusted!R21C21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1" s="2"/>
      </tp>
      <tp t="s">
        <v>—</v>
        <stp/>
        <stp>##V3_BDHV12</stp>
        <stp>RMS FP Equity</stp>
        <stp>IS_SG&amp;A_EXPENSE</stp>
        <stp>FY 1999</stp>
        <stp>FY 1999</stp>
        <stp>[FA1_ididqeuc.xlsx]Income - Adjusted!R21C11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1" s="2"/>
      </tp>
      <tp>
        <v>9.7156000000000002</v>
        <stp/>
        <stp>##V3_BDHV12</stp>
        <stp>RMS FP Equity</stp>
        <stp>IS_INT_INC</stp>
        <stp>FY 2017</stp>
        <stp>FY 2017</stp>
        <stp>[FA1_ididqeuc.xlsx]Income - Adjusted!R42C29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42" s="2"/>
      </tp>
      <tp>
        <v>26.182200000000002</v>
        <stp/>
        <stp>##V3_BDHV12</stp>
        <stp>RMS FP Equity</stp>
        <stp>IS_INT_INC</stp>
        <stp>FY 2007</stp>
        <stp>FY 2007</stp>
        <stp>[FA1_ididqeuc.xlsx]Income - Adjusted!R42C19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42" s="2"/>
      </tp>
      <tp t="s">
        <v>—</v>
        <stp/>
        <stp>##V3_BDHV12</stp>
        <stp>RMS FP Equity</stp>
        <stp>IS_DIL_EPS_BEF_XO</stp>
        <stp>FY 1993</stp>
        <stp>FY 1993</stp>
        <stp>[FA1_ididqeuc.xlsx]Income - Adjusted!R108C5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E108" s="2"/>
      </tp>
      <tp>
        <v>384.35660000000001</v>
        <stp/>
        <stp>##V3_BDHV12</stp>
        <stp>RMS FP Equity</stp>
        <stp>PRETAX_INC</stp>
        <stp>FY 2003</stp>
        <stp>FY 2003</stp>
        <stp>[FA1_ididqeuc.xlsx]Income - Adjusted!R50C15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50" s="2"/>
      </tp>
      <tp>
        <v>1613.7655999999999</v>
        <stp/>
        <stp>##V3_BDHV12</stp>
        <stp>RMS FP Equity</stp>
        <stp>PRETAX_INC</stp>
        <stp>FY 2013</stp>
        <stp>FY 2013</stp>
        <stp>[FA1_ididqeuc.xlsx]Income - Adjusted!R50C25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50" s="2"/>
      </tp>
      <tp>
        <v>22.992699999999999</v>
        <stp/>
        <stp>##V3_BDHV12</stp>
        <stp>RMS FP Equity</stp>
        <stp>NI_INCLUDING_MINORITY_INT_RATIO</stp>
        <stp>FY 1991</stp>
        <stp>FY 1991</stp>
        <stp>[FA1_ididqeuc.xlsx]Income - Adjusted!R78C3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8" s="2"/>
      </tp>
      <tp>
        <v>1716.0051000000001</v>
        <stp/>
        <stp>##V3_BDHV12</stp>
        <stp>RMS FP Equity</stp>
        <stp>IS_SG&amp;A_EXPENSE</stp>
        <stp>FY 2014</stp>
        <stp>FY 2014</stp>
        <stp>[FA1_ididqeuc.xlsx]Income - Adjusted!R21C26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1" s="2"/>
      </tp>
      <tp t="s">
        <v>—</v>
        <stp/>
        <stp>##V3_BDHV12</stp>
        <stp>RMS FP Equity</stp>
        <stp>IS_SG&amp;A_EXPENSE</stp>
        <stp>FY 2004</stp>
        <stp>FY 2004</stp>
        <stp>[FA1_ididqeuc.xlsx]Income - Adjusted!R21C16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1" s="2"/>
      </tp>
      <tp t="s">
        <v>—</v>
        <stp/>
        <stp>##V3_BDHV12</stp>
        <stp>RMS FP Equity</stp>
        <stp>IS_COG_AND_SERVICES_SOLD</stp>
        <stp>FY 1996</stp>
        <stp>FY 1996</stp>
        <stp>[FA1_ididqeuc.xlsx]Income - Adjusted!R12C8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2" s="2"/>
      </tp>
      <tp t="s">
        <v>—</v>
        <stp/>
        <stp>##V3_BDHV12</stp>
        <stp>RMS FP Equity</stp>
        <stp>IS_OTHER_NON_OPERATING_INC_LOSS</stp>
        <stp>FY 2007</stp>
        <stp>FY 2007</stp>
        <stp>[FA1_ididqeuc.xlsx]Income - Adjusted!R48C19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48" s="2"/>
      </tp>
      <tp>
        <v>46.092599999999997</v>
        <stp/>
        <stp>##V3_BDHV12</stp>
        <stp>RMS FP Equity</stp>
        <stp>IS_OTHER_NON_OPERATING_INC_LOSS</stp>
        <stp>FY 2017</stp>
        <stp>FY 2017</stp>
        <stp>[FA1_ididqeuc.xlsx]Income - Adjusted!R48C29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48" s="2"/>
      </tp>
      <tp>
        <v>-4.6486999999999998</v>
        <stp/>
        <stp>##V3_BDHV12</stp>
        <stp>RMS FP Equity</stp>
        <stp>IS_NET_INTEREST_EXPENSE</stp>
        <stp>FY 2016</stp>
        <stp>FY 2016</stp>
        <stp>[FA1_ididqeuc.xlsx]Income - Adjusted!R38C28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38" s="2"/>
      </tp>
      <tp t="s">
        <v>—</v>
        <stp/>
        <stp>##V3_BDHV12</stp>
        <stp>RMS FP Equity</stp>
        <stp>IS_NET_INTEREST_EXPENSE</stp>
        <stp>FY 2006</stp>
        <stp>FY 2006</stp>
        <stp>[FA1_ididqeuc.xlsx]Income - Adjusted!R38C18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38" s="2"/>
      </tp>
      <tp>
        <v>44.961500000000001</v>
        <stp/>
        <stp>##V3_BDHV12</stp>
        <stp>RMS FP Equity</stp>
        <stp>IS_INC_TAX_EXP</stp>
        <stp>FY 1994</stp>
        <stp>FY 1994</stp>
        <stp>[FA1_ididqeuc.xlsx]Income - Adjusted!R65C6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65" s="2"/>
      </tp>
      <tp>
        <v>226.81800000000001</v>
        <stp/>
        <stp>##V3_BDHV12</stp>
        <stp>RMS FP Equity</stp>
        <stp>IS_COGS_TO_FE_AND_PP_AND_G</stp>
        <stp>FY 1993</stp>
        <stp>FY 1993</stp>
        <stp>[FA1_ididqeuc.xlsx]Income - Adjusted!R10C5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0" s="2"/>
      </tp>
      <tp>
        <v>175.03630000000001</v>
        <stp/>
        <stp>##V3_BDHV12</stp>
        <stp>RMS FP Equity</stp>
        <stp>PRETAX_INC</stp>
        <stp>FY 1997</stp>
        <stp>FY 1997</stp>
        <stp>[FA1_ididqeuc.xlsx]Income - Adjusted!R50C9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50" s="2"/>
      </tp>
      <tp t="s">
        <v>—</v>
        <stp/>
        <stp>##V3_BDHV12</stp>
        <stp>RMS FP Equity</stp>
        <stp>IS_EXTRAORD_ITEMS_&amp;_ACCTG_CHNG</stp>
        <stp>FY 2001</stp>
        <stp>FY 2001</stp>
        <stp>[FA1_ididqeuc.xlsx]Income - Adjusted!R77C13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77" s="2"/>
      </tp>
      <tp t="s">
        <v>—</v>
        <stp/>
        <stp>##V3_BDHV12</stp>
        <stp>RMS FP Equity</stp>
        <stp>IS_EXTRAORD_ITEMS_&amp;_ACCTG_CHNG</stp>
        <stp>FY 2000</stp>
        <stp>FY 2000</stp>
        <stp>[FA1_ididqeuc.xlsx]Income - Adjusted!R77C12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77" s="2"/>
      </tp>
      <tp t="s">
        <v>—</v>
        <stp/>
        <stp>##V3_BDHV12</stp>
        <stp>RMS FP Equity</stp>
        <stp>IS_EXTRAORD_ITEMS_&amp;_ACCTG_CHNG</stp>
        <stp>FY 1999</stp>
        <stp>FY 1999</stp>
        <stp>[FA1_ididqeuc.xlsx]Income - Adjusted!R77C11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77" s="2"/>
      </tp>
      <tp t="s">
        <v>—</v>
        <stp/>
        <stp>##V3_BDHV12</stp>
        <stp>RMS FP Equity</stp>
        <stp>IS_EXTRAORD_ITEMS_&amp;_ACCTG_CHNG</stp>
        <stp>FY 1998</stp>
        <stp>FY 1998</stp>
        <stp>[FA1_ididqeuc.xlsx]Income - Adjusted!R77C10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77" s="2"/>
      </tp>
      <tp t="s">
        <v>—</v>
        <stp/>
        <stp>##V3_BDHV12</stp>
        <stp>RMS FP Equity</stp>
        <stp>IS_EXTRAORD_ITEMS_&amp;_ACCTG_CHNG</stp>
        <stp>FY 2005</stp>
        <stp>FY 2005</stp>
        <stp>[FA1_ididqeuc.xlsx]Income - Adjusted!R77C17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77" s="2"/>
      </tp>
      <tp t="s">
        <v>—</v>
        <stp/>
        <stp>##V3_BDHV12</stp>
        <stp>RMS FP Equity</stp>
        <stp>IS_EXTRAORD_ITEMS_&amp;_ACCTG_CHNG</stp>
        <stp>FY 2004</stp>
        <stp>FY 2004</stp>
        <stp>[FA1_ididqeuc.xlsx]Income - Adjusted!R77C16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77" s="2"/>
      </tp>
      <tp t="s">
        <v>—</v>
        <stp/>
        <stp>##V3_BDHV12</stp>
        <stp>RMS FP Equity</stp>
        <stp>IS_EXTRAORD_ITEMS_&amp;_ACCTG_CHNG</stp>
        <stp>FY 2003</stp>
        <stp>FY 2003</stp>
        <stp>[FA1_ididqeuc.xlsx]Income - Adjusted!R77C15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77" s="2"/>
      </tp>
      <tp t="s">
        <v>—</v>
        <stp/>
        <stp>##V3_BDHV12</stp>
        <stp>RMS FP Equity</stp>
        <stp>IS_EXTRAORD_ITEMS_&amp;_ACCTG_CHNG</stp>
        <stp>FY 2002</stp>
        <stp>FY 2002</stp>
        <stp>[FA1_ididqeuc.xlsx]Income - Adjusted!R77C14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77" s="2"/>
      </tp>
      <tp t="s">
        <v>—</v>
        <stp/>
        <stp>##V3_BDHV12</stp>
        <stp>RMS FP Equity</stp>
        <stp>IS_EXTRAORD_ITEMS_&amp;_ACCTG_CHNG</stp>
        <stp>FY 2007</stp>
        <stp>FY 2007</stp>
        <stp>[FA1_ididqeuc.xlsx]Income - Adjusted!R77C19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77" s="2"/>
      </tp>
      <tp t="s">
        <v>—</v>
        <stp/>
        <stp>##V3_BDHV12</stp>
        <stp>RMS FP Equity</stp>
        <stp>IS_EXTRAORD_ITEMS_&amp;_ACCTG_CHNG</stp>
        <stp>FY 2006</stp>
        <stp>FY 2006</stp>
        <stp>[FA1_ididqeuc.xlsx]Income - Adjusted!R77C18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77" s="2"/>
      </tp>
      <tp>
        <v>6.3089000000000004</v>
        <stp/>
        <stp>##V3_BDHV12</stp>
        <stp>RMS FP Equity</stp>
        <stp>IS_INT_INC</stp>
        <stp>FY 2016</stp>
        <stp>FY 2016</stp>
        <stp>[FA1_ididqeuc.xlsx]Income - Adjusted!R42C28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42" s="2"/>
      </tp>
      <tp>
        <v>17.212499999999999</v>
        <stp/>
        <stp>##V3_BDHV12</stp>
        <stp>RMS FP Equity</stp>
        <stp>IS_INT_INC</stp>
        <stp>FY 2006</stp>
        <stp>FY 2006</stp>
        <stp>[FA1_ididqeuc.xlsx]Income - Adjusted!R42C18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42" s="2"/>
      </tp>
      <tp t="s">
        <v>—</v>
        <stp/>
        <stp>##V3_BDHV12</stp>
        <stp>RMS FP Equity</stp>
        <stp>IS_DIL_EPS_BEF_XO</stp>
        <stp>FY 1992</stp>
        <stp>FY 1992</stp>
        <stp>[FA1_ididqeuc.xlsx]Income - Adjusted!R108C4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D108" s="2"/>
      </tp>
      <tp t="s">
        <v>—</v>
        <stp/>
        <stp>##V3_BDHV12</stp>
        <stp>RMS FP Equity</stp>
        <stp>IS_DEPRECIATION_AND_AMORTIZATION</stp>
        <stp>FY 1991</stp>
        <stp>FY 1991</stp>
        <stp>[FA1_ididqeuc.xlsx]Income - Adjusted!R28C3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8" s="2"/>
      </tp>
      <tp>
        <v>310.30860000000001</v>
        <stp/>
        <stp>##V3_BDHV12</stp>
        <stp>RMS FP Equity</stp>
        <stp>PRETAX_INC</stp>
        <stp>FY 2002</stp>
        <stp>FY 2002</stp>
        <stp>[FA1_ididqeuc.xlsx]Income - Adjusted!R50C14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50" s="2"/>
      </tp>
      <tp>
        <v>1409.9576</v>
        <stp/>
        <stp>##V3_BDHV12</stp>
        <stp>RMS FP Equity</stp>
        <stp>PRETAX_INC</stp>
        <stp>FY 2012</stp>
        <stp>FY 2012</stp>
        <stp>[FA1_ididqeuc.xlsx]Income - Adjusted!R50C24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50" s="2"/>
      </tp>
      <tp>
        <v>1574.9799</v>
        <stp/>
        <stp>##V3_BDHV12</stp>
        <stp>RMS FP Equity</stp>
        <stp>IS_SG&amp;A_EXPENSE</stp>
        <stp>FY 2015</stp>
        <stp>FY 2015</stp>
        <stp>[FA1_ididqeuc.xlsx]Income - Adjusted!R21C27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1" s="2"/>
      </tp>
      <tp t="s">
        <v>—</v>
        <stp/>
        <stp>##V3_BDHV12</stp>
        <stp>RMS FP Equity</stp>
        <stp>IS_SG&amp;A_EXPENSE</stp>
        <stp>FY 2005</stp>
        <stp>FY 2005</stp>
        <stp>[FA1_ididqeuc.xlsx]Income - Adjusted!R21C17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1" s="2"/>
      </tp>
      <tp t="s">
        <v>—</v>
        <stp/>
        <stp>##V3_BDHV12</stp>
        <stp>RMS FP Equity</stp>
        <stp>IS_COG_AND_SERVICES_SOLD</stp>
        <stp>FY 1997</stp>
        <stp>FY 1997</stp>
        <stp>[FA1_ididqeuc.xlsx]Income - Adjusted!R12C9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2" s="2"/>
      </tp>
      <tp t="s">
        <v>—</v>
        <stp/>
        <stp>##V3_BDHV12</stp>
        <stp>RMS FP Equity</stp>
        <stp>IS_OTHER_NON_OPERATING_INC_LOSS</stp>
        <stp>FY 2006</stp>
        <stp>FY 2006</stp>
        <stp>[FA1_ididqeuc.xlsx]Income - Adjusted!R48C18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48" s="2"/>
      </tp>
      <tp>
        <v>57.444400000000002</v>
        <stp/>
        <stp>##V3_BDHV12</stp>
        <stp>RMS FP Equity</stp>
        <stp>IS_OTHER_NON_OPERATING_INC_LOSS</stp>
        <stp>FY 2016</stp>
        <stp>FY 2016</stp>
        <stp>[FA1_ididqeuc.xlsx]Income - Adjusted!R48C28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48" s="2"/>
      </tp>
      <tp>
        <v>-9.7156000000000002</v>
        <stp/>
        <stp>##V3_BDHV12</stp>
        <stp>RMS FP Equity</stp>
        <stp>IS_NET_INTEREST_EXPENSE</stp>
        <stp>FY 2017</stp>
        <stp>FY 2017</stp>
        <stp>[FA1_ididqeuc.xlsx]Income - Adjusted!R38C29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38" s="2"/>
      </tp>
      <tp t="s">
        <v>—</v>
        <stp/>
        <stp>##V3_BDHV12</stp>
        <stp>RMS FP Equity</stp>
        <stp>IS_NET_INTEREST_EXPENSE</stp>
        <stp>FY 2007</stp>
        <stp>FY 2007</stp>
        <stp>[FA1_ididqeuc.xlsx]Income - Adjusted!R38C19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38" s="2"/>
      </tp>
      <tp>
        <v>51.357700000000001</v>
        <stp/>
        <stp>##V3_BDHV12</stp>
        <stp>RMS FP Equity</stp>
        <stp>IS_INC_TAX_EXP</stp>
        <stp>FY 1995</stp>
        <stp>FY 1995</stp>
        <stp>[FA1_ididqeuc.xlsx]Income - Adjusted!R65C7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65" s="2"/>
      </tp>
      <tp>
        <v>210.2482</v>
        <stp/>
        <stp>##V3_BDHV12</stp>
        <stp>RMS FP Equity</stp>
        <stp>IS_COGS_TO_FE_AND_PP_AND_G</stp>
        <stp>FY 1992</stp>
        <stp>FY 1992</stp>
        <stp>[FA1_ididqeuc.xlsx]Income - Adjusted!R10C4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0" s="2"/>
      </tp>
      <tp>
        <v>157.5941</v>
        <stp/>
        <stp>##V3_BDHV12</stp>
        <stp>RMS FP Equity</stp>
        <stp>PRETAX_INC</stp>
        <stp>FY 1996</stp>
        <stp>FY 1996</stp>
        <stp>[FA1_ididqeuc.xlsx]Income - Adjusted!R50C8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50" s="2"/>
      </tp>
      <tp t="s">
        <v>—</v>
        <stp/>
        <stp>##V3_BDHV12</stp>
        <stp>RMS FP Equity</stp>
        <stp>IS_DIL_EPS_BEF_XO</stp>
        <stp>FY 1995</stp>
        <stp>FY 1995</stp>
        <stp>[FA1_ididqeuc.xlsx]Income - Adjusted!R108C7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G108" s="2"/>
      </tp>
      <tp>
        <v>482.25869999999998</v>
        <stp/>
        <stp>##V3_BDHV12</stp>
        <stp>RMS FP Equity</stp>
        <stp>PRETAX_INC</stp>
        <stp>FY 2005</stp>
        <stp>FY 2005</stp>
        <stp>[FA1_ididqeuc.xlsx]Income - Adjusted!R50C17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50" s="2"/>
      </tp>
      <tp>
        <v>1685.0920000000001</v>
        <stp/>
        <stp>##V3_BDHV12</stp>
        <stp>RMS FP Equity</stp>
        <stp>PRETAX_INC</stp>
        <stp>FY 2015</stp>
        <stp>FY 2015</stp>
        <stp>[FA1_ididqeuc.xlsx]Income - Adjusted!R50C27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50" s="2"/>
      </tp>
      <tp>
        <v>1454.0630000000001</v>
        <stp/>
        <stp>##V3_BDHV12</stp>
        <stp>RMS FP Equity</stp>
        <stp>IS_SG&amp;A_EXPENSE</stp>
        <stp>FY 2012</stp>
        <stp>FY 2012</stp>
        <stp>[FA1_ididqeuc.xlsx]Income - Adjusted!R21C24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1" s="2"/>
      </tp>
      <tp t="s">
        <v>—</v>
        <stp/>
        <stp>##V3_BDHV12</stp>
        <stp>RMS FP Equity</stp>
        <stp>IS_SG&amp;A_EXPENSE</stp>
        <stp>FY 2002</stp>
        <stp>FY 2002</stp>
        <stp>[FA1_ididqeuc.xlsx]Income - Adjusted!R21C14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1" s="2"/>
      </tp>
      <tp>
        <v>20.79</v>
        <stp/>
        <stp>##V3_BDHV12</stp>
        <stp>RMS FP Equity</stp>
        <stp>IS_INC_TAX_EXP</stp>
        <stp>FY 1992</stp>
        <stp>FY 1992</stp>
        <stp>[FA1_ididqeuc.xlsx]Income - Adjusted!R65C4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65" s="2"/>
      </tp>
      <tp>
        <v>313.6053</v>
        <stp/>
        <stp>##V3_BDHV12</stp>
        <stp>RMS FP Equity</stp>
        <stp>IS_COGS_TO_FE_AND_PP_AND_G</stp>
        <stp>FY 1995</stp>
        <stp>FY 1995</stp>
        <stp>[FA1_ididqeuc.xlsx]Income - Adjusted!R10C7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0" s="2"/>
      </tp>
      <tp>
        <v>11.5885</v>
        <stp/>
        <stp>##V3_BDHV12</stp>
        <stp>RMS FP Equity</stp>
        <stp>IS_DIL_EPS_BEF_XO</stp>
        <stp>FY 2016</stp>
        <stp>FY 2016</stp>
        <stp>[FA1_ididqeuc.xlsx]Income - Adjusted!R108C28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B108" s="2"/>
      </tp>
      <tp>
        <v>3.1535000000000002</v>
        <stp/>
        <stp>##V3_BDHV12</stp>
        <stp>RMS FP Equity</stp>
        <stp>IS_DIL_EPS_BEF_XO</stp>
        <stp>FY 2006</stp>
        <stp>FY 2006</stp>
        <stp>[FA1_ididqeuc.xlsx]Income - Adjusted!R108C18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R108" s="2"/>
      </tp>
      <tp t="s">
        <v>—</v>
        <stp/>
        <stp>##V3_BDHV12</stp>
        <stp>RMS FP Equity</stp>
        <stp>IS_OTHER_ONE_TIME_ITEMS</stp>
        <stp>FY 1991</stp>
        <stp>FY 1991</stp>
        <stp>[FA1_ididqeuc.xlsx]Income - Adjusted!R62C3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62" s="2"/>
      </tp>
      <tp t="s">
        <v>—</v>
        <stp/>
        <stp>##V3_BDHV12</stp>
        <stp>RMS FP Equity</stp>
        <stp>IS_OTHER_ONE_TIME_ITEMS</stp>
        <stp>FY 1994</stp>
        <stp>FY 1994</stp>
        <stp>[FA1_ididqeuc.xlsx]Income - Adjusted!R62C6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62" s="2"/>
      </tp>
      <tp t="s">
        <v>—</v>
        <stp/>
        <stp>##V3_BDHV12</stp>
        <stp>RMS FP Equity</stp>
        <stp>IS_OTHER_ONE_TIME_ITEMS</stp>
        <stp>FY 1995</stp>
        <stp>FY 1995</stp>
        <stp>[FA1_ididqeuc.xlsx]Income - Adjusted!R62C7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62" s="2"/>
      </tp>
      <tp t="s">
        <v>—</v>
        <stp/>
        <stp>##V3_BDHV12</stp>
        <stp>RMS FP Equity</stp>
        <stp>IS_OTHER_ONE_TIME_ITEMS</stp>
        <stp>FY 1992</stp>
        <stp>FY 1992</stp>
        <stp>[FA1_ididqeuc.xlsx]Income - Adjusted!R62C4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62" s="2"/>
      </tp>
      <tp t="s">
        <v>—</v>
        <stp/>
        <stp>##V3_BDHV12</stp>
        <stp>RMS FP Equity</stp>
        <stp>IS_OTHER_ONE_TIME_ITEMS</stp>
        <stp>FY 1993</stp>
        <stp>FY 1993</stp>
        <stp>[FA1_ididqeuc.xlsx]Income - Adjusted!R62C5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62" s="2"/>
      </tp>
      <tp t="s">
        <v>—</v>
        <stp/>
        <stp>##V3_BDHV12</stp>
        <stp>RMS FP Equity</stp>
        <stp>IS_OTHER_ONE_TIME_ITEMS</stp>
        <stp>FY 1996</stp>
        <stp>FY 1996</stp>
        <stp>[FA1_ididqeuc.xlsx]Income - Adjusted!R62C8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62" s="2"/>
      </tp>
      <tp t="s">
        <v>—</v>
        <stp/>
        <stp>##V3_BDHV12</stp>
        <stp>RMS FP Equity</stp>
        <stp>IS_OTHER_ONE_TIME_ITEMS</stp>
        <stp>FY 1997</stp>
        <stp>FY 1997</stp>
        <stp>[FA1_ididqeuc.xlsx]Income - Adjusted!R62C9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62" s="2"/>
      </tp>
      <tp t="s">
        <v>—</v>
        <stp/>
        <stp>##V3_BDHV12</stp>
        <stp>RMS FP Equity</stp>
        <stp>IS_DIL_EPS_BEF_XO</stp>
        <stp>FY 1994</stp>
        <stp>FY 1994</stp>
        <stp>[FA1_ididqeuc.xlsx]Income - Adjusted!R108C6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F108" s="2"/>
      </tp>
      <tp>
        <v>52.333799999999997</v>
        <stp/>
        <stp>##V3_BDHV12</stp>
        <stp>RMS FP Equity</stp>
        <stp>IS_OPER_INC</stp>
        <stp>FY 1991</stp>
        <stp>FY 1991</stp>
        <stp>[FA1_ididqeuc.xlsx]Income - Adjusted!R34C3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34" s="2"/>
      </tp>
      <tp>
        <v>427.51299999999998</v>
        <stp/>
        <stp>##V3_BDHV12</stp>
        <stp>RMS FP Equity</stp>
        <stp>PRETAX_INC</stp>
        <stp>FY 2004</stp>
        <stp>FY 2004</stp>
        <stp>[FA1_ididqeuc.xlsx]Income - Adjusted!R50C16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50" s="2"/>
      </tp>
      <tp>
        <v>1725.9688000000001</v>
        <stp/>
        <stp>##V3_BDHV12</stp>
        <stp>RMS FP Equity</stp>
        <stp>PRETAX_INC</stp>
        <stp>FY 2014</stp>
        <stp>FY 2014</stp>
        <stp>[FA1_ididqeuc.xlsx]Income - Adjusted!R50C26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50" s="2"/>
      </tp>
      <tp>
        <v>1614.2969000000001</v>
        <stp/>
        <stp>##V3_BDHV12</stp>
        <stp>RMS FP Equity</stp>
        <stp>IS_SG&amp;A_EXPENSE</stp>
        <stp>FY 2013</stp>
        <stp>FY 2013</stp>
        <stp>[FA1_ididqeuc.xlsx]Income - Adjusted!R21C25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1" s="2"/>
      </tp>
      <tp t="s">
        <v>—</v>
        <stp/>
        <stp>##V3_BDHV12</stp>
        <stp>RMS FP Equity</stp>
        <stp>IS_SG&amp;A_EXPENSE</stp>
        <stp>FY 2003</stp>
        <stp>FY 2003</stp>
        <stp>[FA1_ididqeuc.xlsx]Income - Adjusted!R21C15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1" s="2"/>
      </tp>
      <tp>
        <v>26.874700000000001</v>
        <stp/>
        <stp>##V3_BDHV12</stp>
        <stp>RMS FP Equity</stp>
        <stp>IS_INC_TAX_EXP</stp>
        <stp>FY 1993</stp>
        <stp>FY 1993</stp>
        <stp>[FA1_ididqeuc.xlsx]Income - Adjusted!R65C5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65" s="2"/>
      </tp>
      <tp>
        <v>258.84039999999999</v>
        <stp/>
        <stp>##V3_BDHV12</stp>
        <stp>RMS FP Equity</stp>
        <stp>IS_COGS_TO_FE_AND_PP_AND_G</stp>
        <stp>FY 1994</stp>
        <stp>FY 1994</stp>
        <stp>[FA1_ididqeuc.xlsx]Income - Adjusted!R10C6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0" s="2"/>
      </tp>
      <tp>
        <v>13.1274</v>
        <stp/>
        <stp>##V3_BDHV12</stp>
        <stp>RMS FP Equity</stp>
        <stp>IS_DIL_EPS_BEF_XO</stp>
        <stp>FY 2017</stp>
        <stp>FY 2017</stp>
        <stp>[FA1_ididqeuc.xlsx]Income - Adjusted!R108C29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C108" s="2"/>
      </tp>
      <tp>
        <v>3.7149000000000001</v>
        <stp/>
        <stp>##V3_BDHV12</stp>
        <stp>RMS FP Equity</stp>
        <stp>IS_DIL_EPS_BEF_XO</stp>
        <stp>FY 2007</stp>
        <stp>FY 2007</stp>
        <stp>[FA1_ididqeuc.xlsx]Income - Adjusted!R108C19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S108" s="2"/>
      </tp>
      <tp>
        <v>0</v>
        <stp/>
        <stp>##V3_BDHV12</stp>
        <stp>RMS FP Equity</stp>
        <stp>IS_EXTRAORD_ITEMS_&amp;_ACCTG_CHNG</stp>
        <stp>FY 2011</stp>
        <stp>FY 2011</stp>
        <stp>[FA1_ididqeuc.xlsx]Income - Adjusted!R77C23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77" s="2"/>
      </tp>
      <tp>
        <v>0</v>
        <stp/>
        <stp>##V3_BDHV12</stp>
        <stp>RMS FP Equity</stp>
        <stp>IS_EXTRAORD_ITEMS_&amp;_ACCTG_CHNG</stp>
        <stp>FY 2010</stp>
        <stp>FY 2010</stp>
        <stp>[FA1_ididqeuc.xlsx]Income - Adjusted!R77C22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77" s="2"/>
      </tp>
      <tp>
        <v>0</v>
        <stp/>
        <stp>##V3_BDHV12</stp>
        <stp>RMS FP Equity</stp>
        <stp>IS_EXTRAORD_ITEMS_&amp;_ACCTG_CHNG</stp>
        <stp>FY 2009</stp>
        <stp>FY 2009</stp>
        <stp>[FA1_ididqeuc.xlsx]Income - Adjusted!R77C21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77" s="2"/>
      </tp>
      <tp t="s">
        <v>—</v>
        <stp/>
        <stp>##V3_BDHV12</stp>
        <stp>RMS FP Equity</stp>
        <stp>IS_EXTRAORD_ITEMS_&amp;_ACCTG_CHNG</stp>
        <stp>FY 2008</stp>
        <stp>FY 2008</stp>
        <stp>[FA1_ididqeuc.xlsx]Income - Adjusted!R77C20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77" s="2"/>
      </tp>
      <tp>
        <v>0</v>
        <stp/>
        <stp>##V3_BDHV12</stp>
        <stp>RMS FP Equity</stp>
        <stp>IS_EXTRAORD_ITEMS_&amp;_ACCTG_CHNG</stp>
        <stp>FY 2015</stp>
        <stp>FY 2015</stp>
        <stp>[FA1_ididqeuc.xlsx]Income - Adjusted!R77C27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77" s="2"/>
      </tp>
      <tp>
        <v>0</v>
        <stp/>
        <stp>##V3_BDHV12</stp>
        <stp>RMS FP Equity</stp>
        <stp>IS_EXTRAORD_ITEMS_&amp;_ACCTG_CHNG</stp>
        <stp>FY 2014</stp>
        <stp>FY 2014</stp>
        <stp>[FA1_ididqeuc.xlsx]Income - Adjusted!R77C26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77" s="2"/>
      </tp>
      <tp>
        <v>0</v>
        <stp/>
        <stp>##V3_BDHV12</stp>
        <stp>RMS FP Equity</stp>
        <stp>IS_EXTRAORD_ITEMS_&amp;_ACCTG_CHNG</stp>
        <stp>FY 2013</stp>
        <stp>FY 2013</stp>
        <stp>[FA1_ididqeuc.xlsx]Income - Adjusted!R77C25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77" s="2"/>
      </tp>
      <tp>
        <v>0</v>
        <stp/>
        <stp>##V3_BDHV12</stp>
        <stp>RMS FP Equity</stp>
        <stp>IS_EXTRAORD_ITEMS_&amp;_ACCTG_CHNG</stp>
        <stp>FY 2012</stp>
        <stp>FY 2012</stp>
        <stp>[FA1_ididqeuc.xlsx]Income - Adjusted!R77C24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77" s="2"/>
      </tp>
      <tp>
        <v>0</v>
        <stp/>
        <stp>##V3_BDHV12</stp>
        <stp>RMS FP Equity</stp>
        <stp>IS_EXTRAORD_ITEMS_&amp;_ACCTG_CHNG</stp>
        <stp>FY 2017</stp>
        <stp>FY 2017</stp>
        <stp>[FA1_ididqeuc.xlsx]Income - Adjusted!R77C29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77" s="2"/>
      </tp>
      <tp>
        <v>0</v>
        <stp/>
        <stp>##V3_BDHV12</stp>
        <stp>RMS FP Equity</stp>
        <stp>IS_EXTRAORD_ITEMS_&amp;_ACCTG_CHNG</stp>
        <stp>FY 2016</stp>
        <stp>FY 2016</stp>
        <stp>[FA1_ididqeuc.xlsx]Income - Adjusted!R77C28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77" s="2"/>
      </tp>
      <tp>
        <v>8.2355</v>
        <stp/>
        <stp>##V3_BDHV12</stp>
        <stp>RMS FP Equity</stp>
        <stp>IS_INT_INC</stp>
        <stp>FY 2013</stp>
        <stp>FY 2013</stp>
        <stp>[FA1_ididqeuc.xlsx]Income - Adjusted!R42C25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42" s="2"/>
      </tp>
      <tp>
        <v>12.230600000000001</v>
        <stp/>
        <stp>##V3_BDHV12</stp>
        <stp>RMS FP Equity</stp>
        <stp>IS_INT_INC</stp>
        <stp>FY 2003</stp>
        <stp>FY 2003</stp>
        <stp>[FA1_ididqeuc.xlsx]Income - Adjusted!R42C15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42" s="2"/>
      </tp>
      <tp t="s">
        <v>—</v>
        <stp/>
        <stp>##V3_BDHV12</stp>
        <stp>RMS FP Equity</stp>
        <stp>IS_DIL_EPS_BEF_XO</stp>
        <stp>FY 1997</stp>
        <stp>FY 1997</stp>
        <stp>[FA1_ididqeuc.xlsx]Income - Adjusted!R108C9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I108" s="2"/>
      </tp>
      <tp>
        <v>599.8614</v>
        <stp/>
        <stp>##V3_BDHV12</stp>
        <stp>RMS FP Equity</stp>
        <stp>PRETAX_INC</stp>
        <stp>FY 2007</stp>
        <stp>FY 2007</stp>
        <stp>[FA1_ididqeuc.xlsx]Income - Adjusted!R50C19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50" s="2"/>
      </tp>
      <tp>
        <v>2182.2826</v>
        <stp/>
        <stp>##V3_BDHV12</stp>
        <stp>RMS FP Equity</stp>
        <stp>PRETAX_INC</stp>
        <stp>FY 2017</stp>
        <stp>FY 2017</stp>
        <stp>[FA1_ididqeuc.xlsx]Income - Adjusted!R50C29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50" s="2"/>
      </tp>
      <tp t="s">
        <v>—</v>
        <stp/>
        <stp>##V3_BDHV12</stp>
        <stp>RMS FP Equity</stp>
        <stp>IS_COG_AND_SERVICES_SOLD</stp>
        <stp>FY 1992</stp>
        <stp>FY 1992</stp>
        <stp>[FA1_ididqeuc.xlsx]Income - Adjusted!R12C4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2" s="2"/>
      </tp>
      <tp t="s">
        <v>—</v>
        <stp/>
        <stp>##V3_BDHV12</stp>
        <stp>RMS FP Equity</stp>
        <stp>IS_OTHER_NON_OPERATING_INC_LOSS</stp>
        <stp>FY 2003</stp>
        <stp>FY 2003</stp>
        <stp>[FA1_ididqeuc.xlsx]Income - Adjusted!R48C15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48" s="2"/>
      </tp>
      <tp>
        <v>37.989699999999999</v>
        <stp/>
        <stp>##V3_BDHV12</stp>
        <stp>RMS FP Equity</stp>
        <stp>IS_OTHER_NON_OPERATING_INC_LOSS</stp>
        <stp>FY 2013</stp>
        <stp>FY 2013</stp>
        <stp>[FA1_ididqeuc.xlsx]Income - Adjusted!R48C25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48" s="2"/>
      </tp>
      <tp>
        <v>-12.6015</v>
        <stp/>
        <stp>##V3_BDHV12</stp>
        <stp>RMS FP Equity</stp>
        <stp>IS_NET_INTEREST_EXPENSE</stp>
        <stp>FY 2012</stp>
        <stp>FY 2012</stp>
        <stp>[FA1_ididqeuc.xlsx]Income - Adjusted!R38C24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38" s="2"/>
      </tp>
      <tp t="s">
        <v>—</v>
        <stp/>
        <stp>##V3_BDHV12</stp>
        <stp>RMS FP Equity</stp>
        <stp>IS_NET_INTEREST_EXPENSE</stp>
        <stp>FY 2002</stp>
        <stp>FY 2002</stp>
        <stp>[FA1_ididqeuc.xlsx]Income - Adjusted!R38C14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38" s="2"/>
      </tp>
      <tp>
        <v>335.62490000000003</v>
        <stp/>
        <stp>##V3_BDHV12</stp>
        <stp>RMS FP Equity</stp>
        <stp>IS_COGS_TO_FE_AND_PP_AND_G</stp>
        <stp>FY 1997</stp>
        <stp>FY 1997</stp>
        <stp>[FA1_ididqeuc.xlsx]Income - Adjusted!R10C9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0" s="2"/>
      </tp>
      <tp>
        <v>68.467699999999994</v>
        <stp/>
        <stp>##V3_BDHV12</stp>
        <stp>RMS FP Equity</stp>
        <stp>PRETAX_INC</stp>
        <stp>FY 1993</stp>
        <stp>FY 1993</stp>
        <stp>[FA1_ididqeuc.xlsx]Income - Adjusted!R50C5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50" s="2"/>
      </tp>
      <tp>
        <v>10.8803</v>
        <stp/>
        <stp>##V3_BDHV12</stp>
        <stp>RMS FP Equity</stp>
        <stp>IS_DIL_EPS_BEF_XO</stp>
        <stp>FY 2014</stp>
        <stp>FY 2014</stp>
        <stp>[FA1_ididqeuc.xlsx]Income - Adjusted!R108C26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Z108" s="2"/>
      </tp>
      <tp>
        <v>2.4178999999999999</v>
        <stp/>
        <stp>##V3_BDHV12</stp>
        <stp>RMS FP Equity</stp>
        <stp>IS_DIL_EPS_BEF_XO</stp>
        <stp>FY 2004</stp>
        <stp>FY 2004</stp>
        <stp>[FA1_ididqeuc.xlsx]Income - Adjusted!R108C16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P108" s="2"/>
      </tp>
      <tp>
        <v>14.5303</v>
        <stp/>
        <stp>##V3_BDHV12</stp>
        <stp>RMS FP Equity</stp>
        <stp>IS_INT_INC</stp>
        <stp>FY 2012</stp>
        <stp>FY 2012</stp>
        <stp>[FA1_ididqeuc.xlsx]Income - Adjusted!R42C24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42" s="2"/>
      </tp>
      <tp>
        <v>12.1059</v>
        <stp/>
        <stp>##V3_BDHV12</stp>
        <stp>RMS FP Equity</stp>
        <stp>IS_INT_INC</stp>
        <stp>FY 2002</stp>
        <stp>FY 2002</stp>
        <stp>[FA1_ididqeuc.xlsx]Income - Adjusted!R42C14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42" s="2"/>
      </tp>
      <tp t="s">
        <v>—</v>
        <stp/>
        <stp>##V3_BDHV12</stp>
        <stp>RMS FP Equity</stp>
        <stp>IS_DIL_EPS_BEF_XO</stp>
        <stp>FY 1996</stp>
        <stp>FY 1996</stp>
        <stp>[FA1_ididqeuc.xlsx]Income - Adjusted!R108C8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H108" s="2"/>
      </tp>
      <tp>
        <v>513.86289999999997</v>
        <stp/>
        <stp>##V3_BDHV12</stp>
        <stp>RMS FP Equity</stp>
        <stp>PRETAX_INC</stp>
        <stp>FY 2006</stp>
        <stp>FY 2006</stp>
        <stp>[FA1_ididqeuc.xlsx]Income - Adjusted!R50C18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50" s="2"/>
      </tp>
      <tp>
        <v>1835.1220000000001</v>
        <stp/>
        <stp>##V3_BDHV12</stp>
        <stp>RMS FP Equity</stp>
        <stp>PRETAX_INC</stp>
        <stp>FY 2016</stp>
        <stp>FY 2016</stp>
        <stp>[FA1_ididqeuc.xlsx]Income - Adjusted!R50C28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50" s="2"/>
      </tp>
      <tp t="s">
        <v>—</v>
        <stp/>
        <stp>##V3_BDHV12</stp>
        <stp>RMS FP Equity</stp>
        <stp>IS_COG_AND_SERVICES_SOLD</stp>
        <stp>FY 1993</stp>
        <stp>FY 1993</stp>
        <stp>[FA1_ididqeuc.xlsx]Income - Adjusted!R12C5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2" s="2"/>
      </tp>
      <tp t="s">
        <v>—</v>
        <stp/>
        <stp>##V3_BDHV12</stp>
        <stp>RMS FP Equity</stp>
        <stp>IS_OTHER_NON_OPERATING_INC_LOSS</stp>
        <stp>FY 2002</stp>
        <stp>FY 2002</stp>
        <stp>[FA1_ididqeuc.xlsx]Income - Adjusted!R48C14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48" s="2"/>
      </tp>
      <tp>
        <v>36.518700000000003</v>
        <stp/>
        <stp>##V3_BDHV12</stp>
        <stp>RMS FP Equity</stp>
        <stp>IS_OTHER_NON_OPERATING_INC_LOSS</stp>
        <stp>FY 2012</stp>
        <stp>FY 2012</stp>
        <stp>[FA1_ididqeuc.xlsx]Income - Adjusted!R48C24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48" s="2"/>
      </tp>
      <tp>
        <v>-6.9071999999999996</v>
        <stp/>
        <stp>##V3_BDHV12</stp>
        <stp>RMS FP Equity</stp>
        <stp>IS_NET_INTEREST_EXPENSE</stp>
        <stp>FY 2013</stp>
        <stp>FY 2013</stp>
        <stp>[FA1_ididqeuc.xlsx]Income - Adjusted!R38C25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38" s="2"/>
      </tp>
      <tp t="s">
        <v>—</v>
        <stp/>
        <stp>##V3_BDHV12</stp>
        <stp>RMS FP Equity</stp>
        <stp>IS_NET_INTEREST_EXPENSE</stp>
        <stp>FY 2003</stp>
        <stp>FY 2003</stp>
        <stp>[FA1_ididqeuc.xlsx]Income - Adjusted!R38C15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38" s="2"/>
      </tp>
      <tp>
        <v>329.44729999999998</v>
        <stp/>
        <stp>##V3_BDHV12</stp>
        <stp>RMS FP Equity</stp>
        <stp>IS_COGS_TO_FE_AND_PP_AND_G</stp>
        <stp>FY 1996</stp>
        <stp>FY 1996</stp>
        <stp>[FA1_ididqeuc.xlsx]Income - Adjusted!R10C8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0" s="2"/>
      </tp>
      <tp>
        <v>57.352499999999999</v>
        <stp/>
        <stp>##V3_BDHV12</stp>
        <stp>RMS FP Equity</stp>
        <stp>PRETAX_INC</stp>
        <stp>FY 1992</stp>
        <stp>FY 1992</stp>
        <stp>[FA1_ididqeuc.xlsx]Income - Adjusted!R50C4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50" s="2"/>
      </tp>
      <tp>
        <v>10.278600000000001</v>
        <stp/>
        <stp>##V3_BDHV12</stp>
        <stp>RMS FP Equity</stp>
        <stp>IS_DIL_EPS_BEF_XO</stp>
        <stp>FY 2015</stp>
        <stp>FY 2015</stp>
        <stp>[FA1_ididqeuc.xlsx]Income - Adjusted!R108C27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A108" s="2"/>
      </tp>
      <tp>
        <v>2.8161</v>
        <stp/>
        <stp>##V3_BDHV12</stp>
        <stp>RMS FP Equity</stp>
        <stp>IS_DIL_EPS_BEF_XO</stp>
        <stp>FY 2005</stp>
        <stp>FY 2005</stp>
        <stp>[FA1_ididqeuc.xlsx]Income - Adjusted!R108C17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Q108" s="2"/>
      </tp>
      <tp>
        <v>8.1029999999999998</v>
        <stp/>
        <stp>##V3_BDHV12</stp>
        <stp>RMS FP Equity</stp>
        <stp>IS_INT_INC</stp>
        <stp>FY 2015</stp>
        <stp>FY 2015</stp>
        <stp>[FA1_ididqeuc.xlsx]Income - Adjusted!R42C27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42" s="2"/>
      </tp>
      <tp>
        <v>13.9352</v>
        <stp/>
        <stp>##V3_BDHV12</stp>
        <stp>RMS FP Equity</stp>
        <stp>IS_INT_INC</stp>
        <stp>FY 2005</stp>
        <stp>FY 2005</stp>
        <stp>[FA1_ididqeuc.xlsx]Income - Adjusted!R42C17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42" s="2"/>
      </tp>
      <tp>
        <v>1710.3824</v>
        <stp/>
        <stp>##V3_BDHV12</stp>
        <stp>RMS FP Equity</stp>
        <stp>IS_SG&amp;A_EXPENSE</stp>
        <stp>FY 2016</stp>
        <stp>FY 2016</stp>
        <stp>[FA1_ididqeuc.xlsx]Income - Adjusted!R21C28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1" s="2"/>
      </tp>
      <tp t="s">
        <v>—</v>
        <stp/>
        <stp>##V3_BDHV12</stp>
        <stp>RMS FP Equity</stp>
        <stp>IS_SG&amp;A_EXPENSE</stp>
        <stp>FY 2006</stp>
        <stp>FY 2006</stp>
        <stp>[FA1_ididqeuc.xlsx]Income - Adjusted!R21C18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1" s="2"/>
      </tp>
      <tp t="s">
        <v>—</v>
        <stp/>
        <stp>##V3_BDHV12</stp>
        <stp>RMS FP Equity</stp>
        <stp>IS_COG_AND_SERVICES_SOLD</stp>
        <stp>FY 1994</stp>
        <stp>FY 1994</stp>
        <stp>[FA1_ididqeuc.xlsx]Income - Adjusted!R12C6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2" s="2"/>
      </tp>
      <tp t="s">
        <v>—</v>
        <stp/>
        <stp>##V3_BDHV12</stp>
        <stp>RMS FP Equity</stp>
        <stp>IS_OTHER_NON_OPERATING_INC_LOSS</stp>
        <stp>FY 2005</stp>
        <stp>FY 2005</stp>
        <stp>[FA1_ididqeuc.xlsx]Income - Adjusted!R48C17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48" s="2"/>
      </tp>
      <tp>
        <v>57.942</v>
        <stp/>
        <stp>##V3_BDHV12</stp>
        <stp>RMS FP Equity</stp>
        <stp>IS_OTHER_NON_OPERATING_INC_LOSS</stp>
        <stp>FY 2015</stp>
        <stp>FY 2015</stp>
        <stp>[FA1_ididqeuc.xlsx]Income - Adjusted!R48C27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48" s="2"/>
      </tp>
      <tp>
        <v>-8.3695000000000004</v>
        <stp/>
        <stp>##V3_BDHV12</stp>
        <stp>RMS FP Equity</stp>
        <stp>IS_NET_INTEREST_EXPENSE</stp>
        <stp>FY 2014</stp>
        <stp>FY 2014</stp>
        <stp>[FA1_ididqeuc.xlsx]Income - Adjusted!R38C26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38" s="2"/>
      </tp>
      <tp t="s">
        <v>—</v>
        <stp/>
        <stp>##V3_BDHV12</stp>
        <stp>RMS FP Equity</stp>
        <stp>IS_NET_INTEREST_EXPENSE</stp>
        <stp>FY 2004</stp>
        <stp>FY 2004</stp>
        <stp>[FA1_ididqeuc.xlsx]Income - Adjusted!R38C16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38" s="2"/>
      </tp>
      <tp>
        <v>63.530500000000004</v>
        <stp/>
        <stp>##V3_BDHV12</stp>
        <stp>RMS FP Equity</stp>
        <stp>IS_INC_TAX_EXP</stp>
        <stp>FY 1996</stp>
        <stp>FY 1996</stp>
        <stp>[FA1_ididqeuc.xlsx]Income - Adjusted!R65C8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65" s="2"/>
      </tp>
      <tp>
        <v>143.73740000000001</v>
        <stp/>
        <stp>##V3_BDHV12</stp>
        <stp>RMS FP Equity</stp>
        <stp>PRETAX_INC</stp>
        <stp>FY 1995</stp>
        <stp>FY 1995</stp>
        <stp>[FA1_ididqeuc.xlsx]Income - Adjusted!R50C7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50" s="2"/>
      </tp>
      <tp>
        <v>9.0911000000000008</v>
        <stp/>
        <stp>##V3_BDHV12</stp>
        <stp>RMS FP Equity</stp>
        <stp>IS_DIL_EPS_BEF_XO</stp>
        <stp>FY 2012</stp>
        <stp>FY 2012</stp>
        <stp>[FA1_ididqeuc.xlsx]Income - Adjusted!R108C24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X108" s="2"/>
      </tp>
      <tp>
        <v>1.8411</v>
        <stp/>
        <stp>##V3_BDHV12</stp>
        <stp>RMS FP Equity</stp>
        <stp>IS_DIL_EPS_BEF_XO</stp>
        <stp>FY 2002</stp>
        <stp>FY 2002</stp>
        <stp>[FA1_ididqeuc.xlsx]Income - Adjusted!R108C14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N108" s="2"/>
      </tp>
      <tp>
        <v>8.9009</v>
        <stp/>
        <stp>##V3_BDHV12</stp>
        <stp>RMS FP Equity</stp>
        <stp>IS_INT_INC</stp>
        <stp>FY 2014</stp>
        <stp>FY 2014</stp>
        <stp>[FA1_ididqeuc.xlsx]Income - Adjusted!R42C26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42" s="2"/>
      </tp>
      <tp>
        <v>10.8247</v>
        <stp/>
        <stp>##V3_BDHV12</stp>
        <stp>RMS FP Equity</stp>
        <stp>IS_INT_INC</stp>
        <stp>FY 2004</stp>
        <stp>FY 2004</stp>
        <stp>[FA1_ididqeuc.xlsx]Income - Adjusted!R42C16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42" s="2"/>
      </tp>
      <tp>
        <v>1871.2702999999999</v>
        <stp/>
        <stp>##V3_BDHV12</stp>
        <stp>RMS FP Equity</stp>
        <stp>IS_SG&amp;A_EXPENSE</stp>
        <stp>FY 2017</stp>
        <stp>FY 2017</stp>
        <stp>[FA1_ididqeuc.xlsx]Income - Adjusted!R21C29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1" s="2"/>
      </tp>
      <tp t="s">
        <v>—</v>
        <stp/>
        <stp>##V3_BDHV12</stp>
        <stp>RMS FP Equity</stp>
        <stp>IS_SG&amp;A_EXPENSE</stp>
        <stp>FY 2007</stp>
        <stp>FY 2007</stp>
        <stp>[FA1_ididqeuc.xlsx]Income - Adjusted!R21C19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1" s="2"/>
      </tp>
      <tp t="s">
        <v>—</v>
        <stp/>
        <stp>##V3_BDHV12</stp>
        <stp>RMS FP Equity</stp>
        <stp>IS_COG_AND_SERVICES_SOLD</stp>
        <stp>FY 1995</stp>
        <stp>FY 1995</stp>
        <stp>[FA1_ididqeuc.xlsx]Income - Adjusted!R12C7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2" s="2"/>
      </tp>
      <tp t="s">
        <v>—</v>
        <stp/>
        <stp>##V3_BDHV12</stp>
        <stp>RMS FP Equity</stp>
        <stp>IS_OTHER_NON_OPERATING_INC_LOSS</stp>
        <stp>FY 2004</stp>
        <stp>FY 2004</stp>
        <stp>[FA1_ididqeuc.xlsx]Income - Adjusted!R48C16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48" s="2"/>
      </tp>
      <tp>
        <v>41.183100000000003</v>
        <stp/>
        <stp>##V3_BDHV12</stp>
        <stp>RMS FP Equity</stp>
        <stp>IS_OTHER_NON_OPERATING_INC_LOSS</stp>
        <stp>FY 2014</stp>
        <stp>FY 2014</stp>
        <stp>[FA1_ididqeuc.xlsx]Income - Adjusted!R48C26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48" s="2"/>
      </tp>
      <tp>
        <v>-7.3259999999999996</v>
        <stp/>
        <stp>##V3_BDHV12</stp>
        <stp>RMS FP Equity</stp>
        <stp>IS_NET_INTEREST_EXPENSE</stp>
        <stp>FY 2015</stp>
        <stp>FY 2015</stp>
        <stp>[FA1_ididqeuc.xlsx]Income - Adjusted!R38C27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38" s="2"/>
      </tp>
      <tp t="s">
        <v>—</v>
        <stp/>
        <stp>##V3_BDHV12</stp>
        <stp>RMS FP Equity</stp>
        <stp>IS_NET_INTEREST_EXPENSE</stp>
        <stp>FY 2005</stp>
        <stp>FY 2005</stp>
        <stp>[FA1_ididqeuc.xlsx]Income - Adjusted!R38C17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38" s="2"/>
      </tp>
      <tp>
        <v>79.530699999999996</v>
        <stp/>
        <stp>##V3_BDHV12</stp>
        <stp>RMS FP Equity</stp>
        <stp>IS_INC_TAX_EXP</stp>
        <stp>FY 1997</stp>
        <stp>FY 1997</stp>
        <stp>[FA1_ididqeuc.xlsx]Income - Adjusted!R65C9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65" s="2"/>
      </tp>
      <tp>
        <v>6.1250999999999998</v>
        <stp/>
        <stp>##V3_BDHV12</stp>
        <stp>RMS FP Equity</stp>
        <stp>IS_EARN_BEF_XO_ITEMS_PER_SH</stp>
        <stp>FY 1991</stp>
        <stp>FY 1991</stp>
        <stp>[FA1_ididqeuc.xlsx]Income - Adjusted!R99C3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C99" s="2"/>
      </tp>
      <tp>
        <v>105.65689999999999</v>
        <stp/>
        <stp>##V3_BDHV12</stp>
        <stp>RMS FP Equity</stp>
        <stp>PRETAX_INC</stp>
        <stp>FY 1994</stp>
        <stp>FY 1994</stp>
        <stp>[FA1_ididqeuc.xlsx]Income - Adjusted!R50C6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50" s="2"/>
      </tp>
      <tp>
        <v>10.015499999999999</v>
        <stp/>
        <stp>##V3_BDHV12</stp>
        <stp>RMS FP Equity</stp>
        <stp>IS_DIL_EPS_BEF_XO</stp>
        <stp>FY 2013</stp>
        <stp>FY 2013</stp>
        <stp>[FA1_ididqeuc.xlsx]Income - Adjusted!R108C25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Y108" s="2"/>
      </tp>
      <tp>
        <v>2.2195999999999998</v>
        <stp/>
        <stp>##V3_BDHV12</stp>
        <stp>RMS FP Equity</stp>
        <stp>IS_DIL_EPS_BEF_XO</stp>
        <stp>FY 2003</stp>
        <stp>FY 2003</stp>
        <stp>[FA1_ididqeuc.xlsx]Income - Adjusted!R108C15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O108" s="2"/>
      </tp>
      <tp>
        <v>7.8087999999999997</v>
        <stp/>
        <stp>##V3_BDHV12</stp>
        <stp>RMS FP Equity</stp>
        <stp>IS_INT_INC</stp>
        <stp>FY 2009</stp>
        <stp>FY 2009</stp>
        <stp>[FA1_ididqeuc.xlsx]Income - Adjusted!R42C21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42" s="2"/>
      </tp>
      <tp t="s">
        <v>—</v>
        <stp/>
        <stp>##V3_BDHV12</stp>
        <stp>RMS FP Equity</stp>
        <stp>IS_INT_INC</stp>
        <stp>FY 1999</stp>
        <stp>FY 1999</stp>
        <stp>[FA1_ididqeuc.xlsx]Income - Adjusted!R42C11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42" s="2"/>
      </tp>
      <tp>
        <v>147.34469999999999</v>
        <stp/>
        <stp>##V3_BDHV12</stp>
        <stp>RMS FP Equity</stp>
        <stp>IS_OPER_INC</stp>
        <stp>FY 1996</stp>
        <stp>FY 1996</stp>
        <stp>[FA1_ididqeuc.xlsx]Income - Adjusted!R34C8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34" s="2"/>
      </tp>
      <tp t="s">
        <v>—</v>
        <stp/>
        <stp>##V3_BDHV12</stp>
        <stp>RMS FP Equity</stp>
        <stp>IS_OTHER_NON_OPERATING_INC_LOSS</stp>
        <stp>FY 1999</stp>
        <stp>FY 1999</stp>
        <stp>[FA1_ididqeuc.xlsx]Income - Adjusted!R48C11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48" s="2"/>
      </tp>
      <tp>
        <v>25.5182</v>
        <stp/>
        <stp>##V3_BDHV12</stp>
        <stp>RMS FP Equity</stp>
        <stp>IS_OTHER_NON_OPERATING_INC_LOSS</stp>
        <stp>FY 2009</stp>
        <stp>FY 2009</stp>
        <stp>[FA1_ididqeuc.xlsx]Income - Adjusted!R48C21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48" s="2"/>
      </tp>
      <tp>
        <v>11.5885</v>
        <stp/>
        <stp>##V3_BDHV12</stp>
        <stp>RMS FP Equity</stp>
        <stp>IS_DILUTED_EPS</stp>
        <stp>FY 2016</stp>
        <stp>FY 2016</stp>
        <stp>[FA1_ididqeuc.xlsx]Income - Adjusted!R106C28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AB106" s="2"/>
      </tp>
      <tp>
        <v>13.1274</v>
        <stp/>
        <stp>##V3_BDHV12</stp>
        <stp>RMS FP Equity</stp>
        <stp>IS_DILUTED_EPS</stp>
        <stp>FY 2017</stp>
        <stp>FY 2017</stp>
        <stp>[FA1_ididqeuc.xlsx]Income - Adjusted!R106C29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AC106" s="2"/>
      </tp>
      <tp>
        <v>4.0597000000000003</v>
        <stp/>
        <stp>##V3_BDHV12</stp>
        <stp>RMS FP Equity</stp>
        <stp>IS_DILUTED_EPS</stp>
        <stp>FY 2008</stp>
        <stp>FY 2008</stp>
        <stp>[FA1_ididqeuc.xlsx]Income - Adjusted!R106C20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T106" s="2"/>
      </tp>
      <tp>
        <v>3.8208000000000002</v>
        <stp/>
        <stp>##V3_BDHV12</stp>
        <stp>RMS FP Equity</stp>
        <stp>IS_DILUTED_EPS</stp>
        <stp>FY 2009</stp>
        <stp>FY 2009</stp>
        <stp>[FA1_ididqeuc.xlsx]Income - Adjusted!R106C21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U106" s="2"/>
      </tp>
      <tp>
        <v>5.3064</v>
        <stp/>
        <stp>##V3_BDHV12</stp>
        <stp>RMS FP Equity</stp>
        <stp>IS_DILUTED_EPS</stp>
        <stp>FY 2010</stp>
        <stp>FY 2010</stp>
        <stp>[FA1_ididqeuc.xlsx]Income - Adjusted!R106C22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V106" s="2"/>
      </tp>
      <tp>
        <v>7.8810000000000002</v>
        <stp/>
        <stp>##V3_BDHV12</stp>
        <stp>RMS FP Equity</stp>
        <stp>IS_DILUTED_EPS</stp>
        <stp>FY 2011</stp>
        <stp>FY 2011</stp>
        <stp>[FA1_ididqeuc.xlsx]Income - Adjusted!R106C23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W106" s="2"/>
      </tp>
      <tp>
        <v>9.0911000000000008</v>
        <stp/>
        <stp>##V3_BDHV12</stp>
        <stp>RMS FP Equity</stp>
        <stp>IS_DILUTED_EPS</stp>
        <stp>FY 2012</stp>
        <stp>FY 2012</stp>
        <stp>[FA1_ididqeuc.xlsx]Income - Adjusted!R106C24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X106" s="2"/>
      </tp>
      <tp>
        <v>10.015499999999999</v>
        <stp/>
        <stp>##V3_BDHV12</stp>
        <stp>RMS FP Equity</stp>
        <stp>IS_DILUTED_EPS</stp>
        <stp>FY 2013</stp>
        <stp>FY 2013</stp>
        <stp>[FA1_ididqeuc.xlsx]Income - Adjusted!R106C25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Y106" s="2"/>
      </tp>
      <tp>
        <v>10.8803</v>
        <stp/>
        <stp>##V3_BDHV12</stp>
        <stp>RMS FP Equity</stp>
        <stp>IS_DILUTED_EPS</stp>
        <stp>FY 2014</stp>
        <stp>FY 2014</stp>
        <stp>[FA1_ididqeuc.xlsx]Income - Adjusted!R106C26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Z106" s="2"/>
      </tp>
      <tp>
        <v>10.278600000000001</v>
        <stp/>
        <stp>##V3_BDHV12</stp>
        <stp>RMS FP Equity</stp>
        <stp>IS_DILUTED_EPS</stp>
        <stp>FY 2015</stp>
        <stp>FY 2015</stp>
        <stp>[FA1_ididqeuc.xlsx]Income - Adjusted!R106C27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AA106" s="2"/>
      </tp>
      <tp>
        <v>3.1535000000000002</v>
        <stp/>
        <stp>##V3_BDHV12</stp>
        <stp>RMS FP Equity</stp>
        <stp>IS_DILUTED_EPS</stp>
        <stp>FY 2006</stp>
        <stp>FY 2006</stp>
        <stp>[FA1_ididqeuc.xlsx]Income - Adjusted!R106C18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R106" s="2"/>
      </tp>
      <tp>
        <v>3.7149000000000001</v>
        <stp/>
        <stp>##V3_BDHV12</stp>
        <stp>RMS FP Equity</stp>
        <stp>IS_DILUTED_EPS</stp>
        <stp>FY 2007</stp>
        <stp>FY 2007</stp>
        <stp>[FA1_ididqeuc.xlsx]Income - Adjusted!R106C19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S106" s="2"/>
      </tp>
      <tp>
        <v>0.89959999999999996</v>
        <stp/>
        <stp>##V3_BDHV12</stp>
        <stp>RMS FP Equity</stp>
        <stp>IS_DILUTED_EPS</stp>
        <stp>FY 1998</stp>
        <stp>FY 1998</stp>
        <stp>[FA1_ididqeuc.xlsx]Income - Adjusted!R106C10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J106" s="2"/>
      </tp>
      <tp>
        <v>1.1475</v>
        <stp/>
        <stp>##V3_BDHV12</stp>
        <stp>RMS FP Equity</stp>
        <stp>IS_DILUTED_EPS</stp>
        <stp>FY 1999</stp>
        <stp>FY 1999</stp>
        <stp>[FA1_ididqeuc.xlsx]Income - Adjusted!R106C11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K106" s="2"/>
      </tp>
      <tp>
        <v>1.4576</v>
        <stp/>
        <stp>##V3_BDHV12</stp>
        <stp>RMS FP Equity</stp>
        <stp>IS_DILUTED_EPS</stp>
        <stp>FY 2000</stp>
        <stp>FY 2000</stp>
        <stp>[FA1_ididqeuc.xlsx]Income - Adjusted!R106C12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L106" s="2"/>
      </tp>
      <tp>
        <v>1.633</v>
        <stp/>
        <stp>##V3_BDHV12</stp>
        <stp>RMS FP Equity</stp>
        <stp>IS_DILUTED_EPS</stp>
        <stp>FY 2001</stp>
        <stp>FY 2001</stp>
        <stp>[FA1_ididqeuc.xlsx]Income - Adjusted!R106C13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M106" s="2"/>
      </tp>
      <tp>
        <v>1.8411</v>
        <stp/>
        <stp>##V3_BDHV12</stp>
        <stp>RMS FP Equity</stp>
        <stp>IS_DILUTED_EPS</stp>
        <stp>FY 2002</stp>
        <stp>FY 2002</stp>
        <stp>[FA1_ididqeuc.xlsx]Income - Adjusted!R106C14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N106" s="2"/>
      </tp>
      <tp>
        <v>2.2195999999999998</v>
        <stp/>
        <stp>##V3_BDHV12</stp>
        <stp>RMS FP Equity</stp>
        <stp>IS_DILUTED_EPS</stp>
        <stp>FY 2003</stp>
        <stp>FY 2003</stp>
        <stp>[FA1_ididqeuc.xlsx]Income - Adjusted!R106C15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O106" s="2"/>
      </tp>
      <tp>
        <v>2.4178999999999999</v>
        <stp/>
        <stp>##V3_BDHV12</stp>
        <stp>RMS FP Equity</stp>
        <stp>IS_DILUTED_EPS</stp>
        <stp>FY 2004</stp>
        <stp>FY 2004</stp>
        <stp>[FA1_ididqeuc.xlsx]Income - Adjusted!R106C16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P106" s="2"/>
      </tp>
      <tp>
        <v>2.8161</v>
        <stp/>
        <stp>##V3_BDHV12</stp>
        <stp>RMS FP Equity</stp>
        <stp>IS_DILUTED_EPS</stp>
        <stp>FY 2005</stp>
        <stp>FY 2005</stp>
        <stp>[FA1_ididqeuc.xlsx]Income - Adjusted!R106C17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Q106" s="2"/>
      </tp>
      <tp>
        <v>-27.652699999999999</v>
        <stp/>
        <stp>##V3_BDHV12</stp>
        <stp>RMS FP Equity</stp>
        <stp>IS_NET_INTEREST_EXPENSE</stp>
        <stp>FY 2008</stp>
        <stp>FY 2008</stp>
        <stp>[FA1_ididqeuc.xlsx]Income - Adjusted!R38C20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38" s="2"/>
      </tp>
      <tp t="s">
        <v>—</v>
        <stp/>
        <stp>##V3_BDHV12</stp>
        <stp>RMS FP Equity</stp>
        <stp>IS_NET_INTEREST_EXPENSE</stp>
        <stp>FY 1998</stp>
        <stp>FY 1998</stp>
        <stp>[FA1_ididqeuc.xlsx]Income - Adjusted!R38C10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38" s="2"/>
      </tp>
      <tp>
        <v>9.5050000000000008</v>
        <stp/>
        <stp>##V3_BDHV12</stp>
        <stp>RMS FP Equity</stp>
        <stp>IS_EARN_BEF_XO_ITEMS_PER_SH</stp>
        <stp>FY 1992</stp>
        <stp>FY 1992</stp>
        <stp>[FA1_ididqeuc.xlsx]Income - Adjusted!R99C4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D99" s="2"/>
      </tp>
      <tp>
        <v>5.3064</v>
        <stp/>
        <stp>##V3_BDHV12</stp>
        <stp>RMS FP Equity</stp>
        <stp>IS_DIL_EPS_BEF_XO</stp>
        <stp>FY 2010</stp>
        <stp>FY 2010</stp>
        <stp>[FA1_ididqeuc.xlsx]Income - Adjusted!R108C22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V108" s="2"/>
      </tp>
      <tp t="s">
        <v>—</v>
        <stp/>
        <stp>##V3_BDHV12</stp>
        <stp>RMS FP Equity</stp>
        <stp>IS_DIL_EPS_BEF_XO</stp>
        <stp>FY 2000</stp>
        <stp>FY 2000</stp>
        <stp>[FA1_ididqeuc.xlsx]Income - Adjusted!R108C12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L108" s="2"/>
      </tp>
      <tp t="s">
        <v>—</v>
        <stp/>
        <stp>##V3_BDHV12</stp>
        <stp>RMS FP Equity</stp>
        <stp>IS_GAIN_LOSS_DISPOSAL_ASSETS</stp>
        <stp>FY 1999</stp>
        <stp>FY 1999</stp>
        <stp>[FA1_ididqeuc.xlsx]Income - Adjusted!R54C11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54" s="2"/>
      </tp>
      <tp t="s">
        <v>—</v>
        <stp/>
        <stp>##V3_BDHV12</stp>
        <stp>RMS FP Equity</stp>
        <stp>IS_GAIN_LOSS_DISPOSAL_ASSETS</stp>
        <stp>FY 1998</stp>
        <stp>FY 1998</stp>
        <stp>[FA1_ididqeuc.xlsx]Income - Adjusted!R54C10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54" s="2"/>
      </tp>
      <tp t="s">
        <v>—</v>
        <stp/>
        <stp>##V3_BDHV12</stp>
        <stp>RMS FP Equity</stp>
        <stp>IS_GAIN_LOSS_DISPOSAL_ASSETS</stp>
        <stp>FY 2001</stp>
        <stp>FY 2001</stp>
        <stp>[FA1_ididqeuc.xlsx]Income - Adjusted!R54C13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54" s="2"/>
      </tp>
      <tp t="s">
        <v>—</v>
        <stp/>
        <stp>##V3_BDHV12</stp>
        <stp>RMS FP Equity</stp>
        <stp>IS_GAIN_LOSS_DISPOSAL_ASSETS</stp>
        <stp>FY 2000</stp>
        <stp>FY 2000</stp>
        <stp>[FA1_ididqeuc.xlsx]Income - Adjusted!R54C12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54" s="2"/>
      </tp>
      <tp>
        <v>27.652699999999999</v>
        <stp/>
        <stp>##V3_BDHV12</stp>
        <stp>RMS FP Equity</stp>
        <stp>IS_INT_INC</stp>
        <stp>FY 2008</stp>
        <stp>FY 2008</stp>
        <stp>[FA1_ididqeuc.xlsx]Income - Adjusted!R42C20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42" s="2"/>
      </tp>
      <tp t="s">
        <v>—</v>
        <stp/>
        <stp>##V3_BDHV12</stp>
        <stp>RMS FP Equity</stp>
        <stp>IS_INT_INC</stp>
        <stp>FY 1998</stp>
        <stp>FY 1998</stp>
        <stp>[FA1_ididqeuc.xlsx]Income - Adjusted!R42C10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42" s="2"/>
      </tp>
      <tp t="s">
        <v>—</v>
        <stp/>
        <stp>##V3_BDHV12</stp>
        <stp>RMS FP Equity</stp>
        <stp>IS_GAIN_LOSS_DISPOSAL_ASSETS</stp>
        <stp>FY 2003</stp>
        <stp>FY 2003</stp>
        <stp>[FA1_ididqeuc.xlsx]Income - Adjusted!R54C15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54" s="2"/>
      </tp>
      <tp t="s">
        <v>—</v>
        <stp/>
        <stp>##V3_BDHV12</stp>
        <stp>RMS FP Equity</stp>
        <stp>IS_GAIN_LOSS_DISPOSAL_ASSETS</stp>
        <stp>FY 2002</stp>
        <stp>FY 2002</stp>
        <stp>[FA1_ididqeuc.xlsx]Income - Adjusted!R54C14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54" s="2"/>
      </tp>
      <tp t="s">
        <v>—</v>
        <stp/>
        <stp>##V3_BDHV12</stp>
        <stp>RMS FP Equity</stp>
        <stp>IS_GAIN_LOSS_DISPOSAL_ASSETS</stp>
        <stp>FY 2005</stp>
        <stp>FY 2005</stp>
        <stp>[FA1_ididqeuc.xlsx]Income - Adjusted!R54C17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54" s="2"/>
      </tp>
      <tp t="s">
        <v>—</v>
        <stp/>
        <stp>##V3_BDHV12</stp>
        <stp>RMS FP Equity</stp>
        <stp>IS_GAIN_LOSS_DISPOSAL_ASSETS</stp>
        <stp>FY 2004</stp>
        <stp>FY 2004</stp>
        <stp>[FA1_ididqeuc.xlsx]Income - Adjusted!R54C16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54" s="2"/>
      </tp>
      <tp t="s">
        <v>—</v>
        <stp/>
        <stp>##V3_BDHV12</stp>
        <stp>RMS FP Equity</stp>
        <stp>IS_GAIN_LOSS_DISPOSAL_ASSETS</stp>
        <stp>FY 2007</stp>
        <stp>FY 2007</stp>
        <stp>[FA1_ididqeuc.xlsx]Income - Adjusted!R54C19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54" s="2"/>
      </tp>
      <tp t="s">
        <v>—</v>
        <stp/>
        <stp>##V3_BDHV12</stp>
        <stp>RMS FP Equity</stp>
        <stp>IS_GAIN_LOSS_DISPOSAL_ASSETS</stp>
        <stp>FY 2006</stp>
        <stp>FY 2006</stp>
        <stp>[FA1_ididqeuc.xlsx]Income - Adjusted!R54C18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54" s="2"/>
      </tp>
      <tp>
        <v>23.6861</v>
        <stp/>
        <stp>##V3_BDHV12</stp>
        <stp>RMS FP Equity</stp>
        <stp>IS_IMPAIRMENT_ASSETS</stp>
        <stp>FY 2016</stp>
        <stp>FY 2016</stp>
        <stp>[FA1_ididqeuc.xlsx]Income - Adjusted!R56C28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56" s="2"/>
      </tp>
      <tp>
        <v>47.335299999999997</v>
        <stp/>
        <stp>##V3_BDHV12</stp>
        <stp>RMS FP Equity</stp>
        <stp>IS_IMPAIRMENT_ASSETS</stp>
        <stp>FY 2017</stp>
        <stp>FY 2017</stp>
        <stp>[FA1_ididqeuc.xlsx]Income - Adjusted!R56C29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56" s="2"/>
      </tp>
      <tp>
        <v>12.0892</v>
        <stp/>
        <stp>##V3_BDHV12</stp>
        <stp>RMS FP Equity</stp>
        <stp>IS_IMPAIRMENT_ASSETS</stp>
        <stp>FY 2014</stp>
        <stp>FY 2014</stp>
        <stp>[FA1_ididqeuc.xlsx]Income - Adjusted!R56C26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56" s="2"/>
      </tp>
      <tp>
        <v>16.317</v>
        <stp/>
        <stp>##V3_BDHV12</stp>
        <stp>RMS FP Equity</stp>
        <stp>IS_IMPAIRMENT_ASSETS</stp>
        <stp>FY 2015</stp>
        <stp>FY 2015</stp>
        <stp>[FA1_ididqeuc.xlsx]Income - Adjusted!R56C27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56" s="2"/>
      </tp>
      <tp>
        <v>3.7290000000000001</v>
        <stp/>
        <stp>##V3_BDHV12</stp>
        <stp>RMS FP Equity</stp>
        <stp>IS_IMPAIRMENT_ASSETS</stp>
        <stp>FY 2012</stp>
        <stp>FY 2012</stp>
        <stp>[FA1_ididqeuc.xlsx]Income - Adjusted!R56C24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56" s="2"/>
      </tp>
      <tp>
        <v>172.13650000000001</v>
        <stp/>
        <stp>##V3_BDHV12</stp>
        <stp>RMS FP Equity</stp>
        <stp>IS_OPER_INC</stp>
        <stp>FY 1997</stp>
        <stp>FY 1997</stp>
        <stp>[FA1_ididqeuc.xlsx]Income - Adjusted!R34C9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34" s="2"/>
      </tp>
      <tp>
        <v>4.2506000000000004</v>
        <stp/>
        <stp>##V3_BDHV12</stp>
        <stp>RMS FP Equity</stp>
        <stp>IS_IMPAIRMENT_ASSETS</stp>
        <stp>FY 2013</stp>
        <stp>FY 2013</stp>
        <stp>[FA1_ididqeuc.xlsx]Income - Adjusted!R56C25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56" s="2"/>
      </tp>
      <tp>
        <v>4.9085000000000001</v>
        <stp/>
        <stp>##V3_BDHV12</stp>
        <stp>RMS FP Equity</stp>
        <stp>IS_IMPAIRMENT_ASSETS</stp>
        <stp>FY 2010</stp>
        <stp>FY 2010</stp>
        <stp>[FA1_ididqeuc.xlsx]Income - Adjusted!R56C22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56" s="2"/>
      </tp>
      <tp>
        <v>2.7848000000000002</v>
        <stp/>
        <stp>##V3_BDHV12</stp>
        <stp>RMS FP Equity</stp>
        <stp>IS_IMPAIRMENT_ASSETS</stp>
        <stp>FY 2011</stp>
        <stp>FY 2011</stp>
        <stp>[FA1_ididqeuc.xlsx]Income - Adjusted!R56C23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56" s="2"/>
      </tp>
      <tp t="s">
        <v>—</v>
        <stp/>
        <stp>##V3_BDHV12</stp>
        <stp>RMS FP Equity</stp>
        <stp>IS_IMPAIRMENT_ASSETS</stp>
        <stp>FY 2008</stp>
        <stp>FY 2008</stp>
        <stp>[FA1_ididqeuc.xlsx]Income - Adjusted!R56C20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56" s="2"/>
      </tp>
      <tp>
        <v>3.9043999999999999</v>
        <stp/>
        <stp>##V3_BDHV12</stp>
        <stp>RMS FP Equity</stp>
        <stp>IS_IMPAIRMENT_ASSETS</stp>
        <stp>FY 2009</stp>
        <stp>FY 2009</stp>
        <stp>[FA1_ididqeuc.xlsx]Income - Adjusted!R56C21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56" s="2"/>
      </tp>
      <tp t="s">
        <v>—</v>
        <stp/>
        <stp>##V3_BDHV12</stp>
        <stp>RMS FP Equity</stp>
        <stp>IS_OTHER_NON_OPERATING_INC_LOSS</stp>
        <stp>FY 1998</stp>
        <stp>FY 1998</stp>
        <stp>[FA1_ididqeuc.xlsx]Income - Adjusted!R48C10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48" s="2"/>
      </tp>
      <tp t="s">
        <v>—</v>
        <stp/>
        <stp>##V3_BDHV12</stp>
        <stp>RMS FP Equity</stp>
        <stp>IS_OTHER_NON_OPERATING_INC_LOSS</stp>
        <stp>FY 2008</stp>
        <stp>FY 2008</stp>
        <stp>[FA1_ididqeuc.xlsx]Income - Adjusted!R48C20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48" s="2"/>
      </tp>
      <tp>
        <v>-7.8087999999999997</v>
        <stp/>
        <stp>##V3_BDHV12</stp>
        <stp>RMS FP Equity</stp>
        <stp>IS_NET_INTEREST_EXPENSE</stp>
        <stp>FY 2009</stp>
        <stp>FY 2009</stp>
        <stp>[FA1_ididqeuc.xlsx]Income - Adjusted!R38C21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38" s="2"/>
      </tp>
      <tp t="s">
        <v>—</v>
        <stp/>
        <stp>##V3_BDHV12</stp>
        <stp>RMS FP Equity</stp>
        <stp>IS_NET_INTEREST_EXPENSE</stp>
        <stp>FY 1999</stp>
        <stp>FY 1999</stp>
        <stp>[FA1_ididqeuc.xlsx]Income - Adjusted!R38C11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38" s="2"/>
      </tp>
      <tp>
        <v>0.65749999999999997</v>
        <stp/>
        <stp>##V3_BDHV12</stp>
        <stp>RMS FP Equity</stp>
        <stp>IS_EARN_BEF_XO_ITEMS_PER_SH</stp>
        <stp>FY 1993</stp>
        <stp>FY 1993</stp>
        <stp>[FA1_ididqeuc.xlsx]Income - Adjusted!R99C5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E99" s="2"/>
      </tp>
      <tp>
        <v>7.8810000000000002</v>
        <stp/>
        <stp>##V3_BDHV12</stp>
        <stp>RMS FP Equity</stp>
        <stp>IS_DIL_EPS_BEF_XO</stp>
        <stp>FY 2011</stp>
        <stp>FY 2011</stp>
        <stp>[FA1_ididqeuc.xlsx]Income - Adjusted!R108C23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W108" s="2"/>
      </tp>
      <tp t="s">
        <v>—</v>
        <stp/>
        <stp>##V3_BDHV12</stp>
        <stp>RMS FP Equity</stp>
        <stp>IS_DIL_EPS_BEF_XO</stp>
        <stp>FY 2001</stp>
        <stp>FY 2001</stp>
        <stp>[FA1_ididqeuc.xlsx]Income - Adjusted!R108C13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M108" s="2"/>
      </tp>
      <tp t="s">
        <v>—</v>
        <stp/>
        <stp>##V3_BDHV12</stp>
        <stp>RMS FP Equity</stp>
        <stp>IS_GAIN_LOSS_DISPOSAL_ASSETS</stp>
        <stp>FY 2009</stp>
        <stp>FY 2009</stp>
        <stp>[FA1_ididqeuc.xlsx]Income - Adjusted!R54C21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54" s="2"/>
      </tp>
      <tp t="s">
        <v>—</v>
        <stp/>
        <stp>##V3_BDHV12</stp>
        <stp>RMS FP Equity</stp>
        <stp>IS_GAIN_LOSS_DISPOSAL_ASSETS</stp>
        <stp>FY 2008</stp>
        <stp>FY 2008</stp>
        <stp>[FA1_ididqeuc.xlsx]Income - Adjusted!R54C20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54" s="2"/>
      </tp>
      <tp t="s">
        <v>—</v>
        <stp/>
        <stp>##V3_BDHV12</stp>
        <stp>RMS FP Equity</stp>
        <stp>IS_GAIN_LOSS_DISPOSAL_ASSETS</stp>
        <stp>FY 2011</stp>
        <stp>FY 2011</stp>
        <stp>[FA1_ididqeuc.xlsx]Income - Adjusted!R54C23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54" s="2"/>
      </tp>
      <tp t="s">
        <v>—</v>
        <stp/>
        <stp>##V3_BDHV12</stp>
        <stp>RMS FP Equity</stp>
        <stp>IS_GAIN_LOSS_DISPOSAL_ASSETS</stp>
        <stp>FY 2010</stp>
        <stp>FY 2010</stp>
        <stp>[FA1_ididqeuc.xlsx]Income - Adjusted!R54C22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54" s="2"/>
      </tp>
      <tp>
        <v>15.177199999999999</v>
        <stp/>
        <stp>##V3_BDHV12</stp>
        <stp>RMS FP Equity</stp>
        <stp>IS_INT_INC</stp>
        <stp>FY 2011</stp>
        <stp>FY 2011</stp>
        <stp>[FA1_ididqeuc.xlsx]Income - Adjusted!R42C23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42" s="2"/>
      </tp>
      <tp t="s">
        <v>—</v>
        <stp/>
        <stp>##V3_BDHV12</stp>
        <stp>RMS FP Equity</stp>
        <stp>IS_INT_INC</stp>
        <stp>FY 2001</stp>
        <stp>FY 2001</stp>
        <stp>[FA1_ididqeuc.xlsx]Income - Adjusted!R42C13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42" s="2"/>
      </tp>
      <tp t="s">
        <v>—</v>
        <stp/>
        <stp>##V3_BDHV12</stp>
        <stp>RMS FP Equity</stp>
        <stp>IS_GAIN_LOSS_DISPOSAL_ASSETS</stp>
        <stp>FY 2013</stp>
        <stp>FY 2013</stp>
        <stp>[FA1_ididqeuc.xlsx]Income - Adjusted!R54C25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54" s="2"/>
      </tp>
      <tp t="s">
        <v>—</v>
        <stp/>
        <stp>##V3_BDHV12</stp>
        <stp>RMS FP Equity</stp>
        <stp>IS_GAIN_LOSS_DISPOSAL_ASSETS</stp>
        <stp>FY 2012</stp>
        <stp>FY 2012</stp>
        <stp>[FA1_ididqeuc.xlsx]Income - Adjusted!R54C24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54" s="2"/>
      </tp>
      <tp>
        <v>-4.1070000000000002</v>
        <stp/>
        <stp>##V3_BDHV12</stp>
        <stp>RMS FP Equity</stp>
        <stp>IS_GAIN_LOSS_DISPOSAL_ASSETS</stp>
        <stp>FY 2015</stp>
        <stp>FY 2015</stp>
        <stp>[FA1_ididqeuc.xlsx]Income - Adjusted!R54C27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54" s="2"/>
      </tp>
      <tp t="s">
        <v>—</v>
        <stp/>
        <stp>##V3_BDHV12</stp>
        <stp>RMS FP Equity</stp>
        <stp>IS_GAIN_LOSS_DISPOSAL_ASSETS</stp>
        <stp>FY 2014</stp>
        <stp>FY 2014</stp>
        <stp>[FA1_ididqeuc.xlsx]Income - Adjusted!R54C26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54" s="2"/>
      </tp>
      <tp t="s">
        <v>—</v>
        <stp/>
        <stp>##V3_BDHV12</stp>
        <stp>RMS FP Equity</stp>
        <stp>IS_GAIN_LOSS_DISPOSAL_ASSETS</stp>
        <stp>FY 2017</stp>
        <stp>FY 2017</stp>
        <stp>[FA1_ididqeuc.xlsx]Income - Adjusted!R54C29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54" s="2"/>
      </tp>
      <tp>
        <v>-20.808399999999999</v>
        <stp/>
        <stp>##V3_BDHV12</stp>
        <stp>RMS FP Equity</stp>
        <stp>IS_GAIN_LOSS_DISPOSAL_ASSETS</stp>
        <stp>FY 2016</stp>
        <stp>FY 2016</stp>
        <stp>[FA1_ididqeuc.xlsx]Income - Adjusted!R54C28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54" s="2"/>
      </tp>
      <tp t="s">
        <v>—</v>
        <stp/>
        <stp>##V3_BDHV12</stp>
        <stp>RMS FP Equity</stp>
        <stp>IS_IMPAIRMENT_ASSETS</stp>
        <stp>FY 2006</stp>
        <stp>FY 2006</stp>
        <stp>[FA1_ididqeuc.xlsx]Income - Adjusted!R56C18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56" s="2"/>
      </tp>
      <tp t="s">
        <v>—</v>
        <stp/>
        <stp>##V3_BDHV12</stp>
        <stp>RMS FP Equity</stp>
        <stp>IS_IMPAIRMENT_ASSETS</stp>
        <stp>FY 2007</stp>
        <stp>FY 2007</stp>
        <stp>[FA1_ididqeuc.xlsx]Income - Adjusted!R56C19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56" s="2"/>
      </tp>
      <tp t="s">
        <v>—</v>
        <stp/>
        <stp>##V3_BDHV12</stp>
        <stp>RMS FP Equity</stp>
        <stp>IS_IMPAIRMENT_ASSETS</stp>
        <stp>FY 2004</stp>
        <stp>FY 2004</stp>
        <stp>[FA1_ididqeuc.xlsx]Income - Adjusted!R56C16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56" s="2"/>
      </tp>
      <tp t="s">
        <v>—</v>
        <stp/>
        <stp>##V3_BDHV12</stp>
        <stp>RMS FP Equity</stp>
        <stp>IS_IMPAIRMENT_ASSETS</stp>
        <stp>FY 2005</stp>
        <stp>FY 2005</stp>
        <stp>[FA1_ididqeuc.xlsx]Income - Adjusted!R56C17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56" s="2"/>
      </tp>
      <tp t="s">
        <v>—</v>
        <stp/>
        <stp>##V3_BDHV12</stp>
        <stp>RMS FP Equity</stp>
        <stp>IS_IMPAIRMENT_ASSETS</stp>
        <stp>FY 2002</stp>
        <stp>FY 2002</stp>
        <stp>[FA1_ididqeuc.xlsx]Income - Adjusted!R56C14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56" s="2"/>
      </tp>
      <tp t="s">
        <v>—</v>
        <stp/>
        <stp>##V3_BDHV12</stp>
        <stp>RMS FP Equity</stp>
        <stp>IS_DEPRECIATION_AND_AMORTIZATION</stp>
        <stp>FY 1996</stp>
        <stp>FY 1996</stp>
        <stp>[FA1_ididqeuc.xlsx]Income - Adjusted!R28C8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8" s="2"/>
      </tp>
      <tp t="s">
        <v>—</v>
        <stp/>
        <stp>##V3_BDHV12</stp>
        <stp>RMS FP Equity</stp>
        <stp>IS_IMPAIRMENT_ASSETS</stp>
        <stp>FY 2003</stp>
        <stp>FY 2003</stp>
        <stp>[FA1_ididqeuc.xlsx]Income - Adjusted!R56C15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56" s="2"/>
      </tp>
      <tp t="s">
        <v>—</v>
        <stp/>
        <stp>##V3_BDHV12</stp>
        <stp>RMS FP Equity</stp>
        <stp>IS_IMPAIRMENT_ASSETS</stp>
        <stp>FY 2000</stp>
        <stp>FY 2000</stp>
        <stp>[FA1_ididqeuc.xlsx]Income - Adjusted!R56C12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56" s="2"/>
      </tp>
      <tp>
        <v>95.505499999999998</v>
        <stp/>
        <stp>##V3_BDHV12</stp>
        <stp>RMS FP Equity</stp>
        <stp>NI_INCLUDING_MINORITY_INT_RATIO</stp>
        <stp>FY 1997</stp>
        <stp>FY 1997</stp>
        <stp>[FA1_ididqeuc.xlsx]Income - Adjusted!R78C9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78" s="2"/>
      </tp>
      <tp t="s">
        <v>—</v>
        <stp/>
        <stp>##V3_BDHV12</stp>
        <stp>RMS FP Equity</stp>
        <stp>IS_IMPAIRMENT_ASSETS</stp>
        <stp>FY 2001</stp>
        <stp>FY 2001</stp>
        <stp>[FA1_ididqeuc.xlsx]Income - Adjusted!R56C13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56" s="2"/>
      </tp>
      <tp t="s">
        <v>—</v>
        <stp/>
        <stp>##V3_BDHV12</stp>
        <stp>RMS FP Equity</stp>
        <stp>IS_IMPAIRMENT_ASSETS</stp>
        <stp>FY 1998</stp>
        <stp>FY 1998</stp>
        <stp>[FA1_ididqeuc.xlsx]Income - Adjusted!R56C10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56" s="2"/>
      </tp>
      <tp t="s">
        <v>—</v>
        <stp/>
        <stp>##V3_BDHV12</stp>
        <stp>RMS FP Equity</stp>
        <stp>IS_IMPAIRMENT_ASSETS</stp>
        <stp>FY 1999</stp>
        <stp>FY 1999</stp>
        <stp>[FA1_ididqeuc.xlsx]Income - Adjusted!R56C11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56" s="2"/>
      </tp>
      <tp>
        <v>0</v>
        <stp/>
        <stp>##V3_BDHV12</stp>
        <stp>RMS FP Equity</stp>
        <stp>XO_GL_NET_OF_TAX</stp>
        <stp>FY 1997</stp>
        <stp>FY 1997</stp>
        <stp>[FA1_ididqeuc.xlsx]Income - Adjusted!R75C9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75" s="2"/>
      </tp>
      <tp>
        <v>0</v>
        <stp/>
        <stp>##V3_BDHV12</stp>
        <stp>RMS FP Equity</stp>
        <stp>XO_GL_NET_OF_TAX</stp>
        <stp>FY 1997</stp>
        <stp>FY 1997</stp>
        <stp>[FA1_ididqeuc.xlsx]Income - Adjusted!R93C9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93" s="2"/>
      </tp>
      <tp>
        <v>0</v>
        <stp/>
        <stp>##V3_BDHV12</stp>
        <stp>RMS FP Equity</stp>
        <stp>XO_GL_NET_OF_TAX</stp>
        <stp>FY 1996</stp>
        <stp>FY 1996</stp>
        <stp>[FA1_ididqeuc.xlsx]Income - Adjusted!R75C8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75" s="2"/>
      </tp>
      <tp>
        <v>0</v>
        <stp/>
        <stp>##V3_BDHV12</stp>
        <stp>RMS FP Equity</stp>
        <stp>XO_GL_NET_OF_TAX</stp>
        <stp>FY 1996</stp>
        <stp>FY 1996</stp>
        <stp>[FA1_ididqeuc.xlsx]Income - Adjusted!R93C8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93" s="2"/>
      </tp>
      <tp>
        <v>0</v>
        <stp/>
        <stp>##V3_BDHV12</stp>
        <stp>RMS FP Equity</stp>
        <stp>XO_GL_NET_OF_TAX</stp>
        <stp>FY 1991</stp>
        <stp>FY 1991</stp>
        <stp>[FA1_ididqeuc.xlsx]Income - Adjusted!R75C3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75" s="2"/>
      </tp>
      <tp>
        <v>0</v>
        <stp/>
        <stp>##V3_BDHV12</stp>
        <stp>RMS FP Equity</stp>
        <stp>XO_GL_NET_OF_TAX</stp>
        <stp>FY 1991</stp>
        <stp>FY 1991</stp>
        <stp>[FA1_ididqeuc.xlsx]Income - Adjusted!R93C3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93" s="2"/>
      </tp>
      <tp t="s">
        <v>—</v>
        <stp/>
        <stp>##V3_BDHV12</stp>
        <stp>RMS FP Equity</stp>
        <stp>IS_OTHER_NON_OPERATING_INC_LOSS</stp>
        <stp>FY 2001</stp>
        <stp>FY 2001</stp>
        <stp>[FA1_ididqeuc.xlsx]Income - Adjusted!R48C13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48" s="2"/>
      </tp>
      <tp>
        <v>-2.7848000000000002</v>
        <stp/>
        <stp>##V3_BDHV12</stp>
        <stp>RMS FP Equity</stp>
        <stp>IS_OTHER_NON_OPERATING_INC_LOSS</stp>
        <stp>FY 2011</stp>
        <stp>FY 2011</stp>
        <stp>[FA1_ididqeuc.xlsx]Income - Adjusted!R48C23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48" s="2"/>
      </tp>
      <tp>
        <v>0</v>
        <stp/>
        <stp>##V3_BDHV12</stp>
        <stp>RMS FP Equity</stp>
        <stp>XO_GL_NET_OF_TAX</stp>
        <stp>FY 1993</stp>
        <stp>FY 1993</stp>
        <stp>[FA1_ididqeuc.xlsx]Income - Adjusted!R75C5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75" s="2"/>
      </tp>
      <tp>
        <v>0</v>
        <stp/>
        <stp>##V3_BDHV12</stp>
        <stp>RMS FP Equity</stp>
        <stp>XO_GL_NET_OF_TAX</stp>
        <stp>FY 1993</stp>
        <stp>FY 1993</stp>
        <stp>[FA1_ididqeuc.xlsx]Income - Adjusted!R93C5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93" s="2"/>
      </tp>
      <tp>
        <v>0</v>
        <stp/>
        <stp>##V3_BDHV12</stp>
        <stp>RMS FP Equity</stp>
        <stp>XO_GL_NET_OF_TAX</stp>
        <stp>FY 1992</stp>
        <stp>FY 1992</stp>
        <stp>[FA1_ididqeuc.xlsx]Income - Adjusted!R75C4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75" s="2"/>
      </tp>
      <tp>
        <v>0</v>
        <stp/>
        <stp>##V3_BDHV12</stp>
        <stp>RMS FP Equity</stp>
        <stp>XO_GL_NET_OF_TAX</stp>
        <stp>FY 1992</stp>
        <stp>FY 1992</stp>
        <stp>[FA1_ididqeuc.xlsx]Income - Adjusted!R93C4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93" s="2"/>
      </tp>
      <tp>
        <v>0</v>
        <stp/>
        <stp>##V3_BDHV12</stp>
        <stp>RMS FP Equity</stp>
        <stp>XO_GL_NET_OF_TAX</stp>
        <stp>FY 1995</stp>
        <stp>FY 1995</stp>
        <stp>[FA1_ididqeuc.xlsx]Income - Adjusted!R75C7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75" s="2"/>
      </tp>
      <tp>
        <v>0</v>
        <stp/>
        <stp>##V3_BDHV12</stp>
        <stp>RMS FP Equity</stp>
        <stp>XO_GL_NET_OF_TAX</stp>
        <stp>FY 1995</stp>
        <stp>FY 1995</stp>
        <stp>[FA1_ididqeuc.xlsx]Income - Adjusted!R93C7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93" s="2"/>
      </tp>
      <tp>
        <v>0</v>
        <stp/>
        <stp>##V3_BDHV12</stp>
        <stp>RMS FP Equity</stp>
        <stp>XO_GL_NET_OF_TAX</stp>
        <stp>FY 1994</stp>
        <stp>FY 1994</stp>
        <stp>[FA1_ididqeuc.xlsx]Income - Adjusted!R75C6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75" s="2"/>
      </tp>
      <tp>
        <v>0</v>
        <stp/>
        <stp>##V3_BDHV12</stp>
        <stp>RMS FP Equity</stp>
        <stp>XO_GL_NET_OF_TAX</stp>
        <stp>FY 1994</stp>
        <stp>FY 1994</stp>
        <stp>[FA1_ididqeuc.xlsx]Income - Adjusted!R93C6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93" s="2"/>
      </tp>
      <tp>
        <v>-6.3677000000000001</v>
        <stp/>
        <stp>##V3_BDHV12</stp>
        <stp>RMS FP Equity</stp>
        <stp>IS_NET_INTEREST_EXPENSE</stp>
        <stp>FY 2010</stp>
        <stp>FY 2010</stp>
        <stp>[FA1_ididqeuc.xlsx]Income - Adjusted!R38C22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38" s="2"/>
      </tp>
      <tp t="s">
        <v>—</v>
        <stp/>
        <stp>##V3_BDHV12</stp>
        <stp>RMS FP Equity</stp>
        <stp>IS_NET_INTEREST_EXPENSE</stp>
        <stp>FY 2000</stp>
        <stp>FY 2000</stp>
        <stp>[FA1_ididqeuc.xlsx]Income - Adjusted!R38C12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38" s="2"/>
      </tp>
      <tp>
        <v>0.4798</v>
        <stp/>
        <stp>##V3_BDHV12</stp>
        <stp>RMS FP Equity</stp>
        <stp>IS_EARN_BEF_XO_ITEMS_PER_SH</stp>
        <stp>FY 1994</stp>
        <stp>FY 1994</stp>
        <stp>[FA1_ididqeuc.xlsx]Income - Adjusted!R99C6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F99" s="2"/>
      </tp>
      <tp>
        <v>42.535699999999999</v>
        <stp/>
        <stp>##V3_BDHV12</stp>
        <stp>RMS FP Equity</stp>
        <stp>PRETAX_INC</stp>
        <stp>FY 1991</stp>
        <stp>FY 1991</stp>
        <stp>[FA1_ididqeuc.xlsx]Income - Adjusted!R50C3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50" s="2"/>
      </tp>
      <tp>
        <v>4.0597000000000003</v>
        <stp/>
        <stp>##V3_BDHV12</stp>
        <stp>RMS FP Equity</stp>
        <stp>IS_DIL_EPS_BEF_XO</stp>
        <stp>FY 2008</stp>
        <stp>FY 2008</stp>
        <stp>[FA1_ididqeuc.xlsx]Income - Adjusted!R108C20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T108" s="2"/>
      </tp>
      <tp t="s">
        <v>—</v>
        <stp/>
        <stp>##V3_BDHV12</stp>
        <stp>RMS FP Equity</stp>
        <stp>IS_DIL_EPS_BEF_XO</stp>
        <stp>FY 1998</stp>
        <stp>FY 1998</stp>
        <stp>[FA1_ididqeuc.xlsx]Income - Adjusted!R108C10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J108" s="2"/>
      </tp>
      <tp>
        <v>6.7656999999999998</v>
        <stp/>
        <stp>##V3_BDHV12</stp>
        <stp>RMS FP Equity</stp>
        <stp>IS_INT_INC</stp>
        <stp>FY 2010</stp>
        <stp>FY 2010</stp>
        <stp>[FA1_ididqeuc.xlsx]Income - Adjusted!R42C22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42" s="2"/>
      </tp>
      <tp t="s">
        <v>—</v>
        <stp/>
        <stp>##V3_BDHV12</stp>
        <stp>RMS FP Equity</stp>
        <stp>IS_INT_INC</stp>
        <stp>FY 2000</stp>
        <stp>FY 2000</stp>
        <stp>[FA1_ididqeuc.xlsx]Income - Adjusted!R42C12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42" s="2"/>
      </tp>
      <tp t="s">
        <v>—</v>
        <stp/>
        <stp>##V3_BDHV12</stp>
        <stp>RMS FP Equity</stp>
        <stp>IS_DEPRECIATION_AND_AMORTIZATION</stp>
        <stp>FY 1997</stp>
        <stp>FY 1997</stp>
        <stp>[FA1_ididqeuc.xlsx]Income - Adjusted!R28C9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8" s="2"/>
      </tp>
      <tp>
        <v>94.063500000000005</v>
        <stp/>
        <stp>##V3_BDHV12</stp>
        <stp>RMS FP Equity</stp>
        <stp>NI_INCLUDING_MINORITY_INT_RATIO</stp>
        <stp>FY 1996</stp>
        <stp>FY 1996</stp>
        <stp>[FA1_ididqeuc.xlsx]Income - Adjusted!R78C8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78" s="2"/>
      </tp>
      <tp t="s">
        <v>—</v>
        <stp/>
        <stp>##V3_BDHV12</stp>
        <stp>RMS FP Equity</stp>
        <stp>IS_COG_AND_SERVICES_SOLD</stp>
        <stp>FY 1991</stp>
        <stp>FY 1991</stp>
        <stp>[FA1_ididqeuc.xlsx]Income - Adjusted!R12C3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2" s="2"/>
      </tp>
      <tp t="s">
        <v>—</v>
        <stp/>
        <stp>##V3_BDHV12</stp>
        <stp>RMS FP Equity</stp>
        <stp>IS_OTHER_NON_OPERATING_INC_LOSS</stp>
        <stp>FY 2000</stp>
        <stp>FY 2000</stp>
        <stp>[FA1_ididqeuc.xlsx]Income - Adjusted!R48C12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48" s="2"/>
      </tp>
      <tp>
        <v>22.950399999999998</v>
        <stp/>
        <stp>##V3_BDHV12</stp>
        <stp>RMS FP Equity</stp>
        <stp>IS_OTHER_NON_OPERATING_INC_LOSS</stp>
        <stp>FY 2010</stp>
        <stp>FY 2010</stp>
        <stp>[FA1_ididqeuc.xlsx]Income - Adjusted!R48C22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48" s="2"/>
      </tp>
      <tp>
        <v>-14.620200000000001</v>
        <stp/>
        <stp>##V3_BDHV12</stp>
        <stp>RMS FP Equity</stp>
        <stp>IS_NET_INTEREST_EXPENSE</stp>
        <stp>FY 2011</stp>
        <stp>FY 2011</stp>
        <stp>[FA1_ididqeuc.xlsx]Income - Adjusted!R38C23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38" s="2"/>
      </tp>
      <tp t="s">
        <v>—</v>
        <stp/>
        <stp>##V3_BDHV12</stp>
        <stp>RMS FP Equity</stp>
        <stp>IS_NET_INTEREST_EXPENSE</stp>
        <stp>FY 2001</stp>
        <stp>FY 2001</stp>
        <stp>[FA1_ididqeuc.xlsx]Income - Adjusted!R38C13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38" s="2"/>
      </tp>
      <tp>
        <v>0.73899999999999999</v>
        <stp/>
        <stp>##V3_BDHV12</stp>
        <stp>RMS FP Equity</stp>
        <stp>IS_EARN_BEF_XO_ITEMS_PER_SH</stp>
        <stp>FY 1995</stp>
        <stp>FY 1995</stp>
        <stp>[FA1_ididqeuc.xlsx]Income - Adjusted!R99C7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G99" s="2"/>
      </tp>
      <tp>
        <v>3.8208000000000002</v>
        <stp/>
        <stp>##V3_BDHV12</stp>
        <stp>RMS FP Equity</stp>
        <stp>IS_DIL_EPS_BEF_XO</stp>
        <stp>FY 2009</stp>
        <stp>FY 2009</stp>
        <stp>[FA1_ididqeuc.xlsx]Income - Adjusted!R108C21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U108" s="2"/>
      </tp>
      <tp t="s">
        <v>—</v>
        <stp/>
        <stp>##V3_BDHV12</stp>
        <stp>RMS FP Equity</stp>
        <stp>IS_DIL_EPS_BEF_XO</stp>
        <stp>FY 1999</stp>
        <stp>FY 1999</stp>
        <stp>[FA1_ididqeuc.xlsx]Income - Adjusted!R108C11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K108" s="2"/>
      </tp>
      <tp>
        <v>909.13810000000001</v>
        <stp/>
        <stp>##V3_BDHV12</stp>
        <stp>RMS FP Equity</stp>
        <stp>GROSS_PROFIT</stp>
        <stp>FY 2003</stp>
        <stp>FY 2003</stp>
        <stp>[FA1_ididqeuc.xlsx]Income - Adjusted!R16C15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6" s="2"/>
      </tp>
      <tp>
        <v>3433.0209</v>
        <stp/>
        <stp>##V3_BDHV12</stp>
        <stp>RMS FP Equity</stp>
        <stp>GROSS_PROFIT</stp>
        <stp>FY 2013</stp>
        <stp>FY 2013</stp>
        <stp>[FA1_ididqeuc.xlsx]Income - Adjusted!R16C25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6" s="2"/>
      </tp>
    </main>
    <main first="bloomberg.rtd">
      <tp>
        <v>3.51</v>
        <stp/>
        <stp>##V3_BDHV12</stp>
        <stp>RMS FP Equity</stp>
        <stp>IS_AVG_NUM_SH_FOR_EPS</stp>
        <stp>FY 1991</stp>
        <stp>FY 1991</stp>
        <stp>[FA1_ididqeuc.xlsx]Income - Adjusted!R95C3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C95" s="2"/>
      </tp>
      <tp>
        <v>761.25390000000004</v>
        <stp/>
        <stp>##V3_BDHV12</stp>
        <stp>RMS FP Equity</stp>
        <stp>GROSS_PROFIT</stp>
        <stp>FY 2002</stp>
        <stp>FY 2002</stp>
        <stp>[FA1_ididqeuc.xlsx]Income - Adjusted!R16C14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6" s="2"/>
      </tp>
      <tp>
        <v>3051.7579000000001</v>
        <stp/>
        <stp>##V3_BDHV12</stp>
        <stp>RMS FP Equity</stp>
        <stp>GROSS_PROFIT</stp>
        <stp>FY 2012</stp>
        <stp>FY 2012</stp>
        <stp>[FA1_ididqeuc.xlsx]Income - Adjusted!R16C24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6" s="2"/>
      </tp>
      <tp>
        <v>1155.6291000000001</v>
        <stp/>
        <stp>##V3_BDHV12</stp>
        <stp>RMS FP Equity</stp>
        <stp>GROSS_PROFIT</stp>
        <stp>FY 2005</stp>
        <stp>FY 2005</stp>
        <stp>[FA1_ididqeuc.xlsx]Income - Adjusted!R16C17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6" s="2"/>
      </tp>
      <tp>
        <v>3550.337</v>
        <stp/>
        <stp>##V3_BDHV12</stp>
        <stp>RMS FP Equity</stp>
        <stp>GROSS_PROFIT</stp>
        <stp>FY 2015</stp>
        <stp>FY 2015</stp>
        <stp>[FA1_ididqeuc.xlsx]Income - Adjusted!R16C27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6" s="2"/>
      </tp>
      <tp t="s">
        <v>—</v>
        <stp/>
        <stp>##V3_BDHV12</stp>
        <stp>RMS FP Equity</stp>
        <stp>IS_FOREIGN_EXCH_LOSS</stp>
        <stp>FY 2007</stp>
        <stp>FY 2007</stp>
        <stp>[FA1_ididqeuc.xlsx]Income - Adjusted!R44C19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44" s="2"/>
      </tp>
      <tp>
        <v>0</v>
        <stp/>
        <stp>##V3_BDHV12</stp>
        <stp>RMS FP Equity</stp>
        <stp>IS_FOREIGN_EXCH_LOSS</stp>
        <stp>FY 2017</stp>
        <stp>FY 2017</stp>
        <stp>[FA1_ididqeuc.xlsx]Income - Adjusted!R44C29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44" s="2"/>
      </tp>
      <tp>
        <v>1079.9803999999999</v>
        <stp/>
        <stp>##V3_BDHV12</stp>
        <stp>RMS FP Equity</stp>
        <stp>GROSS_PROFIT</stp>
        <stp>FY 2004</stp>
        <stp>FY 2004</stp>
        <stp>[FA1_ididqeuc.xlsx]Income - Adjusted!R16C16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6" s="2"/>
      </tp>
      <tp>
        <v>3657.3213999999998</v>
        <stp/>
        <stp>##V3_BDHV12</stp>
        <stp>RMS FP Equity</stp>
        <stp>GROSS_PROFIT</stp>
        <stp>FY 2014</stp>
        <stp>FY 2014</stp>
        <stp>[FA1_ididqeuc.xlsx]Income - Adjusted!R16C26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6" s="2"/>
      </tp>
      <tp t="s">
        <v>—</v>
        <stp/>
        <stp>##V3_BDHV12</stp>
        <stp>RMS FP Equity</stp>
        <stp>IS_FOREIGN_EXCH_LOSS</stp>
        <stp>FY 2006</stp>
        <stp>FY 2006</stp>
        <stp>[FA1_ididqeuc.xlsx]Income - Adjusted!R44C18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44" s="2"/>
      </tp>
      <tp>
        <v>0</v>
        <stp/>
        <stp>##V3_BDHV12</stp>
        <stp>RMS FP Equity</stp>
        <stp>IS_FOREIGN_EXCH_LOSS</stp>
        <stp>FY 2016</stp>
        <stp>FY 2016</stp>
        <stp>[FA1_ididqeuc.xlsx]Income - Adjusted!R44C28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44" s="2"/>
      </tp>
      <tp>
        <v>577.8048</v>
        <stp/>
        <stp>##V3_BDHV12</stp>
        <stp>RMS FP Equity</stp>
        <stp>GROSS_PROFIT</stp>
        <stp>FY 1999</stp>
        <stp>FY 1999</stp>
        <stp>[FA1_ididqeuc.xlsx]Income - Adjusted!R16C11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6" s="2"/>
      </tp>
      <tp>
        <v>1690.8939</v>
        <stp/>
        <stp>##V3_BDHV12</stp>
        <stp>RMS FP Equity</stp>
        <stp>GROSS_PROFIT</stp>
        <stp>FY 2009</stp>
        <stp>FY 2009</stp>
        <stp>[FA1_ididqeuc.xlsx]Income - Adjusted!R16C21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6" s="2"/>
      </tp>
      <tp>
        <v>109.72799999999999</v>
        <stp/>
        <stp>##V3_BDHV12</stp>
        <stp>RMS FP Equity</stp>
        <stp>IS_AVG_NUM_SH_FOR_EPS</stp>
        <stp>FY 1995</stp>
        <stp>FY 1995</stp>
        <stp>[FA1_ididqeuc.xlsx]Income - Adjusted!R95C7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G95" s="2"/>
      </tp>
      <tp>
        <v>506.71589999999998</v>
        <stp/>
        <stp>##V3_BDHV12</stp>
        <stp>RMS FP Equity</stp>
        <stp>GROSS_PROFIT</stp>
        <stp>FY 1998</stp>
        <stp>FY 1998</stp>
        <stp>[FA1_ididqeuc.xlsx]Income - Adjusted!R16C10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6" s="2"/>
      </tp>
      <tp>
        <v>1676.961</v>
        <stp/>
        <stp>##V3_BDHV12</stp>
        <stp>RMS FP Equity</stp>
        <stp>GROSS_PROFIT</stp>
        <stp>FY 2008</stp>
        <stp>FY 2008</stp>
        <stp>[FA1_ididqeuc.xlsx]Income - Adjusted!R16C20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6" s="2"/>
      </tp>
      <tp>
        <v>0</v>
        <stp/>
        <stp>##V3_BDHV12</stp>
        <stp>RMS FP Equity</stp>
        <stp>OTHER_ADJUSTMENTS</stp>
        <stp>FY 2016</stp>
        <stp>FY 2016</stp>
        <stp>[FA1_ididqeuc.xlsx]Income - Adjusted!R85C28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85" s="2"/>
      </tp>
      <tp>
        <v>0</v>
        <stp/>
        <stp>##V3_BDHV12</stp>
        <stp>RMS FP Equity</stp>
        <stp>OTHER_ADJUSTMENTS</stp>
        <stp>FY 2017</stp>
        <stp>FY 2017</stp>
        <stp>[FA1_ididqeuc.xlsx]Income - Adjusted!R85C29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85" s="2"/>
      </tp>
      <tp>
        <v>0</v>
        <stp/>
        <stp>##V3_BDHV12</stp>
        <stp>RMS FP Equity</stp>
        <stp>OTHER_ADJUSTMENTS</stp>
        <stp>FY 2014</stp>
        <stp>FY 2014</stp>
        <stp>[FA1_ididqeuc.xlsx]Income - Adjusted!R85C26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85" s="2"/>
      </tp>
      <tp>
        <v>0</v>
        <stp/>
        <stp>##V3_BDHV12</stp>
        <stp>RMS FP Equity</stp>
        <stp>OTHER_ADJUSTMENTS</stp>
        <stp>FY 2015</stp>
        <stp>FY 2015</stp>
        <stp>[FA1_ididqeuc.xlsx]Income - Adjusted!R85C27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85" s="2"/>
      </tp>
      <tp>
        <v>0</v>
        <stp/>
        <stp>##V3_BDHV12</stp>
        <stp>RMS FP Equity</stp>
        <stp>OTHER_ADJUSTMENTS</stp>
        <stp>FY 2012</stp>
        <stp>FY 2012</stp>
        <stp>[FA1_ididqeuc.xlsx]Income - Adjusted!R85C24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85" s="2"/>
      </tp>
      <tp>
        <v>0</v>
        <stp/>
        <stp>##V3_BDHV12</stp>
        <stp>RMS FP Equity</stp>
        <stp>OTHER_ADJUSTMENTS</stp>
        <stp>FY 2013</stp>
        <stp>FY 2013</stp>
        <stp>[FA1_ididqeuc.xlsx]Income - Adjusted!R85C25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85" s="2"/>
      </tp>
      <tp>
        <v>0</v>
        <stp/>
        <stp>##V3_BDHV12</stp>
        <stp>RMS FP Equity</stp>
        <stp>OTHER_ADJUSTMENTS</stp>
        <stp>FY 2010</stp>
        <stp>FY 2010</stp>
        <stp>[FA1_ididqeuc.xlsx]Income - Adjusted!R85C22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85" s="2"/>
      </tp>
      <tp>
        <v>0</v>
        <stp/>
        <stp>##V3_BDHV12</stp>
        <stp>RMS FP Equity</stp>
        <stp>OTHER_ADJUSTMENTS</stp>
        <stp>FY 2011</stp>
        <stp>FY 2011</stp>
        <stp>[FA1_ididqeuc.xlsx]Income - Adjusted!R85C23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85" s="2"/>
      </tp>
      <tp>
        <v>0</v>
        <stp/>
        <stp>##V3_BDHV12</stp>
        <stp>RMS FP Equity</stp>
        <stp>OTHER_ADJUSTMENTS</stp>
        <stp>FY 2008</stp>
        <stp>FY 2008</stp>
        <stp>[FA1_ididqeuc.xlsx]Income - Adjusted!R85C20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85" s="2"/>
      </tp>
      <tp>
        <v>0</v>
        <stp/>
        <stp>##V3_BDHV12</stp>
        <stp>RMS FP Equity</stp>
        <stp>OTHER_ADJUSTMENTS</stp>
        <stp>FY 2009</stp>
        <stp>FY 2009</stp>
        <stp>[FA1_ididqeuc.xlsx]Income - Adjusted!R85C21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85" s="2"/>
      </tp>
      <tp>
        <v>109.548</v>
        <stp/>
        <stp>##V3_BDHV12</stp>
        <stp>RMS FP Equity</stp>
        <stp>IS_AVG_NUM_SH_FOR_EPS</stp>
        <stp>FY 1994</stp>
        <stp>FY 1994</stp>
        <stp>[FA1_ididqeuc.xlsx]Income - Adjusted!R95C6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F95" s="2"/>
      </tp>
      <tp>
        <v>0</v>
        <stp/>
        <stp>##V3_BDHV12</stp>
        <stp>RMS FP Equity</stp>
        <stp>IS_OPEX_R&amp;D</stp>
        <stp>FY 2014</stp>
        <stp>FY 2014</stp>
        <stp>[FA1_ididqeuc.xlsx]Income - Adjusted!R27C26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27" s="2"/>
      </tp>
      <tp>
        <v>0</v>
        <stp/>
        <stp>##V3_BDHV12</stp>
        <stp>RMS FP Equity</stp>
        <stp>IS_OPEX_R&amp;D</stp>
        <stp>FY 2015</stp>
        <stp>FY 2015</stp>
        <stp>[FA1_ididqeuc.xlsx]Income - Adjusted!R27C27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27" s="2"/>
      </tp>
      <tp>
        <v>0</v>
        <stp/>
        <stp>##V3_BDHV12</stp>
        <stp>RMS FP Equity</stp>
        <stp>IS_OPEX_R&amp;D</stp>
        <stp>FY 2012</stp>
        <stp>FY 2012</stp>
        <stp>[FA1_ididqeuc.xlsx]Income - Adjusted!R27C24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27" s="2"/>
      </tp>
      <tp>
        <v>0</v>
        <stp/>
        <stp>##V3_BDHV12</stp>
        <stp>RMS FP Equity</stp>
        <stp>IS_OPEX_R&amp;D</stp>
        <stp>FY 2013</stp>
        <stp>FY 2013</stp>
        <stp>[FA1_ididqeuc.xlsx]Income - Adjusted!R27C25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27" s="2"/>
      </tp>
      <tp>
        <v>0</v>
        <stp/>
        <stp>##V3_BDHV12</stp>
        <stp>RMS FP Equity</stp>
        <stp>IS_OPEX_R&amp;D</stp>
        <stp>FY 2010</stp>
        <stp>FY 2010</stp>
        <stp>[FA1_ididqeuc.xlsx]Income - Adjusted!R27C22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27" s="2"/>
      </tp>
      <tp>
        <v>0</v>
        <stp/>
        <stp>##V3_BDHV12</stp>
        <stp>RMS FP Equity</stp>
        <stp>IS_OPEX_R&amp;D</stp>
        <stp>FY 2011</stp>
        <stp>FY 2011</stp>
        <stp>[FA1_ididqeuc.xlsx]Income - Adjusted!R27C23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27" s="2"/>
      </tp>
      <tp t="s">
        <v>—</v>
        <stp/>
        <stp>##V3_BDHV12</stp>
        <stp>RMS FP Equity</stp>
        <stp>IS_OPEX_R&amp;D</stp>
        <stp>FY 2008</stp>
        <stp>FY 2008</stp>
        <stp>[FA1_ididqeuc.xlsx]Income - Adjusted!R27C20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27" s="2"/>
      </tp>
      <tp>
        <v>0</v>
        <stp/>
        <stp>##V3_BDHV12</stp>
        <stp>RMS FP Equity</stp>
        <stp>IS_OPEX_R&amp;D</stp>
        <stp>FY 2009</stp>
        <stp>FY 2009</stp>
        <stp>[FA1_ididqeuc.xlsx]Income - Adjusted!R27C21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27" s="2"/>
      </tp>
      <tp>
        <v>0</v>
        <stp/>
        <stp>##V3_BDHV12</stp>
        <stp>RMS FP Equity</stp>
        <stp>IS_OPEX_R&amp;D</stp>
        <stp>FY 2016</stp>
        <stp>FY 2016</stp>
        <stp>[FA1_ididqeuc.xlsx]Income - Adjusted!R27C28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27" s="2"/>
      </tp>
      <tp>
        <v>0</v>
        <stp/>
        <stp>##V3_BDHV12</stp>
        <stp>RMS FP Equity</stp>
        <stp>IS_OPEX_R&amp;D</stp>
        <stp>FY 2017</stp>
        <stp>FY 2017</stp>
        <stp>[FA1_ididqeuc.xlsx]Income - Adjusted!R27C29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27" s="2"/>
      </tp>
      <tp>
        <v>696.17370000000005</v>
        <stp/>
        <stp>##V3_BDHV12</stp>
        <stp>RMS FP Equity</stp>
        <stp>GROSS_PROFIT</stp>
        <stp>FY 2001</stp>
        <stp>FY 2001</stp>
        <stp>[FA1_ididqeuc.xlsx]Income - Adjusted!R16C13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6" s="2"/>
      </tp>
      <tp>
        <v>2721.8676999999998</v>
        <stp/>
        <stp>##V3_BDHV12</stp>
        <stp>RMS FP Equity</stp>
        <stp>GROSS_PROFIT</stp>
        <stp>FY 2011</stp>
        <stp>FY 2011</stp>
        <stp>[FA1_ididqeuc.xlsx]Income - Adjusted!R16C23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6" s="2"/>
      </tp>
      <tp t="s">
        <v>—</v>
        <stp/>
        <stp>##V3_BDHV12</stp>
        <stp>RMS FP Equity</stp>
        <stp>IS_GENERAL_AND_ADMINISTRATIVE</stp>
        <stp>FY 1996</stp>
        <stp>FY 1996</stp>
        <stp>[FA1_ididqeuc.xlsx]Income - Adjusted!R25C8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5" s="2"/>
      </tp>
      <tp t="s">
        <v>—</v>
        <stp/>
        <stp>##V3_BDHV12</stp>
        <stp>RMS FP Equity</stp>
        <stp>OTHER_ADJUSTMENTS</stp>
        <stp>FY 2006</stp>
        <stp>FY 2006</stp>
        <stp>[FA1_ididqeuc.xlsx]Income - Adjusted!R85C18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85" s="2"/>
      </tp>
      <tp t="s">
        <v>—</v>
        <stp/>
        <stp>##V3_BDHV12</stp>
        <stp>RMS FP Equity</stp>
        <stp>OTHER_ADJUSTMENTS</stp>
        <stp>FY 2007</stp>
        <stp>FY 2007</stp>
        <stp>[FA1_ididqeuc.xlsx]Income - Adjusted!R85C19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85" s="2"/>
      </tp>
      <tp t="s">
        <v>—</v>
        <stp/>
        <stp>##V3_BDHV12</stp>
        <stp>RMS FP Equity</stp>
        <stp>OTHER_ADJUSTMENTS</stp>
        <stp>FY 2004</stp>
        <stp>FY 2004</stp>
        <stp>[FA1_ididqeuc.xlsx]Income - Adjusted!R85C16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85" s="2"/>
      </tp>
      <tp t="s">
        <v>—</v>
        <stp/>
        <stp>##V3_BDHV12</stp>
        <stp>RMS FP Equity</stp>
        <stp>OTHER_ADJUSTMENTS</stp>
        <stp>FY 2005</stp>
        <stp>FY 2005</stp>
        <stp>[FA1_ididqeuc.xlsx]Income - Adjusted!R85C17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85" s="2"/>
      </tp>
      <tp t="s">
        <v>—</v>
        <stp/>
        <stp>##V3_BDHV12</stp>
        <stp>RMS FP Equity</stp>
        <stp>OTHER_ADJUSTMENTS</stp>
        <stp>FY 2002</stp>
        <stp>FY 2002</stp>
        <stp>[FA1_ididqeuc.xlsx]Income - Adjusted!R85C14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85" s="2"/>
      </tp>
      <tp t="s">
        <v>—</v>
        <stp/>
        <stp>##V3_BDHV12</stp>
        <stp>RMS FP Equity</stp>
        <stp>OTHER_ADJUSTMENTS</stp>
        <stp>FY 2003</stp>
        <stp>FY 2003</stp>
        <stp>[FA1_ididqeuc.xlsx]Income - Adjusted!R85C15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85" s="2"/>
      </tp>
      <tp t="s">
        <v>—</v>
        <stp/>
        <stp>##V3_BDHV12</stp>
        <stp>RMS FP Equity</stp>
        <stp>OTHER_ADJUSTMENTS</stp>
        <stp>FY 2000</stp>
        <stp>FY 2000</stp>
        <stp>[FA1_ididqeuc.xlsx]Income - Adjusted!R85C12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85" s="2"/>
      </tp>
      <tp t="s">
        <v>—</v>
        <stp/>
        <stp>##V3_BDHV12</stp>
        <stp>RMS FP Equity</stp>
        <stp>OTHER_ADJUSTMENTS</stp>
        <stp>FY 2001</stp>
        <stp>FY 2001</stp>
        <stp>[FA1_ididqeuc.xlsx]Income - Adjusted!R85C13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85" s="2"/>
      </tp>
      <tp t="s">
        <v>—</v>
        <stp/>
        <stp>##V3_BDHV12</stp>
        <stp>RMS FP Equity</stp>
        <stp>OTHER_ADJUSTMENTS</stp>
        <stp>FY 1998</stp>
        <stp>FY 1998</stp>
        <stp>[FA1_ididqeuc.xlsx]Income - Adjusted!R85C10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85" s="2"/>
      </tp>
      <tp t="s">
        <v>—</v>
        <stp/>
        <stp>##V3_BDHV12</stp>
        <stp>RMS FP Equity</stp>
        <stp>OTHER_ADJUSTMENTS</stp>
        <stp>FY 1999</stp>
        <stp>FY 1999</stp>
        <stp>[FA1_ididqeuc.xlsx]Income - Adjusted!R85C11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85" s="2"/>
      </tp>
      <tp>
        <v>56.484000000000002</v>
        <stp/>
        <stp>##V3_BDHV12</stp>
        <stp>RMS FP Equity</stp>
        <stp>IS_AVG_NUM_SH_FOR_EPS</stp>
        <stp>FY 1993</stp>
        <stp>FY 1993</stp>
        <stp>[FA1_ididqeuc.xlsx]Income - Adjusted!R95C5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E95" s="2"/>
      </tp>
      <tp t="s">
        <v>—</v>
        <stp/>
        <stp>##V3_BDHV12</stp>
        <stp>RMS FP Equity</stp>
        <stp>IS_OPEX_R&amp;D</stp>
        <stp>FY 2004</stp>
        <stp>FY 2004</stp>
        <stp>[FA1_ididqeuc.xlsx]Income - Adjusted!R27C16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27" s="2"/>
      </tp>
      <tp t="s">
        <v>—</v>
        <stp/>
        <stp>##V3_BDHV12</stp>
        <stp>RMS FP Equity</stp>
        <stp>IS_OPEX_R&amp;D</stp>
        <stp>FY 2005</stp>
        <stp>FY 2005</stp>
        <stp>[FA1_ididqeuc.xlsx]Income - Adjusted!R27C17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27" s="2"/>
      </tp>
      <tp t="s">
        <v>—</v>
        <stp/>
        <stp>##V3_BDHV12</stp>
        <stp>RMS FP Equity</stp>
        <stp>IS_OPEX_R&amp;D</stp>
        <stp>FY 2002</stp>
        <stp>FY 2002</stp>
        <stp>[FA1_ididqeuc.xlsx]Income - Adjusted!R27C14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27" s="2"/>
      </tp>
      <tp t="s">
        <v>—</v>
        <stp/>
        <stp>##V3_BDHV12</stp>
        <stp>RMS FP Equity</stp>
        <stp>IS_OPEX_R&amp;D</stp>
        <stp>FY 2003</stp>
        <stp>FY 2003</stp>
        <stp>[FA1_ididqeuc.xlsx]Income - Adjusted!R27C15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27" s="2"/>
      </tp>
      <tp t="s">
        <v>—</v>
        <stp/>
        <stp>##V3_BDHV12</stp>
        <stp>RMS FP Equity</stp>
        <stp>IS_OPEX_R&amp;D</stp>
        <stp>FY 2000</stp>
        <stp>FY 2000</stp>
        <stp>[FA1_ididqeuc.xlsx]Income - Adjusted!R27C12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27" s="2"/>
      </tp>
      <tp t="s">
        <v>—</v>
        <stp/>
        <stp>##V3_BDHV12</stp>
        <stp>RMS FP Equity</stp>
        <stp>IS_OPEX_R&amp;D</stp>
        <stp>FY 2001</stp>
        <stp>FY 2001</stp>
        <stp>[FA1_ididqeuc.xlsx]Income - Adjusted!R27C13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27" s="2"/>
      </tp>
      <tp t="s">
        <v>—</v>
        <stp/>
        <stp>##V3_BDHV12</stp>
        <stp>RMS FP Equity</stp>
        <stp>IS_OPEX_R&amp;D</stp>
        <stp>FY 1998</stp>
        <stp>FY 1998</stp>
        <stp>[FA1_ididqeuc.xlsx]Income - Adjusted!R27C10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27" s="2"/>
      </tp>
      <tp t="s">
        <v>—</v>
        <stp/>
        <stp>##V3_BDHV12</stp>
        <stp>RMS FP Equity</stp>
        <stp>IS_OPEX_R&amp;D</stp>
        <stp>FY 1999</stp>
        <stp>FY 1999</stp>
        <stp>[FA1_ididqeuc.xlsx]Income - Adjusted!R27C11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27" s="2"/>
      </tp>
      <tp t="s">
        <v>—</v>
        <stp/>
        <stp>##V3_BDHV12</stp>
        <stp>RMS FP Equity</stp>
        <stp>IS_OPEX_R&amp;D</stp>
        <stp>FY 2006</stp>
        <stp>FY 2006</stp>
        <stp>[FA1_ididqeuc.xlsx]Income - Adjusted!R27C18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27" s="2"/>
      </tp>
      <tp t="s">
        <v>—</v>
        <stp/>
        <stp>##V3_BDHV12</stp>
        <stp>RMS FP Equity</stp>
        <stp>IS_OPEX_R&amp;D</stp>
        <stp>FY 2007</stp>
        <stp>FY 2007</stp>
        <stp>[FA1_ididqeuc.xlsx]Income - Adjusted!R27C19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27" s="2"/>
      </tp>
      <tp>
        <v>661.76880000000006</v>
        <stp/>
        <stp>##V3_BDHV12</stp>
        <stp>RMS FP Equity</stp>
        <stp>GROSS_PROFIT</stp>
        <stp>FY 2000</stp>
        <stp>FY 2000</stp>
        <stp>[FA1_ididqeuc.xlsx]Income - Adjusted!R16C12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6" s="2"/>
      </tp>
      <tp>
        <v>2103.7399</v>
        <stp/>
        <stp>##V3_BDHV12</stp>
        <stp>RMS FP Equity</stp>
        <stp>GROSS_PROFIT</stp>
        <stp>FY 2010</stp>
        <stp>FY 2010</stp>
        <stp>[FA1_ididqeuc.xlsx]Income - Adjusted!R16C22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6" s="2"/>
      </tp>
      <tp t="s">
        <v>—</v>
        <stp/>
        <stp>##V3_BDHV12</stp>
        <stp>RMS FP Equity</stp>
        <stp>IS_GENERAL_AND_ADMINISTRATIVE</stp>
        <stp>FY 1997</stp>
        <stp>FY 1997</stp>
        <stp>[FA1_ididqeuc.xlsx]Income - Adjusted!R25C9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5" s="2"/>
      </tp>
      <tp>
        <v>3.51</v>
        <stp/>
        <stp>##V3_BDHV12</stp>
        <stp>RMS FP Equity</stp>
        <stp>IS_AVG_NUM_SH_FOR_EPS</stp>
        <stp>FY 1992</stp>
        <stp>FY 1992</stp>
        <stp>[FA1_ididqeuc.xlsx]Income - Adjusted!R95C4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D95" s="2"/>
      </tp>
      <tp t="s">
        <v>—</v>
        <stp/>
        <stp>##V3_BDHV12</stp>
        <stp>RMS FP Equity</stp>
        <stp>IS_GENERAL_AND_ADMINISTRATIVE</stp>
        <stp>FY 1994</stp>
        <stp>FY 1994</stp>
        <stp>[FA1_ididqeuc.xlsx]Income - Adjusted!R25C6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5" s="2"/>
      </tp>
      <tp>
        <v>0</v>
        <stp/>
        <stp>##V3_BDHV12</stp>
        <stp>RMS FP Equity</stp>
        <stp>IS_FOREIGN_EXCH_LOSS</stp>
        <stp>FY 2001</stp>
        <stp>FY 2001</stp>
        <stp>[FA1_ididqeuc.xlsx]Income - Adjusted!R44C13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44" s="2"/>
      </tp>
      <tp t="s">
        <v>—</v>
        <stp/>
        <stp>##V3_BDHV12</stp>
        <stp>RMS FP Equity</stp>
        <stp>IS_FOREIGN_EXCH_LOSS</stp>
        <stp>FY 2011</stp>
        <stp>FY 2011</stp>
        <stp>[FA1_ididqeuc.xlsx]Income - Adjusted!R44C23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44" s="2"/>
      </tp>
      <tp>
        <v>0.82709999999999995</v>
        <stp/>
        <stp>##V3_BDHV12</stp>
        <stp>RMS FP Equity</stp>
        <stp>IS_EPS</stp>
        <stp>FY 1997</stp>
        <stp>FY 1997</stp>
        <stp>[FA1_ididqeuc.xlsx]Income - Adjusted!R97C9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I97" s="2"/>
      </tp>
      <tp>
        <v>0.81289999999999996</v>
        <stp/>
        <stp>##V3_BDHV12</stp>
        <stp>RMS FP Equity</stp>
        <stp>IS_EPS</stp>
        <stp>FY 1996</stp>
        <stp>FY 1996</stp>
        <stp>[FA1_ididqeuc.xlsx]Income - Adjusted!R97C8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H97" s="2"/>
      </tp>
      <tp>
        <v>0.65749999999999997</v>
        <stp/>
        <stp>##V3_BDHV12</stp>
        <stp>RMS FP Equity</stp>
        <stp>IS_EPS</stp>
        <stp>FY 1993</stp>
        <stp>FY 1993</stp>
        <stp>[FA1_ididqeuc.xlsx]Income - Adjusted!R97C5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E97" s="2"/>
      </tp>
      <tp>
        <v>9.5050000000000008</v>
        <stp/>
        <stp>##V3_BDHV12</stp>
        <stp>RMS FP Equity</stp>
        <stp>IS_EPS</stp>
        <stp>FY 1992</stp>
        <stp>FY 1992</stp>
        <stp>[FA1_ididqeuc.xlsx]Income - Adjusted!R97C4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D97" s="2"/>
      </tp>
      <tp>
        <v>0.73899999999999999</v>
        <stp/>
        <stp>##V3_BDHV12</stp>
        <stp>RMS FP Equity</stp>
        <stp>IS_EPS</stp>
        <stp>FY 1995</stp>
        <stp>FY 1995</stp>
        <stp>[FA1_ididqeuc.xlsx]Income - Adjusted!R97C7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G97" s="2"/>
      </tp>
      <tp>
        <v>0.4798</v>
        <stp/>
        <stp>##V3_BDHV12</stp>
        <stp>RMS FP Equity</stp>
        <stp>IS_EPS</stp>
        <stp>FY 1994</stp>
        <stp>FY 1994</stp>
        <stp>[FA1_ididqeuc.xlsx]Income - Adjusted!R97C6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F97" s="2"/>
      </tp>
      <tp>
        <v>6.1250999999999998</v>
        <stp/>
        <stp>##V3_BDHV12</stp>
        <stp>RMS FP Equity</stp>
        <stp>IS_EPS</stp>
        <stp>FY 1991</stp>
        <stp>FY 1991</stp>
        <stp>[FA1_ididqeuc.xlsx]Income - Adjusted!R97C3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C97" s="2"/>
      </tp>
      <tp t="s">
        <v>—</v>
        <stp/>
        <stp>##V3_BDHV12</stp>
        <stp>RMS FP Equity</stp>
        <stp>IS_GENERAL_AND_ADMINISTRATIVE</stp>
        <stp>FY 1995</stp>
        <stp>FY 1995</stp>
        <stp>[FA1_ididqeuc.xlsx]Income - Adjusted!R25C7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5" s="2"/>
      </tp>
      <tp>
        <v>0</v>
        <stp/>
        <stp>##V3_BDHV12</stp>
        <stp>RMS FP Equity</stp>
        <stp>IS_FOREIGN_EXCH_LOSS</stp>
        <stp>FY 2000</stp>
        <stp>FY 2000</stp>
        <stp>[FA1_ididqeuc.xlsx]Income - Adjusted!R44C12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44" s="2"/>
      </tp>
      <tp t="s">
        <v>—</v>
        <stp/>
        <stp>##V3_BDHV12</stp>
        <stp>RMS FP Equity</stp>
        <stp>IS_FOREIGN_EXCH_LOSS</stp>
        <stp>FY 2010</stp>
        <stp>FY 2010</stp>
        <stp>[FA1_ididqeuc.xlsx]Income - Adjusted!R44C22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44" s="2"/>
      </tp>
      <tp t="s">
        <v>—</v>
        <stp/>
        <stp>##V3_BDHV12</stp>
        <stp>RMS FP Equity</stp>
        <stp>IS_GENERAL_AND_ADMINISTRATIVE</stp>
        <stp>FY 1992</stp>
        <stp>FY 1992</stp>
        <stp>[FA1_ididqeuc.xlsx]Income - Adjusted!R25C4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5" s="2"/>
      </tp>
      <tp>
        <v>0</v>
        <stp/>
        <stp>##V3_BDHV12</stp>
        <stp>RMS FP Equity</stp>
        <stp>IS_FOREIGN_EXCH_LOSS</stp>
        <stp>FY 1999</stp>
        <stp>FY 1999</stp>
        <stp>[FA1_ididqeuc.xlsx]Income - Adjusted!R44C11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44" s="2"/>
      </tp>
      <tp t="s">
        <v>—</v>
        <stp/>
        <stp>##V3_BDHV12</stp>
        <stp>RMS FP Equity</stp>
        <stp>IS_FOREIGN_EXCH_LOSS</stp>
        <stp>FY 2009</stp>
        <stp>FY 2009</stp>
        <stp>[FA1_ididqeuc.xlsx]Income - Adjusted!R44C21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44" s="2"/>
      </tp>
      <tp>
        <v>110.16</v>
        <stp/>
        <stp>##V3_BDHV12</stp>
        <stp>RMS FP Equity</stp>
        <stp>IS_AVG_NUM_SH_FOR_EPS</stp>
        <stp>FY 1997</stp>
        <stp>FY 1997</stp>
        <stp>[FA1_ididqeuc.xlsx]Income - Adjusted!R95C9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I95" s="2"/>
      </tp>
      <tp t="s">
        <v>—</v>
        <stp/>
        <stp>##V3_BDHV12</stp>
        <stp>RMS FP Equity</stp>
        <stp>IS_GENERAL_AND_ADMINISTRATIVE</stp>
        <stp>FY 1993</stp>
        <stp>FY 1993</stp>
        <stp>[FA1_ididqeuc.xlsx]Income - Adjusted!R25C5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5" s="2"/>
      </tp>
      <tp>
        <v>0</v>
        <stp/>
        <stp>##V3_BDHV12</stp>
        <stp>RMS FP Equity</stp>
        <stp>IS_FOREIGN_EXCH_LOSS</stp>
        <stp>FY 1998</stp>
        <stp>FY 1998</stp>
        <stp>[FA1_ididqeuc.xlsx]Income - Adjusted!R44C10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44" s="2"/>
      </tp>
      <tp t="s">
        <v>—</v>
        <stp/>
        <stp>##V3_BDHV12</stp>
        <stp>RMS FP Equity</stp>
        <stp>IS_FOREIGN_EXCH_LOSS</stp>
        <stp>FY 2008</stp>
        <stp>FY 2008</stp>
        <stp>[FA1_ididqeuc.xlsx]Income - Adjusted!R44C20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44" s="2"/>
      </tp>
      <tp>
        <v>109.962</v>
        <stp/>
        <stp>##V3_BDHV12</stp>
        <stp>RMS FP Equity</stp>
        <stp>IS_AVG_NUM_SH_FOR_EPS</stp>
        <stp>FY 1996</stp>
        <stp>FY 1996</stp>
        <stp>[FA1_ididqeuc.xlsx]Income - Adjusted!R95C8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H95" s="2"/>
      </tp>
      <tp>
        <v>1445.5069000000001</v>
        <stp/>
        <stp>##V3_BDHV12</stp>
        <stp>RMS FP Equity</stp>
        <stp>GROSS_PROFIT</stp>
        <stp>FY 2007</stp>
        <stp>FY 2007</stp>
        <stp>[FA1_ididqeuc.xlsx]Income - Adjusted!R16C19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6" s="2"/>
      </tp>
      <tp>
        <v>4394.5028000000002</v>
        <stp/>
        <stp>##V3_BDHV12</stp>
        <stp>RMS FP Equity</stp>
        <stp>GROSS_PROFIT</stp>
        <stp>FY 2017</stp>
        <stp>FY 2017</stp>
        <stp>[FA1_ididqeuc.xlsx]Income - Adjusted!R16C29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6" s="2"/>
      </tp>
      <tp t="s">
        <v>—</v>
        <stp/>
        <stp>##V3_BDHV12</stp>
        <stp>RMS FP Equity</stp>
        <stp>IS_FOREIGN_EXCH_LOSS</stp>
        <stp>FY 2005</stp>
        <stp>FY 2005</stp>
        <stp>[FA1_ididqeuc.xlsx]Income - Adjusted!R44C17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44" s="2"/>
      </tp>
      <tp>
        <v>0</v>
        <stp/>
        <stp>##V3_BDHV12</stp>
        <stp>RMS FP Equity</stp>
        <stp>IS_FOREIGN_EXCH_LOSS</stp>
        <stp>FY 2015</stp>
        <stp>FY 2015</stp>
        <stp>[FA1_ididqeuc.xlsx]Income - Adjusted!R44C27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44" s="2"/>
      </tp>
      <tp>
        <v>1243.8244999999999</v>
        <stp/>
        <stp>##V3_BDHV12</stp>
        <stp>RMS FP Equity</stp>
        <stp>GROSS_PROFIT</stp>
        <stp>FY 2006</stp>
        <stp>FY 2006</stp>
        <stp>[FA1_ididqeuc.xlsx]Income - Adjusted!R16C18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6" s="2"/>
      </tp>
      <tp>
        <v>3896.3690000000001</v>
        <stp/>
        <stp>##V3_BDHV12</stp>
        <stp>RMS FP Equity</stp>
        <stp>GROSS_PROFIT</stp>
        <stp>FY 2016</stp>
        <stp>FY 2016</stp>
        <stp>[FA1_ididqeuc.xlsx]Income - Adjusted!R16C28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6" s="2"/>
      </tp>
      <tp t="s">
        <v>—</v>
        <stp/>
        <stp>##V3_BDHV12</stp>
        <stp>RMS FP Equity</stp>
        <stp>IS_GENERAL_AND_ADMINISTRATIVE</stp>
        <stp>FY 1991</stp>
        <stp>FY 1991</stp>
        <stp>[FA1_ididqeuc.xlsx]Income - Adjusted!R25C3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5" s="2"/>
      </tp>
      <tp t="s">
        <v>—</v>
        <stp/>
        <stp>##V3_BDHV12</stp>
        <stp>RMS FP Equity</stp>
        <stp>IS_FOREIGN_EXCH_LOSS</stp>
        <stp>FY 2004</stp>
        <stp>FY 2004</stp>
        <stp>[FA1_ididqeuc.xlsx]Income - Adjusted!R44C16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44" s="2"/>
      </tp>
      <tp t="s">
        <v>—</v>
        <stp/>
        <stp>##V3_BDHV12</stp>
        <stp>RMS FP Equity</stp>
        <stp>IS_FOREIGN_EXCH_LOSS</stp>
        <stp>FY 2014</stp>
        <stp>FY 2014</stp>
        <stp>[FA1_ididqeuc.xlsx]Income - Adjusted!R44C26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44" s="2"/>
      </tp>
      <tp t="s">
        <v>—</v>
        <stp/>
        <stp>##V3_BDHV12</stp>
        <stp>RMS FP Equity</stp>
        <stp>IS_FOREIGN_EXCH_LOSS</stp>
        <stp>FY 2003</stp>
        <stp>FY 2003</stp>
        <stp>[FA1_ididqeuc.xlsx]Income - Adjusted!R44C15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44" s="2"/>
      </tp>
      <tp t="s">
        <v>—</v>
        <stp/>
        <stp>##V3_BDHV12</stp>
        <stp>RMS FP Equity</stp>
        <stp>IS_FOREIGN_EXCH_LOSS</stp>
        <stp>FY 2013</stp>
        <stp>FY 2013</stp>
        <stp>[FA1_ididqeuc.xlsx]Income - Adjusted!R44C25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44" s="2"/>
      </tp>
      <tp t="s">
        <v>—</v>
        <stp/>
        <stp>##V3_BDHV12</stp>
        <stp>RMS FP Equity</stp>
        <stp>IS_FOREIGN_EXCH_LOSS</stp>
        <stp>FY 2002</stp>
        <stp>FY 2002</stp>
        <stp>[FA1_ididqeuc.xlsx]Income - Adjusted!R44C14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44" s="2"/>
      </tp>
      <tp t="s">
        <v>—</v>
        <stp/>
        <stp>##V3_BDHV12</stp>
        <stp>RMS FP Equity</stp>
        <stp>IS_FOREIGN_EXCH_LOSS</stp>
        <stp>FY 2012</stp>
        <stp>FY 2012</stp>
        <stp>[FA1_ididqeuc.xlsx]Income - Adjusted!R44C24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44" s="2"/>
      </tp>
      <tp>
        <v>60.695399999999999</v>
        <stp/>
        <stp>##V3_BDHV12</stp>
        <stp>RMS FP Equity</stp>
        <stp>IS_INC_BEF_XO_ITEM</stp>
        <stp>FY 1994</stp>
        <stp>FY 1994</stp>
        <stp>[FA1_ididqeuc.xlsx]Income - Adjusted!R73C6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73" s="2"/>
      </tp>
      <tp>
        <v>92.3797</v>
        <stp/>
        <stp>##V3_BDHV12</stp>
        <stp>RMS FP Equity</stp>
        <stp>IS_INC_BEF_XO_ITEM</stp>
        <stp>FY 1995</stp>
        <stp>FY 1995</stp>
        <stp>[FA1_ididqeuc.xlsx]Income - Adjusted!R73C7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73" s="2"/>
      </tp>
      <tp>
        <v>36.562399999999997</v>
        <stp/>
        <stp>##V3_BDHV12</stp>
        <stp>RMS FP Equity</stp>
        <stp>IS_INC_BEF_XO_ITEM</stp>
        <stp>FY 1992</stp>
        <stp>FY 1992</stp>
        <stp>[FA1_ididqeuc.xlsx]Income - Adjusted!R73C4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73" s="2"/>
      </tp>
      <tp>
        <v>41.593000000000004</v>
        <stp/>
        <stp>##V3_BDHV12</stp>
        <stp>RMS FP Equity</stp>
        <stp>IS_INC_BEF_XO_ITEM</stp>
        <stp>FY 1993</stp>
        <stp>FY 1993</stp>
        <stp>[FA1_ididqeuc.xlsx]Income - Adjusted!R73C5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73" s="2"/>
      </tp>
      <tp>
        <v>22.992699999999999</v>
        <stp/>
        <stp>##V3_BDHV12</stp>
        <stp>RMS FP Equity</stp>
        <stp>IS_INC_BEF_XO_ITEM</stp>
        <stp>FY 1991</stp>
        <stp>FY 1991</stp>
        <stp>[FA1_ididqeuc.xlsx]Income - Adjusted!R73C3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73" s="2"/>
      </tp>
      <tp>
        <v>94.063500000000005</v>
        <stp/>
        <stp>##V3_BDHV12</stp>
        <stp>RMS FP Equity</stp>
        <stp>IS_INC_BEF_XO_ITEM</stp>
        <stp>FY 1996</stp>
        <stp>FY 1996</stp>
        <stp>[FA1_ididqeuc.xlsx]Income - Adjusted!R73C8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73" s="2"/>
      </tp>
      <tp>
        <v>95.505499999999998</v>
        <stp/>
        <stp>##V3_BDHV12</stp>
        <stp>RMS FP Equity</stp>
        <stp>IS_INC_BEF_XO_ITEM</stp>
        <stp>FY 1997</stp>
        <stp>FY 1997</stp>
        <stp>[FA1_ididqeuc.xlsx]Income - Adjusted!R73C9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73" s="2"/>
      </tp>
      <tp t="s">
        <v>—</v>
        <stp/>
        <stp>##V3_BDHV12</stp>
        <stp>RMS FP Equity</stp>
        <stp>IS_SG&amp;A_EXPENSE</stp>
        <stp>FY 1991</stp>
        <stp>FY 1991</stp>
        <stp>[FA1_ididqeuc.xlsx]Income - Adjusted!R21C3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21" s="2"/>
      </tp>
      <tp>
        <v>36.377000000000002</v>
        <stp/>
        <stp>##V3_BDHV12</stp>
        <stp>RMS FP Equity</stp>
        <stp>IS_NONOP_INCOME_LOSS</stp>
        <stp>FY 2017</stp>
        <stp>FY 2017</stp>
        <stp>[FA1_ididqeuc.xlsx]Income - Adjusted!R36C29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36" s="2"/>
      </tp>
      <tp t="s">
        <v>—</v>
        <stp/>
        <stp>##V3_BDHV12</stp>
        <stp>RMS FP Equity</stp>
        <stp>IS_NONOP_INCOME_LOSS</stp>
        <stp>FY 2007</stp>
        <stp>FY 2007</stp>
        <stp>[FA1_ididqeuc.xlsx]Income - Adjusted!R36C19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36" s="2"/>
      </tp>
      <tp>
        <v>3.7149000000000001</v>
        <stp/>
        <stp>##V3_BDHV12</stp>
        <stp>RMS FP Equity</stp>
        <stp>IS_DIL_EPS_CONT_OPS</stp>
        <stp>FY 2007</stp>
        <stp>FY 2007</stp>
        <stp>[FA1_ididqeuc.xlsx]Income - Adjusted!R110C19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S110" s="2"/>
      </tp>
      <tp>
        <v>13.422599999999999</v>
        <stp/>
        <stp>##V3_BDHV12</stp>
        <stp>RMS FP Equity</stp>
        <stp>IS_DIL_EPS_CONT_OPS</stp>
        <stp>FY 2017</stp>
        <stp>FY 2017</stp>
        <stp>[FA1_ididqeuc.xlsx]Income - Adjusted!R110C29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C110" s="2"/>
      </tp>
      <tp>
        <v>52.795699999999997</v>
        <stp/>
        <stp>##V3_BDHV12</stp>
        <stp>RMS FP Equity</stp>
        <stp>IS_NONOP_INCOME_LOSS</stp>
        <stp>FY 2016</stp>
        <stp>FY 2016</stp>
        <stp>[FA1_ididqeuc.xlsx]Income - Adjusted!R36C28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36" s="2"/>
      </tp>
      <tp t="s">
        <v>—</v>
        <stp/>
        <stp>##V3_BDHV12</stp>
        <stp>RMS FP Equity</stp>
        <stp>IS_NONOP_INCOME_LOSS</stp>
        <stp>FY 2006</stp>
        <stp>FY 2006</stp>
        <stp>[FA1_ididqeuc.xlsx]Income - Adjusted!R36C18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36" s="2"/>
      </tp>
      <tp>
        <v>3.1535000000000002</v>
        <stp/>
        <stp>##V3_BDHV12</stp>
        <stp>RMS FP Equity</stp>
        <stp>IS_DIL_EPS_CONT_OPS</stp>
        <stp>FY 2006</stp>
        <stp>FY 2006</stp>
        <stp>[FA1_ididqeuc.xlsx]Income - Adjusted!R110C18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R110" s="2"/>
      </tp>
      <tp>
        <v>11.651999999999999</v>
        <stp/>
        <stp>##V3_BDHV12</stp>
        <stp>RMS FP Equity</stp>
        <stp>IS_DIL_EPS_CONT_OPS</stp>
        <stp>FY 2016</stp>
        <stp>FY 2016</stp>
        <stp>[FA1_ididqeuc.xlsx]Income - Adjusted!R110C28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B110" s="2"/>
      </tp>
      <tp t="s">
        <v>—</v>
        <stp/>
        <stp>##V3_BDHV12</stp>
        <stp>RMS FP Equity</stp>
        <stp>IS_D&amp;A_COST_OF_REVENUE</stp>
        <stp>FY 1997</stp>
        <stp>FY 1997</stp>
        <stp>[FA1_ididqeuc.xlsx]Income - Adjusted!R14C9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4" s="2"/>
      </tp>
      <tp t="s">
        <v>—</v>
        <stp/>
        <stp>##V3_BDHV12</stp>
        <stp>RMS FP Equity</stp>
        <stp>IS_SG&amp;A_EXPENSE</stp>
        <stp>FY 1994</stp>
        <stp>FY 1994</stp>
        <stp>[FA1_ididqeuc.xlsx]Income - Adjusted!R21C6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21" s="2"/>
      </tp>
      <tp t="s">
        <v>—</v>
        <stp/>
        <stp>##V3_BDHV12</stp>
        <stp>RMS FP Equity</stp>
        <stp>IS_D&amp;A_COST_OF_REVENUE</stp>
        <stp>FY 1996</stp>
        <stp>FY 1996</stp>
        <stp>[FA1_ididqeuc.xlsx]Income - Adjusted!R14C8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4" s="2"/>
      </tp>
      <tp t="s">
        <v>—</v>
        <stp/>
        <stp>##V3_BDHV12</stp>
        <stp>RMS FP Equity</stp>
        <stp>IS_SG&amp;A_EXPENSE</stp>
        <stp>FY 1995</stp>
        <stp>FY 1995</stp>
        <stp>[FA1_ididqeuc.xlsx]Income - Adjusted!R21C7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21" s="2"/>
      </tp>
      <tp t="s">
        <v>—</v>
        <stp/>
        <stp>##V3_BDHV12</stp>
        <stp>RMS FP Equity</stp>
        <stp>IS_SG&amp;A_EXPENSE</stp>
        <stp>FY 1992</stp>
        <stp>FY 1992</stp>
        <stp>[FA1_ididqeuc.xlsx]Income - Adjusted!R21C4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21" s="2"/>
      </tp>
      <tp t="s">
        <v>—</v>
        <stp/>
        <stp>##V3_BDHV12</stp>
        <stp>RMS FP Equity</stp>
        <stp>IS_IMPAIR_OF_INTANG_ASSETS</stp>
        <stp>FY 1991</stp>
        <stp>FY 1991</stp>
        <stp>[FA1_ididqeuc.xlsx]Income - Adjusted!R60C3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60" s="2"/>
      </tp>
      <tp t="s">
        <v>—</v>
        <stp/>
        <stp>##V3_BDHV12</stp>
        <stp>RMS FP Equity</stp>
        <stp>IS_IMPAIR_OF_INTANG_ASSETS</stp>
        <stp>FY 1995</stp>
        <stp>FY 1995</stp>
        <stp>[FA1_ididqeuc.xlsx]Income - Adjusted!R60C7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60" s="2"/>
      </tp>
      <tp t="s">
        <v>—</v>
        <stp/>
        <stp>##V3_BDHV12</stp>
        <stp>RMS FP Equity</stp>
        <stp>IS_IMPAIR_OF_INTANG_ASSETS</stp>
        <stp>FY 1994</stp>
        <stp>FY 1994</stp>
        <stp>[FA1_ididqeuc.xlsx]Income - Adjusted!R60C6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60" s="2"/>
      </tp>
      <tp t="s">
        <v>—</v>
        <stp/>
        <stp>##V3_BDHV12</stp>
        <stp>RMS FP Equity</stp>
        <stp>IS_IMPAIR_OF_INTANG_ASSETS</stp>
        <stp>FY 1993</stp>
        <stp>FY 1993</stp>
        <stp>[FA1_ididqeuc.xlsx]Income - Adjusted!R60C5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60" s="2"/>
      </tp>
      <tp t="s">
        <v>—</v>
        <stp/>
        <stp>##V3_BDHV12</stp>
        <stp>RMS FP Equity</stp>
        <stp>IS_IMPAIR_OF_INTANG_ASSETS</stp>
        <stp>FY 1992</stp>
        <stp>FY 1992</stp>
        <stp>[FA1_ididqeuc.xlsx]Income - Adjusted!R60C4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60" s="2"/>
      </tp>
      <tp t="s">
        <v>—</v>
        <stp/>
        <stp>##V3_BDHV12</stp>
        <stp>RMS FP Equity</stp>
        <stp>IS_IMPAIR_OF_INTANG_ASSETS</stp>
        <stp>FY 1997</stp>
        <stp>FY 1997</stp>
        <stp>[FA1_ididqeuc.xlsx]Income - Adjusted!R60C9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60" s="2"/>
      </tp>
      <tp t="s">
        <v>—</v>
        <stp/>
        <stp>##V3_BDHV12</stp>
        <stp>RMS FP Equity</stp>
        <stp>IS_IMPAIR_OF_INTANG_ASSETS</stp>
        <stp>FY 1996</stp>
        <stp>FY 1996</stp>
        <stp>[FA1_ididqeuc.xlsx]Income - Adjusted!R60C8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60" s="2"/>
      </tp>
      <tp t="s">
        <v>—</v>
        <stp/>
        <stp>##V3_BDHV12</stp>
        <stp>RMS FP Equity</stp>
        <stp>IS_SG&amp;A_EXPENSE</stp>
        <stp>FY 1993</stp>
        <stp>FY 1993</stp>
        <stp>[FA1_ididqeuc.xlsx]Income - Adjusted!R21C5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21" s="2"/>
      </tp>
      <tp t="s">
        <v>—</v>
        <stp/>
        <stp>##V3_BDHV12</stp>
        <stp>RMS FP Equity</stp>
        <stp>IS_D&amp;A_COST_OF_REVENUE</stp>
        <stp>FY 1993</stp>
        <stp>FY 1993</stp>
        <stp>[FA1_ididqeuc.xlsx]Income - Adjusted!R14C5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4" s="2"/>
      </tp>
      <tp>
        <v>-17.405000000000001</v>
        <stp/>
        <stp>##V3_BDHV12</stp>
        <stp>RMS FP Equity</stp>
        <stp>IS_NONOP_INCOME_LOSS</stp>
        <stp>FY 2011</stp>
        <stp>FY 2011</stp>
        <stp>[FA1_ididqeuc.xlsx]Income - Adjusted!R36C23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36" s="2"/>
      </tp>
      <tp t="s">
        <v>—</v>
        <stp/>
        <stp>##V3_BDHV12</stp>
        <stp>RMS FP Equity</stp>
        <stp>IS_NONOP_INCOME_LOSS</stp>
        <stp>FY 2001</stp>
        <stp>FY 2001</stp>
        <stp>[FA1_ididqeuc.xlsx]Income - Adjusted!R36C13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36" s="2"/>
      </tp>
      <tp t="s">
        <v>—</v>
        <stp/>
        <stp>##V3_BDHV12</stp>
        <stp>RMS FP Equity</stp>
        <stp>IS_DISCONTINUED_OPERATIONS</stp>
        <stp>FY 1993</stp>
        <stp>FY 1993</stp>
        <stp>[FA1_ididqeuc.xlsx]Income - Adjusted!R76C5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76" s="2"/>
      </tp>
      <tp t="s">
        <v>—</v>
        <stp/>
        <stp>##V3_BDHV12</stp>
        <stp>RMS FP Equity</stp>
        <stp>IS_DISCONTINUED_OPERATIONS</stp>
        <stp>FY 1992</stp>
        <stp>FY 1992</stp>
        <stp>[FA1_ididqeuc.xlsx]Income - Adjusted!R76C4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76" s="2"/>
      </tp>
      <tp t="s">
        <v>—</v>
        <stp/>
        <stp>##V3_BDHV12</stp>
        <stp>RMS FP Equity</stp>
        <stp>IS_DISCONTINUED_OPERATIONS</stp>
        <stp>FY 1995</stp>
        <stp>FY 1995</stp>
        <stp>[FA1_ididqeuc.xlsx]Income - Adjusted!R76C7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76" s="2"/>
      </tp>
      <tp t="s">
        <v>—</v>
        <stp/>
        <stp>##V3_BDHV12</stp>
        <stp>RMS FP Equity</stp>
        <stp>IS_DISCONTINUED_OPERATIONS</stp>
        <stp>FY 1994</stp>
        <stp>FY 1994</stp>
        <stp>[FA1_ididqeuc.xlsx]Income - Adjusted!R76C6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76" s="2"/>
      </tp>
      <tp t="s">
        <v>—</v>
        <stp/>
        <stp>##V3_BDHV12</stp>
        <stp>RMS FP Equity</stp>
        <stp>IS_DISCONTINUED_OPERATIONS</stp>
        <stp>FY 1991</stp>
        <stp>FY 1991</stp>
        <stp>[FA1_ididqeuc.xlsx]Income - Adjusted!R76C3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76" s="2"/>
      </tp>
      <tp t="s">
        <v>—</v>
        <stp/>
        <stp>##V3_BDHV12</stp>
        <stp>RMS FP Equity</stp>
        <stp>IS_DISCONTINUED_OPERATIONS</stp>
        <stp>FY 1997</stp>
        <stp>FY 1997</stp>
        <stp>[FA1_ididqeuc.xlsx]Income - Adjusted!R76C9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76" s="2"/>
      </tp>
      <tp t="s">
        <v>—</v>
        <stp/>
        <stp>##V3_BDHV12</stp>
        <stp>RMS FP Equity</stp>
        <stp>IS_DISCONTINUED_OPERATIONS</stp>
        <stp>FY 1996</stp>
        <stp>FY 1996</stp>
        <stp>[FA1_ididqeuc.xlsx]Income - Adjusted!R76C8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76" s="2"/>
      </tp>
      <tp t="s">
        <v>—</v>
        <stp/>
        <stp>##V3_BDHV12</stp>
        <stp>RMS FP Equity</stp>
        <stp>IS_DIL_EPS_CONT_OPS</stp>
        <stp>FY 2001</stp>
        <stp>FY 2001</stp>
        <stp>[FA1_ididqeuc.xlsx]Income - Adjusted!R110C13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M110" s="2"/>
      </tp>
      <tp>
        <v>7.8987999999999996</v>
        <stp/>
        <stp>##V3_BDHV12</stp>
        <stp>RMS FP Equity</stp>
        <stp>IS_DIL_EPS_CONT_OPS</stp>
        <stp>FY 2011</stp>
        <stp>FY 2011</stp>
        <stp>[FA1_ididqeuc.xlsx]Income - Adjusted!R110C23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W110" s="2"/>
      </tp>
      <tp t="s">
        <v>—</v>
        <stp/>
        <stp>##V3_BDHV12</stp>
        <stp>RMS FP Equity</stp>
        <stp>IS_D&amp;A_COST_OF_REVENUE</stp>
        <stp>FY 1992</stp>
        <stp>FY 1992</stp>
        <stp>[FA1_ididqeuc.xlsx]Income - Adjusted!R14C4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4" s="2"/>
      </tp>
      <tp>
        <v>16.582599999999999</v>
        <stp/>
        <stp>##V3_BDHV12</stp>
        <stp>RMS FP Equity</stp>
        <stp>IS_NONOP_INCOME_LOSS</stp>
        <stp>FY 2010</stp>
        <stp>FY 2010</stp>
        <stp>[FA1_ididqeuc.xlsx]Income - Adjusted!R36C22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36" s="2"/>
      </tp>
      <tp t="s">
        <v>—</v>
        <stp/>
        <stp>##V3_BDHV12</stp>
        <stp>RMS FP Equity</stp>
        <stp>IS_NONOP_INCOME_LOSS</stp>
        <stp>FY 2000</stp>
        <stp>FY 2000</stp>
        <stp>[FA1_ididqeuc.xlsx]Income - Adjusted!R36C12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36" s="2"/>
      </tp>
      <tp t="s">
        <v>—</v>
        <stp/>
        <stp>##V3_BDHV12</stp>
        <stp>RMS FP Equity</stp>
        <stp>IS_DIL_EPS_CONT_OPS</stp>
        <stp>FY 2000</stp>
        <stp>FY 2000</stp>
        <stp>[FA1_ididqeuc.xlsx]Income - Adjusted!R110C12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L110" s="2"/>
      </tp>
      <tp>
        <v>5.3377999999999997</v>
        <stp/>
        <stp>##V3_BDHV12</stp>
        <stp>RMS FP Equity</stp>
        <stp>IS_DIL_EPS_CONT_OPS</stp>
        <stp>FY 2010</stp>
        <stp>FY 2010</stp>
        <stp>[FA1_ididqeuc.xlsx]Income - Adjusted!R110C22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V110" s="2"/>
      </tp>
      <tp t="s">
        <v>—</v>
        <stp/>
        <stp>##V3_BDHV12</stp>
        <stp>RMS FP Equity</stp>
        <stp>IS_D&amp;A_COST_OF_REVENUE</stp>
        <stp>FY 1995</stp>
        <stp>FY 1995</stp>
        <stp>[FA1_ididqeuc.xlsx]Income - Adjusted!R14C7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4" s="2"/>
      </tp>
      <tp>
        <v>17.709299999999999</v>
        <stp/>
        <stp>##V3_BDHV12</stp>
        <stp>RMS FP Equity</stp>
        <stp>IS_NONOP_INCOME_LOSS</stp>
        <stp>FY 2009</stp>
        <stp>FY 2009</stp>
        <stp>[FA1_ididqeuc.xlsx]Income - Adjusted!R36C21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36" s="2"/>
      </tp>
      <tp t="s">
        <v>—</v>
        <stp/>
        <stp>##V3_BDHV12</stp>
        <stp>RMS FP Equity</stp>
        <stp>IS_NONOP_INCOME_LOSS</stp>
        <stp>FY 1999</stp>
        <stp>FY 1999</stp>
        <stp>[FA1_ididqeuc.xlsx]Income - Adjusted!R36C11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36" s="2"/>
      </tp>
      <tp t="s">
        <v>—</v>
        <stp/>
        <stp>##V3_BDHV12</stp>
        <stp>RMS FP Equity</stp>
        <stp>IS_DIL_EPS_CONT_OPS</stp>
        <stp>FY 1999</stp>
        <stp>FY 1999</stp>
        <stp>[FA1_ididqeuc.xlsx]Income - Adjusted!R110C11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K110" s="2"/>
      </tp>
      <tp>
        <v>3.8451</v>
        <stp/>
        <stp>##V3_BDHV12</stp>
        <stp>RMS FP Equity</stp>
        <stp>IS_DIL_EPS_CONT_OPS</stp>
        <stp>FY 2009</stp>
        <stp>FY 2009</stp>
        <stp>[FA1_ididqeuc.xlsx]Income - Adjusted!R110C21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U110" s="2"/>
      </tp>
      <tp t="s">
        <v>—</v>
        <stp/>
        <stp>##V3_BDHV12</stp>
        <stp>RMS FP Equity</stp>
        <stp>IS_SG&amp;A_EXPENSE</stp>
        <stp>FY 1996</stp>
        <stp>FY 1996</stp>
        <stp>[FA1_ididqeuc.xlsx]Income - Adjusted!R21C8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21" s="2"/>
      </tp>
      <tp t="s">
        <v>—</v>
        <stp/>
        <stp>##V3_BDHV12</stp>
        <stp>RMS FP Equity</stp>
        <stp>IS_D&amp;A_COST_OF_REVENUE</stp>
        <stp>FY 1994</stp>
        <stp>FY 1994</stp>
        <stp>[FA1_ididqeuc.xlsx]Income - Adjusted!R14C6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4" s="2"/>
      </tp>
      <tp t="s">
        <v>—</v>
        <stp/>
        <stp>##V3_BDHV12</stp>
        <stp>RMS FP Equity</stp>
        <stp>IS_NONOP_INCOME_LOSS</stp>
        <stp>FY 2008</stp>
        <stp>FY 2008</stp>
        <stp>[FA1_ididqeuc.xlsx]Income - Adjusted!R36C20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36" s="2"/>
      </tp>
      <tp t="s">
        <v>—</v>
        <stp/>
        <stp>##V3_BDHV12</stp>
        <stp>RMS FP Equity</stp>
        <stp>IS_NONOP_INCOME_LOSS</stp>
        <stp>FY 1998</stp>
        <stp>FY 1998</stp>
        <stp>[FA1_ididqeuc.xlsx]Income - Adjusted!R36C10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36" s="2"/>
      </tp>
      <tp t="s">
        <v>—</v>
        <stp/>
        <stp>##V3_BDHV12</stp>
        <stp>RMS FP Equity</stp>
        <stp>IS_DIL_EPS_CONT_OPS</stp>
        <stp>FY 1998</stp>
        <stp>FY 1998</stp>
        <stp>[FA1_ididqeuc.xlsx]Income - Adjusted!R110C10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J110" s="2"/>
      </tp>
      <tp>
        <v>4.3353000000000002</v>
        <stp/>
        <stp>##V3_BDHV12</stp>
        <stp>RMS FP Equity</stp>
        <stp>IS_DIL_EPS_CONT_OPS</stp>
        <stp>FY 2008</stp>
        <stp>FY 2008</stp>
        <stp>[FA1_ididqeuc.xlsx]Income - Adjusted!R110C20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T110" s="2"/>
      </tp>
      <tp t="s">
        <v>—</v>
        <stp/>
        <stp>##V3_BDHV12</stp>
        <stp>RMS FP Equity</stp>
        <stp>IS_SG&amp;A_EXPENSE</stp>
        <stp>FY 1997</stp>
        <stp>FY 1997</stp>
        <stp>[FA1_ididqeuc.xlsx]Income - Adjusted!R21C9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21" s="2"/>
      </tp>
      <tp>
        <v>50.616</v>
        <stp/>
        <stp>##V3_BDHV12</stp>
        <stp>RMS FP Equity</stp>
        <stp>IS_NONOP_INCOME_LOSS</stp>
        <stp>FY 2015</stp>
        <stp>FY 2015</stp>
        <stp>[FA1_ididqeuc.xlsx]Income - Adjusted!R36C27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36" s="2"/>
      </tp>
      <tp t="s">
        <v>—</v>
        <stp/>
        <stp>##V3_BDHV12</stp>
        <stp>RMS FP Equity</stp>
        <stp>IS_NONOP_INCOME_LOSS</stp>
        <stp>FY 2005</stp>
        <stp>FY 2005</stp>
        <stp>[FA1_ididqeuc.xlsx]Income - Adjusted!R36C17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36" s="2"/>
      </tp>
      <tp>
        <v>2.8161</v>
        <stp/>
        <stp>##V3_BDHV12</stp>
        <stp>RMS FP Equity</stp>
        <stp>IS_DIL_EPS_CONT_OPS</stp>
        <stp>FY 2005</stp>
        <stp>FY 2005</stp>
        <stp>[FA1_ididqeuc.xlsx]Income - Adjusted!R110C17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Q110" s="2"/>
      </tp>
      <tp>
        <v>10.4742</v>
        <stp/>
        <stp>##V3_BDHV12</stp>
        <stp>RMS FP Equity</stp>
        <stp>IS_DIL_EPS_CONT_OPS</stp>
        <stp>FY 2015</stp>
        <stp>FY 2015</stp>
        <stp>[FA1_ididqeuc.xlsx]Income - Adjusted!R110C27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A110" s="2"/>
      </tp>
      <tp>
        <v>32.813600000000001</v>
        <stp/>
        <stp>##V3_BDHV12</stp>
        <stp>RMS FP Equity</stp>
        <stp>IS_NONOP_INCOME_LOSS</stp>
        <stp>FY 2014</stp>
        <stp>FY 2014</stp>
        <stp>[FA1_ididqeuc.xlsx]Income - Adjusted!R36C26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36" s="2"/>
      </tp>
      <tp t="s">
        <v>—</v>
        <stp/>
        <stp>##V3_BDHV12</stp>
        <stp>RMS FP Equity</stp>
        <stp>IS_NONOP_INCOME_LOSS</stp>
        <stp>FY 2004</stp>
        <stp>FY 2004</stp>
        <stp>[FA1_ididqeuc.xlsx]Income - Adjusted!R36C16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36" s="2"/>
      </tp>
      <tp>
        <v>2.4178999999999999</v>
        <stp/>
        <stp>##V3_BDHV12</stp>
        <stp>RMS FP Equity</stp>
        <stp>IS_DIL_EPS_CONT_OPS</stp>
        <stp>FY 2004</stp>
        <stp>FY 2004</stp>
        <stp>[FA1_ididqeuc.xlsx]Income - Adjusted!R110C16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P110" s="2"/>
      </tp>
      <tp>
        <v>11.146800000000001</v>
        <stp/>
        <stp>##V3_BDHV12</stp>
        <stp>RMS FP Equity</stp>
        <stp>IS_DIL_EPS_CONT_OPS</stp>
        <stp>FY 2014</stp>
        <stp>FY 2014</stp>
        <stp>[FA1_ididqeuc.xlsx]Income - Adjusted!R110C26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Z110" s="2"/>
      </tp>
      <tp t="s">
        <v>—</v>
        <stp/>
        <stp>##V3_BDHV12</stp>
        <stp>RMS FP Equity</stp>
        <stp>IS_D&amp;A_COST_OF_REVENUE</stp>
        <stp>FY 1991</stp>
        <stp>FY 1991</stp>
        <stp>[FA1_ididqeuc.xlsx]Income - Adjusted!R14C3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4" s="2"/>
      </tp>
      <tp>
        <v>31.0825</v>
        <stp/>
        <stp>##V3_BDHV12</stp>
        <stp>RMS FP Equity</stp>
        <stp>IS_NONOP_INCOME_LOSS</stp>
        <stp>FY 2013</stp>
        <stp>FY 2013</stp>
        <stp>[FA1_ididqeuc.xlsx]Income - Adjusted!R36C25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36" s="2"/>
      </tp>
      <tp t="s">
        <v>—</v>
        <stp/>
        <stp>##V3_BDHV12</stp>
        <stp>RMS FP Equity</stp>
        <stp>IS_NONOP_INCOME_LOSS</stp>
        <stp>FY 2003</stp>
        <stp>FY 2003</stp>
        <stp>[FA1_ididqeuc.xlsx]Income - Adjusted!R36C15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36" s="2"/>
      </tp>
      <tp>
        <v>2.2195999999999998</v>
        <stp/>
        <stp>##V3_BDHV12</stp>
        <stp>RMS FP Equity</stp>
        <stp>IS_DIL_EPS_CONT_OPS</stp>
        <stp>FY 2003</stp>
        <stp>FY 2003</stp>
        <stp>[FA1_ididqeuc.xlsx]Income - Adjusted!R110C15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O110" s="2"/>
      </tp>
      <tp>
        <v>10.257199999999999</v>
        <stp/>
        <stp>##V3_BDHV12</stp>
        <stp>RMS FP Equity</stp>
        <stp>IS_DIL_EPS_CONT_OPS</stp>
        <stp>FY 2013</stp>
        <stp>FY 2013</stp>
        <stp>[FA1_ididqeuc.xlsx]Income - Adjusted!R110C25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Y110" s="2"/>
      </tp>
      <tp>
        <v>23.917200000000001</v>
        <stp/>
        <stp>##V3_BDHV12</stp>
        <stp>RMS FP Equity</stp>
        <stp>IS_NONOP_INCOME_LOSS</stp>
        <stp>FY 2012</stp>
        <stp>FY 2012</stp>
        <stp>[FA1_ididqeuc.xlsx]Income - Adjusted!R36C24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36" s="2"/>
      </tp>
      <tp t="s">
        <v>—</v>
        <stp/>
        <stp>##V3_BDHV12</stp>
        <stp>RMS FP Equity</stp>
        <stp>IS_NONOP_INCOME_LOSS</stp>
        <stp>FY 2002</stp>
        <stp>FY 2002</stp>
        <stp>[FA1_ididqeuc.xlsx]Income - Adjusted!R36C14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36" s="2"/>
      </tp>
      <tp>
        <v>1.8411</v>
        <stp/>
        <stp>##V3_BDHV12</stp>
        <stp>RMS FP Equity</stp>
        <stp>IS_DIL_EPS_CONT_OPS</stp>
        <stp>FY 2002</stp>
        <stp>FY 2002</stp>
        <stp>[FA1_ididqeuc.xlsx]Income - Adjusted!R110C14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N110" s="2"/>
      </tp>
      <tp>
        <v>9.1745000000000001</v>
        <stp/>
        <stp>##V3_BDHV12</stp>
        <stp>RMS FP Equity</stp>
        <stp>IS_DIL_EPS_CONT_OPS</stp>
        <stp>FY 2012</stp>
        <stp>FY 2012</stp>
        <stp>[FA1_ididqeuc.xlsx]Income - Adjusted!R110C24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X110" s="2"/>
      </tp>
      <tp>
        <v>52.566499999999998</v>
        <stp/>
        <stp>##V3_BDHV12</stp>
        <stp>RMS FP Equity</stp>
        <stp>NET_INCOME</stp>
        <stp>FY 1994</stp>
        <stp>FY 1994</stp>
        <stp>[FA1_ididqeuc.xlsx]Income - Adjusted!R82C6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82" s="2"/>
      </tp>
      <tp>
        <v>5471.5015999999996</v>
        <stp/>
        <stp>##V3_BDHV12</stp>
        <stp>RMS FP Equity</stp>
        <stp>SALES_REV_TURN</stp>
        <stp>FY 2014</stp>
        <stp>FY 2014</stp>
        <stp>[FA1_ididqeuc.xlsx]Income - Adjusted!R6C26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6" s="2"/>
      </tp>
      <tp>
        <v>1656.5505000000001</v>
        <stp/>
        <stp>##V3_BDHV12</stp>
        <stp>RMS FP Equity</stp>
        <stp>SALES_REV_TURN</stp>
        <stp>FY 2004</stp>
        <stp>FY 2004</stp>
        <stp>[FA1_ididqeuc.xlsx]Income - Adjusted!R6C16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6" s="2"/>
      </tp>
      <tp t="s">
        <v>—</v>
        <stp/>
        <stp>##V3_BDHV12</stp>
        <stp>RMS FP Equity</stp>
        <stp>IS_DISCONTINUED_OPERATIONS</stp>
        <stp>FY 2008</stp>
        <stp>FY 2008</stp>
        <stp>[FA1_ididqeuc.xlsx]Income - Adjusted!R76C20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76" s="2"/>
      </tp>
      <tp>
        <v>0</v>
        <stp/>
        <stp>##V3_BDHV12</stp>
        <stp>RMS FP Equity</stp>
        <stp>IS_DISCONTINUED_OPERATIONS</stp>
        <stp>FY 2009</stp>
        <stp>FY 2009</stp>
        <stp>[FA1_ididqeuc.xlsx]Income - Adjusted!R76C21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76" s="2"/>
      </tp>
      <tp>
        <v>0</v>
        <stp/>
        <stp>##V3_BDHV12</stp>
        <stp>RMS FP Equity</stp>
        <stp>IS_DISCONTINUED_OPERATIONS</stp>
        <stp>FY 2010</stp>
        <stp>FY 2010</stp>
        <stp>[FA1_ididqeuc.xlsx]Income - Adjusted!R76C22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76" s="2"/>
      </tp>
      <tp>
        <v>0</v>
        <stp/>
        <stp>##V3_BDHV12</stp>
        <stp>RMS FP Equity</stp>
        <stp>IS_DISCONTINUED_OPERATIONS</stp>
        <stp>FY 2011</stp>
        <stp>FY 2011</stp>
        <stp>[FA1_ididqeuc.xlsx]Income - Adjusted!R76C23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76" s="2"/>
      </tp>
      <tp>
        <v>0</v>
        <stp/>
        <stp>##V3_BDHV12</stp>
        <stp>RMS FP Equity</stp>
        <stp>IS_DISCONTINUED_OPERATIONS</stp>
        <stp>FY 2012</stp>
        <stp>FY 2012</stp>
        <stp>[FA1_ididqeuc.xlsx]Income - Adjusted!R76C24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76" s="2"/>
      </tp>
      <tp>
        <v>0</v>
        <stp/>
        <stp>##V3_BDHV12</stp>
        <stp>RMS FP Equity</stp>
        <stp>IS_DISCONTINUED_OPERATIONS</stp>
        <stp>FY 2013</stp>
        <stp>FY 2013</stp>
        <stp>[FA1_ididqeuc.xlsx]Income - Adjusted!R76C25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76" s="2"/>
      </tp>
      <tp>
        <v>0</v>
        <stp/>
        <stp>##V3_BDHV12</stp>
        <stp>RMS FP Equity</stp>
        <stp>IS_DISCONTINUED_OPERATIONS</stp>
        <stp>FY 2014</stp>
        <stp>FY 2014</stp>
        <stp>[FA1_ididqeuc.xlsx]Income - Adjusted!R76C26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76" s="2"/>
      </tp>
      <tp>
        <v>0</v>
        <stp/>
        <stp>##V3_BDHV12</stp>
        <stp>RMS FP Equity</stp>
        <stp>IS_DISCONTINUED_OPERATIONS</stp>
        <stp>FY 2015</stp>
        <stp>FY 2015</stp>
        <stp>[FA1_ididqeuc.xlsx]Income - Adjusted!R76C27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76" s="2"/>
      </tp>
      <tp>
        <v>0</v>
        <stp/>
        <stp>##V3_BDHV12</stp>
        <stp>RMS FP Equity</stp>
        <stp>IS_DISCONTINUED_OPERATIONS</stp>
        <stp>FY 2016</stp>
        <stp>FY 2016</stp>
        <stp>[FA1_ididqeuc.xlsx]Income - Adjusted!R76C28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76" s="2"/>
      </tp>
      <tp>
        <v>0</v>
        <stp/>
        <stp>##V3_BDHV12</stp>
        <stp>RMS FP Equity</stp>
        <stp>IS_DISCONTINUED_OPERATIONS</stp>
        <stp>FY 2017</stp>
        <stp>FY 2017</stp>
        <stp>[FA1_ididqeuc.xlsx]Income - Adjusted!R76C29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76" s="2"/>
      </tp>
      <tp>
        <v>7.9088000000000003</v>
        <stp/>
        <stp>##V3_BDHV12</stp>
        <stp>RMS FP Equity</stp>
        <stp>IS_EARN_BEF_XO_ITEMS_PER_SH</stp>
        <stp>FY 2011</stp>
        <stp>FY 2011</stp>
        <stp>[FA1_ididqeuc.xlsx]Income - Adjusted!R99C23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W99" s="2"/>
      </tp>
      <tp>
        <v>1.645</v>
        <stp/>
        <stp>##V3_BDHV12</stp>
        <stp>RMS FP Equity</stp>
        <stp>IS_EARN_BEF_XO_ITEMS_PER_SH</stp>
        <stp>FY 2001</stp>
        <stp>FY 2001</stp>
        <stp>[FA1_ididqeuc.xlsx]Income - Adjusted!R99C13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M99" s="2"/>
      </tp>
      <tp>
        <v>81.080600000000004</v>
        <stp/>
        <stp>##V3_BDHV12</stp>
        <stp>RMS FP Equity</stp>
        <stp>EARN_FOR_COMMON</stp>
        <stp>FY 1995</stp>
        <stp>FY 1995</stp>
        <stp>[FA1_ididqeuc.xlsx]Income - Adjusted!R89C7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89" s="2"/>
      </tp>
      <tp t="s">
        <v>—</v>
        <stp/>
        <stp>##V3_BDHV12</stp>
        <stp>RMS FP Equity</stp>
        <stp>IS_OPEX_R&amp;D</stp>
        <stp>FY 1991</stp>
        <stp>FY 1991</stp>
        <stp>[FA1_ididqeuc.xlsx]Income - Adjusted!R27C3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27" s="2"/>
      </tp>
      <tp t="s">
        <v>—</v>
        <stp/>
        <stp>##V3_BDHV12</stp>
        <stp>RMS FP Equity</stp>
        <stp>IS_OPEX_R&amp;D</stp>
        <stp>FY 1992</stp>
        <stp>FY 1992</stp>
        <stp>[FA1_ididqeuc.xlsx]Income - Adjusted!R27C4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27" s="2"/>
      </tp>
      <tp t="s">
        <v>—</v>
        <stp/>
        <stp>##V3_BDHV12</stp>
        <stp>RMS FP Equity</stp>
        <stp>IS_OPEX_R&amp;D</stp>
        <stp>FY 1993</stp>
        <stp>FY 1993</stp>
        <stp>[FA1_ididqeuc.xlsx]Income - Adjusted!R27C5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27" s="2"/>
      </tp>
      <tp t="s">
        <v>—</v>
        <stp/>
        <stp>##V3_BDHV12</stp>
        <stp>RMS FP Equity</stp>
        <stp>IS_OPEX_R&amp;D</stp>
        <stp>FY 1994</stp>
        <stp>FY 1994</stp>
        <stp>[FA1_ididqeuc.xlsx]Income - Adjusted!R27C6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27" s="2"/>
      </tp>
      <tp t="s">
        <v>—</v>
        <stp/>
        <stp>##V3_BDHV12</stp>
        <stp>RMS FP Equity</stp>
        <stp>IS_OPEX_R&amp;D</stp>
        <stp>FY 1995</stp>
        <stp>FY 1995</stp>
        <stp>[FA1_ididqeuc.xlsx]Income - Adjusted!R27C7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27" s="2"/>
      </tp>
      <tp t="s">
        <v>—</v>
        <stp/>
        <stp>##V3_BDHV12</stp>
        <stp>RMS FP Equity</stp>
        <stp>IS_OPEX_R&amp;D</stp>
        <stp>FY 1996</stp>
        <stp>FY 1996</stp>
        <stp>[FA1_ididqeuc.xlsx]Income - Adjusted!R27C8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27" s="2"/>
      </tp>
      <tp t="s">
        <v>—</v>
        <stp/>
        <stp>##V3_BDHV12</stp>
        <stp>RMS FP Equity</stp>
        <stp>IS_OPEX_R&amp;D</stp>
        <stp>FY 1997</stp>
        <stp>FY 1997</stp>
        <stp>[FA1_ididqeuc.xlsx]Income - Adjusted!R27C9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27" s="2"/>
      </tp>
      <tp t="s">
        <v>—</v>
        <stp/>
        <stp>##V3_BDHV12</stp>
        <stp>RMS FP Equity</stp>
        <stp>IS_D&amp;A_COST_OF_REVENUE</stp>
        <stp>FY 2006</stp>
        <stp>FY 2006</stp>
        <stp>[FA1_ididqeuc.xlsx]Income - Adjusted!R14C18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4" s="2"/>
      </tp>
      <tp>
        <v>37.3001</v>
        <stp/>
        <stp>##V3_BDHV12</stp>
        <stp>RMS FP Equity</stp>
        <stp>IS_D&amp;A_COST_OF_REVENUE</stp>
        <stp>FY 2016</stp>
        <stp>FY 2016</stp>
        <stp>[FA1_ididqeuc.xlsx]Income - Adjusted!R14C28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4" s="2"/>
      </tp>
      <tp t="s">
        <v>—</v>
        <stp/>
        <stp>##V3_BDHV12</stp>
        <stp>RMS FP Equity</stp>
        <stp>IS_NET_INTEREST_EXPENSE</stp>
        <stp>FY 1995</stp>
        <stp>FY 1995</stp>
        <stp>[FA1_ididqeuc.xlsx]Income - Adjusted!R38C7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38" s="2"/>
      </tp>
      <tp>
        <v>110.304</v>
        <stp/>
        <stp>##V3_BDHV12</stp>
        <stp>RMS FP Equity</stp>
        <stp>IS_AVG_NUM_SH_FOR_EPS</stp>
        <stp>FY 1998</stp>
        <stp>FY 1998</stp>
        <stp>[FA1_ididqeuc.xlsx]Income - Adjusted!R95C10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J95" s="2"/>
      </tp>
      <tp>
        <v>105.074</v>
        <stp/>
        <stp>##V3_BDHV12</stp>
        <stp>RMS FP Equity</stp>
        <stp>IS_AVG_NUM_SH_FOR_EPS</stp>
        <stp>FY 2008</stp>
        <stp>FY 2008</stp>
        <stp>[FA1_ididqeuc.xlsx]Income - Adjusted!R95C20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T95" s="2"/>
      </tp>
      <tp>
        <v>3.51</v>
        <stp/>
        <stp>##V3_BDHV12</stp>
        <stp>RMS FP Equity</stp>
        <stp>IS_SH_FOR_DILUTED_EPS</stp>
        <stp>FY 1991</stp>
        <stp>FY 1991</stp>
        <stp>[FA1_ididqeuc.xlsx]Income - Adjusted!R104C3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C104" s="2"/>
      </tp>
      <tp t="s">
        <v>—</v>
        <stp/>
        <stp>##V3_BDHV12</stp>
        <stp>RMS FP Equity</stp>
        <stp>IS_BASIC_EPS_CONT_OPS</stp>
        <stp>FY 1992</stp>
        <stp>FY 1992</stp>
        <stp>[FA1_ididqeuc.xlsx]Income - Adjusted!R101C4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D101" s="2"/>
      </tp>
      <tp t="s">
        <v>—</v>
        <stp/>
        <stp>##V3_BDHV12</stp>
        <stp>RMS FP Equity</stp>
        <stp>IS_SH_PRO_EQY_MT_INV_NET_OF_TAX</stp>
        <stp>FY 1998</stp>
        <stp>FY 1998</stp>
        <stp>[FA1_ididqeuc.xlsx]Income - Adjusted!R71C10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71" s="2"/>
      </tp>
      <tp>
        <v>16.915199999999999</v>
        <stp/>
        <stp>##V3_BDHV12</stp>
        <stp>RMS FP Equity</stp>
        <stp>IS_SH_PRO_EQY_MT_INV_NET_OF_TAX</stp>
        <stp>FY 2008</stp>
        <stp>FY 2008</stp>
        <stp>[FA1_ididqeuc.xlsx]Income - Adjusted!R71C20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71" s="2"/>
      </tp>
      <tp t="s">
        <v>—</v>
        <stp/>
        <stp>##V3_BDHV12</stp>
        <stp>RMS FP Equity</stp>
        <stp>IS_SELLING_EXPENSES</stp>
        <stp>FY 2001</stp>
        <stp>FY 2001</stp>
        <stp>[FA1_ididqeuc.xlsx]Income - Adjusted!R23C13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3" s="2"/>
      </tp>
      <tp>
        <v>206.35400000000001</v>
        <stp/>
        <stp>##V3_BDHV12</stp>
        <stp>RMS FP Equity</stp>
        <stp>IS_SELLING_EXPENSES</stp>
        <stp>FY 2011</stp>
        <stp>FY 2011</stp>
        <stp>[FA1_ididqeuc.xlsx]Income - Adjusted!R23C23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3" s="2"/>
      </tp>
      <tp t="s">
        <v>—</v>
        <stp/>
        <stp>##V3_BDHV12</stp>
        <stp>RMS FP Equity</stp>
        <stp>INCOME_LOSS_FROM_AFFILIATES</stp>
        <stp>FY 2011</stp>
        <stp>FY 2011</stp>
        <stp>[FA1_ididqeuc.xlsx]Income - Adjusted!R46C23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46" s="2"/>
      </tp>
      <tp>
        <v>-1.3433999999999999</v>
        <stp/>
        <stp>##V3_BDHV12</stp>
        <stp>RMS FP Equity</stp>
        <stp>INCOME_LOSS_FROM_AFFILIATES</stp>
        <stp>FY 2001</stp>
        <stp>FY 2001</stp>
        <stp>[FA1_ididqeuc.xlsx]Income - Adjusted!R46C13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46" s="2"/>
      </tp>
      <tp>
        <v>402.7133</v>
        <stp/>
        <stp>##V3_BDHV12</stp>
        <stp>RMS FP Equity</stp>
        <stp>EARN_FOR_COMMON</stp>
        <stp>FY 2009</stp>
        <stp>FY 2009</stp>
        <stp>[FA1_ididqeuc.xlsx]Income - Adjusted!R86C21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86" s="2"/>
      </tp>
      <tp>
        <v>126.73650000000001</v>
        <stp/>
        <stp>##V3_BDHV12</stp>
        <stp>RMS FP Equity</stp>
        <stp>EARN_FOR_COMMON</stp>
        <stp>FY 1999</stp>
        <stp>FY 1999</stp>
        <stp>[FA1_ididqeuc.xlsx]Income - Adjusted!R86C11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86" s="2"/>
      </tp>
      <tp>
        <v>81.080600000000004</v>
        <stp/>
        <stp>##V3_BDHV12</stp>
        <stp>RMS FP Equity</stp>
        <stp>NET_INCOME</stp>
        <stp>FY 1995</stp>
        <stp>FY 1995</stp>
        <stp>[FA1_ididqeuc.xlsx]Income - Adjusted!R82C7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82" s="2"/>
      </tp>
      <tp>
        <v>5373.5131000000001</v>
        <stp/>
        <stp>##V3_BDHV12</stp>
        <stp>RMS FP Equity</stp>
        <stp>SALES_REV_TURN</stp>
        <stp>FY 2015</stp>
        <stp>FY 2015</stp>
        <stp>[FA1_ididqeuc.xlsx]Income - Adjusted!R6C27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6" s="2"/>
      </tp>
      <tp>
        <v>1775.9960000000001</v>
        <stp/>
        <stp>##V3_BDHV12</stp>
        <stp>RMS FP Equity</stp>
        <stp>SALES_REV_TURN</stp>
        <stp>FY 2005</stp>
        <stp>FY 2005</stp>
        <stp>[FA1_ididqeuc.xlsx]Income - Adjusted!R6C17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6" s="2"/>
      </tp>
      <tp>
        <v>5.3197000000000001</v>
        <stp/>
        <stp>##V3_BDHV12</stp>
        <stp>RMS FP Equity</stp>
        <stp>IS_EARN_BEF_XO_ITEMS_PER_SH</stp>
        <stp>FY 2010</stp>
        <stp>FY 2010</stp>
        <stp>[FA1_ididqeuc.xlsx]Income - Adjusted!R99C22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V99" s="2"/>
      </tp>
      <tp>
        <v>1.4670000000000001</v>
        <stp/>
        <stp>##V3_BDHV12</stp>
        <stp>RMS FP Equity</stp>
        <stp>IS_EARN_BEF_XO_ITEMS_PER_SH</stp>
        <stp>FY 2000</stp>
        <stp>FY 2000</stp>
        <stp>[FA1_ididqeuc.xlsx]Income - Adjusted!R99C12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L99" s="2"/>
      </tp>
      <tp>
        <v>52.566499999999998</v>
        <stp/>
        <stp>##V3_BDHV12</stp>
        <stp>RMS FP Equity</stp>
        <stp>EARN_FOR_COMMON</stp>
        <stp>FY 1994</stp>
        <stp>FY 1994</stp>
        <stp>[FA1_ididqeuc.xlsx]Income - Adjusted!R89C6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89" s="2"/>
      </tp>
      <tp t="s">
        <v>—</v>
        <stp/>
        <stp>##V3_BDHV12</stp>
        <stp>RMS FP Equity</stp>
        <stp>IS_D&amp;A_COST_OF_REVENUE</stp>
        <stp>FY 2007</stp>
        <stp>FY 2007</stp>
        <stp>[FA1_ididqeuc.xlsx]Income - Adjusted!R14C19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4" s="2"/>
      </tp>
      <tp>
        <v>38.410499999999999</v>
        <stp/>
        <stp>##V3_BDHV12</stp>
        <stp>RMS FP Equity</stp>
        <stp>IS_D&amp;A_COST_OF_REVENUE</stp>
        <stp>FY 2017</stp>
        <stp>FY 2017</stp>
        <stp>[FA1_ididqeuc.xlsx]Income - Adjusted!R14C29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4" s="2"/>
      </tp>
      <tp t="s">
        <v>—</v>
        <stp/>
        <stp>##V3_BDHV12</stp>
        <stp>RMS FP Equity</stp>
        <stp>IS_NET_INTEREST_EXPENSE</stp>
        <stp>FY 1994</stp>
        <stp>FY 1994</stp>
        <stp>[FA1_ididqeuc.xlsx]Income - Adjusted!R38C6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38" s="2"/>
      </tp>
      <tp>
        <v>110.44199999999999</v>
        <stp/>
        <stp>##V3_BDHV12</stp>
        <stp>RMS FP Equity</stp>
        <stp>IS_AVG_NUM_SH_FOR_EPS</stp>
        <stp>FY 1999</stp>
        <stp>FY 1999</stp>
        <stp>[FA1_ididqeuc.xlsx]Income - Adjusted!R95C11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K95" s="2"/>
      </tp>
      <tp>
        <v>105.1289</v>
        <stp/>
        <stp>##V3_BDHV12</stp>
        <stp>RMS FP Equity</stp>
        <stp>IS_AVG_NUM_SH_FOR_EPS</stp>
        <stp>FY 2009</stp>
        <stp>FY 2009</stp>
        <stp>[FA1_ididqeuc.xlsx]Income - Adjusted!R95C21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U95" s="2"/>
      </tp>
      <tp>
        <v>0</v>
        <stp/>
        <stp>##V3_BDHV12</stp>
        <stp>RMS FP Equity</stp>
        <stp>IS_BASIC_EPS_CONT_OPS</stp>
        <stp>FY 1993</stp>
        <stp>FY 1993</stp>
        <stp>[FA1_ididqeuc.xlsx]Income - Adjusted!R101C5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E101" s="2"/>
      </tp>
      <tp t="s">
        <v>—</v>
        <stp/>
        <stp>##V3_BDHV12</stp>
        <stp>RMS FP Equity</stp>
        <stp>IS_SH_PRO_EQY_MT_INV_NET_OF_TAX</stp>
        <stp>FY 1999</stp>
        <stp>FY 1999</stp>
        <stp>[FA1_ididqeuc.xlsx]Income - Adjusted!R71C11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71" s="2"/>
      </tp>
      <tp>
        <v>9.0638000000000005</v>
        <stp/>
        <stp>##V3_BDHV12</stp>
        <stp>RMS FP Equity</stp>
        <stp>IS_SH_PRO_EQY_MT_INV_NET_OF_TAX</stp>
        <stp>FY 2009</stp>
        <stp>FY 2009</stp>
        <stp>[FA1_ididqeuc.xlsx]Income - Adjusted!R71C21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71" s="2"/>
      </tp>
      <tp t="s">
        <v>—</v>
        <stp/>
        <stp>##V3_BDHV12</stp>
        <stp>RMS FP Equity</stp>
        <stp>IS_SELLING_EXPENSES</stp>
        <stp>FY 2000</stp>
        <stp>FY 2000</stp>
        <stp>[FA1_ididqeuc.xlsx]Income - Adjusted!R23C12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3" s="2"/>
      </tp>
      <tp>
        <v>167.68360000000001</v>
        <stp/>
        <stp>##V3_BDHV12</stp>
        <stp>RMS FP Equity</stp>
        <stp>IS_SELLING_EXPENSES</stp>
        <stp>FY 2010</stp>
        <stp>FY 2010</stp>
        <stp>[FA1_ididqeuc.xlsx]Income - Adjusted!R23C22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3" s="2"/>
      </tp>
      <tp t="s">
        <v>—</v>
        <stp/>
        <stp>##V3_BDHV12</stp>
        <stp>RMS FP Equity</stp>
        <stp>INCOME_LOSS_FROM_AFFILIATES</stp>
        <stp>FY 2010</stp>
        <stp>FY 2010</stp>
        <stp>[FA1_ididqeuc.xlsx]Income - Adjusted!R46C22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46" s="2"/>
      </tp>
      <tp>
        <v>-1.9990999999999999</v>
        <stp/>
        <stp>##V3_BDHV12</stp>
        <stp>RMS FP Equity</stp>
        <stp>INCOME_LOSS_FROM_AFFILIATES</stp>
        <stp>FY 2000</stp>
        <stp>FY 2000</stp>
        <stp>[FA1_ididqeuc.xlsx]Income - Adjusted!R46C12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46" s="2"/>
      </tp>
      <tp t="s">
        <v>—</v>
        <stp/>
        <stp>##V3_BDHV12</stp>
        <stp>RMS FP Equity</stp>
        <stp>IS_GAIN_LOSS_DISPOSAL_ASSETS</stp>
        <stp>FY 1997</stp>
        <stp>FY 1997</stp>
        <stp>[FA1_ididqeuc.xlsx]Income - Adjusted!R54C9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54" s="2"/>
      </tp>
      <tp t="s">
        <v>—</v>
        <stp/>
        <stp>##V3_BDHV12</stp>
        <stp>RMS FP Equity</stp>
        <stp>IS_GAIN_LOSS_DISPOSAL_ASSETS</stp>
        <stp>FY 1996</stp>
        <stp>FY 1996</stp>
        <stp>[FA1_ididqeuc.xlsx]Income - Adjusted!R54C8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54" s="2"/>
      </tp>
      <tp t="s">
        <v>—</v>
        <stp/>
        <stp>##V3_BDHV12</stp>
        <stp>RMS FP Equity</stp>
        <stp>IS_NONOP_INCOME_LOSS</stp>
        <stp>FY 1991</stp>
        <stp>FY 1991</stp>
        <stp>[FA1_ididqeuc.xlsx]Income - Adjusted!R36C3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36" s="2"/>
      </tp>
      <tp t="s">
        <v>—</v>
        <stp/>
        <stp>##V3_BDHV12</stp>
        <stp>RMS FP Equity</stp>
        <stp>IS_GAIN_LOSS_DISPOSAL_ASSETS</stp>
        <stp>FY 1991</stp>
        <stp>FY 1991</stp>
        <stp>[FA1_ididqeuc.xlsx]Income - Adjusted!R54C3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54" s="2"/>
      </tp>
      <tp>
        <v>426.85210000000001</v>
        <stp/>
        <stp>##V3_BDHV12</stp>
        <stp>RMS FP Equity</stp>
        <stp>EARN_FOR_COMMON</stp>
        <stp>FY 2008</stp>
        <stp>FY 2008</stp>
        <stp>[FA1_ididqeuc.xlsx]Income - Adjusted!R86C20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86" s="2"/>
      </tp>
      <tp>
        <v>99.352699999999999</v>
        <stp/>
        <stp>##V3_BDHV12</stp>
        <stp>RMS FP Equity</stp>
        <stp>EARN_FOR_COMMON</stp>
        <stp>FY 1998</stp>
        <stp>FY 1998</stp>
        <stp>[FA1_ididqeuc.xlsx]Income - Adjusted!R86C10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86" s="2"/>
      </tp>
      <tp t="s">
        <v>—</v>
        <stp/>
        <stp>##V3_BDHV12</stp>
        <stp>RMS FP Equity</stp>
        <stp>IS_GAIN_LOSS_DISPOSAL_ASSETS</stp>
        <stp>FY 1995</stp>
        <stp>FY 1995</stp>
        <stp>[FA1_ididqeuc.xlsx]Income - Adjusted!R54C7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54" s="2"/>
      </tp>
      <tp t="s">
        <v>—</v>
        <stp/>
        <stp>##V3_BDHV12</stp>
        <stp>RMS FP Equity</stp>
        <stp>IS_GAIN_LOSS_DISPOSAL_ASSETS</stp>
        <stp>FY 1994</stp>
        <stp>FY 1994</stp>
        <stp>[FA1_ididqeuc.xlsx]Income - Adjusted!R54C6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54" s="2"/>
      </tp>
      <tp t="s">
        <v>—</v>
        <stp/>
        <stp>##V3_BDHV12</stp>
        <stp>RMS FP Equity</stp>
        <stp>IS_GAIN_LOSS_DISPOSAL_ASSETS</stp>
        <stp>FY 1993</stp>
        <stp>FY 1993</stp>
        <stp>[FA1_ididqeuc.xlsx]Income - Adjusted!R54C5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54" s="2"/>
      </tp>
      <tp t="s">
        <v>—</v>
        <stp/>
        <stp>##V3_BDHV12</stp>
        <stp>RMS FP Equity</stp>
        <stp>IS_GAIN_LOSS_DISPOSAL_ASSETS</stp>
        <stp>FY 1992</stp>
        <stp>FY 1992</stp>
        <stp>[FA1_ididqeuc.xlsx]Income - Adjusted!R54C4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54" s="2"/>
      </tp>
      <tp>
        <v>33.362499999999997</v>
        <stp/>
        <stp>##V3_BDHV12</stp>
        <stp>RMS FP Equity</stp>
        <stp>NET_INCOME</stp>
        <stp>FY 1992</stp>
        <stp>FY 1992</stp>
        <stp>[FA1_ididqeuc.xlsx]Income - Adjusted!R82C4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82" s="2"/>
      </tp>
      <tp>
        <v>4480.1035000000002</v>
        <stp/>
        <stp>##V3_BDHV12</stp>
        <stp>RMS FP Equity</stp>
        <stp>SALES_REV_TURN</stp>
        <stp>FY 2012</stp>
        <stp>FY 2012</stp>
        <stp>[FA1_ididqeuc.xlsx]Income - Adjusted!R6C24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6" s="2"/>
      </tp>
      <tp>
        <v>1174.9357</v>
        <stp/>
        <stp>##V3_BDHV12</stp>
        <stp>RMS FP Equity</stp>
        <stp>SALES_REV_TURN</stp>
        <stp>FY 2002</stp>
        <stp>FY 2002</stp>
        <stp>[FA1_ididqeuc.xlsx]Income - Adjusted!R6C14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6" s="2"/>
      </tp>
      <tp>
        <v>3.8346999999999998</v>
        <stp/>
        <stp>##V3_BDHV12</stp>
        <stp>RMS FP Equity</stp>
        <stp>IS_EARN_BEF_XO_ITEMS_PER_SH</stp>
        <stp>FY 2009</stp>
        <stp>FY 2009</stp>
        <stp>[FA1_ididqeuc.xlsx]Income - Adjusted!R99C21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U99" s="2"/>
      </tp>
      <tp>
        <v>1.1504000000000001</v>
        <stp/>
        <stp>##V3_BDHV12</stp>
        <stp>RMS FP Equity</stp>
        <stp>IS_EARN_BEF_XO_ITEMS_PER_SH</stp>
        <stp>FY 1999</stp>
        <stp>FY 1999</stp>
        <stp>[FA1_ididqeuc.xlsx]Income - Adjusted!R99C11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K99" s="2"/>
      </tp>
      <tp>
        <v>37.1404</v>
        <stp/>
        <stp>##V3_BDHV12</stp>
        <stp>RMS FP Equity</stp>
        <stp>EARN_FOR_COMMON</stp>
        <stp>FY 1993</stp>
        <stp>FY 1993</stp>
        <stp>[FA1_ididqeuc.xlsx]Income - Adjusted!R89C5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89" s="2"/>
      </tp>
      <tp>
        <v>0</v>
        <stp/>
        <stp>##V3_BDHV12</stp>
        <stp>RMS FP Equity</stp>
        <stp>IS_INT_EXPENSE</stp>
        <stp>FY 2017</stp>
        <stp>FY 2017</stp>
        <stp>[FA1_ididqeuc.xlsx]Income - Adjusted!R40C29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40" s="2"/>
      </tp>
      <tp>
        <v>0</v>
        <stp/>
        <stp>##V3_BDHV12</stp>
        <stp>RMS FP Equity</stp>
        <stp>IS_INT_EXPENSE</stp>
        <stp>FY 2007</stp>
        <stp>FY 2007</stp>
        <stp>[FA1_ididqeuc.xlsx]Income - Adjusted!R40C19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40" s="2"/>
      </tp>
      <tp t="s">
        <v>—</v>
        <stp/>
        <stp>##V3_BDHV12</stp>
        <stp>RMS FP Equity</stp>
        <stp>IS_NET_INTEREST_EXPENSE</stp>
        <stp>FY 1993</stp>
        <stp>FY 1993</stp>
        <stp>[FA1_ididqeuc.xlsx]Income - Adjusted!R38C5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38" s="2"/>
      </tp>
      <tp>
        <v>110.172</v>
        <stp/>
        <stp>##V3_BDHV12</stp>
        <stp>RMS FP Equity</stp>
        <stp>IS_AVG_NUM_SH_FOR_EPS</stp>
        <stp>FY 2000</stp>
        <stp>FY 2000</stp>
        <stp>[FA1_ididqeuc.xlsx]Income - Adjusted!R95C12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L95" s="2"/>
      </tp>
      <tp>
        <v>105.16240000000001</v>
        <stp/>
        <stp>##V3_BDHV12</stp>
        <stp>RMS FP Equity</stp>
        <stp>IS_AVG_NUM_SH_FOR_EPS</stp>
        <stp>FY 2010</stp>
        <stp>FY 2010</stp>
        <stp>[FA1_ididqeuc.xlsx]Income - Adjusted!R95C22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V95" s="2"/>
      </tp>
      <tp>
        <v>0</v>
        <stp/>
        <stp>##V3_BDHV12</stp>
        <stp>RMS FP Equity</stp>
        <stp>IS_BASIC_EPS_CONT_OPS</stp>
        <stp>FY 1994</stp>
        <stp>FY 1994</stp>
        <stp>[FA1_ididqeuc.xlsx]Income - Adjusted!R101C6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F101" s="2"/>
      </tp>
      <tp t="s">
        <v>—</v>
        <stp/>
        <stp>##V3_BDHV12</stp>
        <stp>RMS FP Equity</stp>
        <stp>IS_SH_PRO_EQY_MT_INV_NET_OF_TAX</stp>
        <stp>FY 2000</stp>
        <stp>FY 2000</stp>
        <stp>[FA1_ididqeuc.xlsx]Income - Adjusted!R71C12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71" s="2"/>
      </tp>
      <tp>
        <v>3.9798</v>
        <stp/>
        <stp>##V3_BDHV12</stp>
        <stp>RMS FP Equity</stp>
        <stp>IS_SH_PRO_EQY_MT_INV_NET_OF_TAX</stp>
        <stp>FY 2010</stp>
        <stp>FY 2010</stp>
        <stp>[FA1_ididqeuc.xlsx]Income - Adjusted!R71C22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71" s="2"/>
      </tp>
      <tp t="s">
        <v>—</v>
        <stp/>
        <stp>##V3_BDHV12</stp>
        <stp>RMS FP Equity</stp>
        <stp>IS_SELLING_EXPENSES</stp>
        <stp>FY 1999</stp>
        <stp>FY 1999</stp>
        <stp>[FA1_ididqeuc.xlsx]Income - Adjusted!R23C11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3" s="2"/>
      </tp>
      <tp>
        <v>127.4515</v>
        <stp/>
        <stp>##V3_BDHV12</stp>
        <stp>RMS FP Equity</stp>
        <stp>IS_SELLING_EXPENSES</stp>
        <stp>FY 2009</stp>
        <stp>FY 2009</stp>
        <stp>[FA1_ididqeuc.xlsx]Income - Adjusted!R23C21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3" s="2"/>
      </tp>
      <tp t="s">
        <v>—</v>
        <stp/>
        <stp>##V3_BDHV12</stp>
        <stp>RMS FP Equity</stp>
        <stp>INCOME_LOSS_FROM_AFFILIATES</stp>
        <stp>FY 2009</stp>
        <stp>FY 2009</stp>
        <stp>[FA1_ididqeuc.xlsx]Income - Adjusted!R46C21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46" s="2"/>
      </tp>
      <tp>
        <v>-0.37369999999999998</v>
        <stp/>
        <stp>##V3_BDHV12</stp>
        <stp>RMS FP Equity</stp>
        <stp>INCOME_LOSS_FROM_AFFILIATES</stp>
        <stp>FY 1999</stp>
        <stp>FY 1999</stp>
        <stp>[FA1_ididqeuc.xlsx]Income - Adjusted!R46C11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46" s="2"/>
      </tp>
      <tp>
        <v>827.50459999999998</v>
        <stp/>
        <stp>##V3_BDHV12</stp>
        <stp>RMS FP Equity</stp>
        <stp>EARN_FOR_COMMON</stp>
        <stp>FY 2011</stp>
        <stp>FY 2011</stp>
        <stp>[FA1_ididqeuc.xlsx]Income - Adjusted!R86C23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86" s="2"/>
      </tp>
      <tp>
        <v>180.64869999999999</v>
        <stp/>
        <stp>##V3_BDHV12</stp>
        <stp>RMS FP Equity</stp>
        <stp>EARN_FOR_COMMON</stp>
        <stp>FY 2001</stp>
        <stp>FY 2001</stp>
        <stp>[FA1_ididqeuc.xlsx]Income - Adjusted!R86C13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86" s="2"/>
      </tp>
      <tp>
        <v>37.1404</v>
        <stp/>
        <stp>##V3_BDHV12</stp>
        <stp>RMS FP Equity</stp>
        <stp>NET_INCOME</stp>
        <stp>FY 1993</stp>
        <stp>FY 1993</stp>
        <stp>[FA1_ididqeuc.xlsx]Income - Adjusted!R82C5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82" s="2"/>
      </tp>
      <tp>
        <v>4987.5438000000004</v>
        <stp/>
        <stp>##V3_BDHV12</stp>
        <stp>RMS FP Equity</stp>
        <stp>SALES_REV_TURN</stp>
        <stp>FY 2013</stp>
        <stp>FY 2013</stp>
        <stp>[FA1_ididqeuc.xlsx]Income - Adjusted!R6C25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6" s="2"/>
      </tp>
      <tp>
        <v>1392.9246000000001</v>
        <stp/>
        <stp>##V3_BDHV12</stp>
        <stp>RMS FP Equity</stp>
        <stp>SALES_REV_TURN</stp>
        <stp>FY 2003</stp>
        <stp>FY 2003</stp>
        <stp>[FA1_ididqeuc.xlsx]Income - Adjusted!R6C15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6" s="2"/>
      </tp>
      <tp t="s">
        <v>—</v>
        <stp/>
        <stp>##V3_BDHV12</stp>
        <stp>RMS FP Equity</stp>
        <stp>IS_DISCONTINUED_OPERATIONS</stp>
        <stp>FY 1998</stp>
        <stp>FY 1998</stp>
        <stp>[FA1_ididqeuc.xlsx]Income - Adjusted!R76C10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76" s="2"/>
      </tp>
      <tp t="s">
        <v>—</v>
        <stp/>
        <stp>##V3_BDHV12</stp>
        <stp>RMS FP Equity</stp>
        <stp>IS_DISCONTINUED_OPERATIONS</stp>
        <stp>FY 1999</stp>
        <stp>FY 1999</stp>
        <stp>[FA1_ididqeuc.xlsx]Income - Adjusted!R76C11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76" s="2"/>
      </tp>
      <tp t="s">
        <v>—</v>
        <stp/>
        <stp>##V3_BDHV12</stp>
        <stp>RMS FP Equity</stp>
        <stp>IS_DISCONTINUED_OPERATIONS</stp>
        <stp>FY 2000</stp>
        <stp>FY 2000</stp>
        <stp>[FA1_ididqeuc.xlsx]Income - Adjusted!R76C12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76" s="2"/>
      </tp>
      <tp t="s">
        <v>—</v>
        <stp/>
        <stp>##V3_BDHV12</stp>
        <stp>RMS FP Equity</stp>
        <stp>IS_DISCONTINUED_OPERATIONS</stp>
        <stp>FY 2001</stp>
        <stp>FY 2001</stp>
        <stp>[FA1_ididqeuc.xlsx]Income - Adjusted!R76C13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76" s="2"/>
      </tp>
      <tp t="s">
        <v>—</v>
        <stp/>
        <stp>##V3_BDHV12</stp>
        <stp>RMS FP Equity</stp>
        <stp>IS_DISCONTINUED_OPERATIONS</stp>
        <stp>FY 2002</stp>
        <stp>FY 2002</stp>
        <stp>[FA1_ididqeuc.xlsx]Income - Adjusted!R76C14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76" s="2"/>
      </tp>
      <tp t="s">
        <v>—</v>
        <stp/>
        <stp>##V3_BDHV12</stp>
        <stp>RMS FP Equity</stp>
        <stp>IS_DISCONTINUED_OPERATIONS</stp>
        <stp>FY 2003</stp>
        <stp>FY 2003</stp>
        <stp>[FA1_ididqeuc.xlsx]Income - Adjusted!R76C15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76" s="2"/>
      </tp>
      <tp t="s">
        <v>—</v>
        <stp/>
        <stp>##V3_BDHV12</stp>
        <stp>RMS FP Equity</stp>
        <stp>IS_DISCONTINUED_OPERATIONS</stp>
        <stp>FY 2004</stp>
        <stp>FY 2004</stp>
        <stp>[FA1_ididqeuc.xlsx]Income - Adjusted!R76C16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76" s="2"/>
      </tp>
      <tp t="s">
        <v>—</v>
        <stp/>
        <stp>##V3_BDHV12</stp>
        <stp>RMS FP Equity</stp>
        <stp>IS_DISCONTINUED_OPERATIONS</stp>
        <stp>FY 2005</stp>
        <stp>FY 2005</stp>
        <stp>[FA1_ididqeuc.xlsx]Income - Adjusted!R76C17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76" s="2"/>
      </tp>
      <tp t="s">
        <v>—</v>
        <stp/>
        <stp>##V3_BDHV12</stp>
        <stp>RMS FP Equity</stp>
        <stp>IS_DISCONTINUED_OPERATIONS</stp>
        <stp>FY 2006</stp>
        <stp>FY 2006</stp>
        <stp>[FA1_ididqeuc.xlsx]Income - Adjusted!R76C18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76" s="2"/>
      </tp>
      <tp t="s">
        <v>—</v>
        <stp/>
        <stp>##V3_BDHV12</stp>
        <stp>RMS FP Equity</stp>
        <stp>IS_DISCONTINUED_OPERATIONS</stp>
        <stp>FY 2007</stp>
        <stp>FY 2007</stp>
        <stp>[FA1_ididqeuc.xlsx]Income - Adjusted!R76C19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76" s="2"/>
      </tp>
      <tp>
        <v>4.0597000000000003</v>
        <stp/>
        <stp>##V3_BDHV12</stp>
        <stp>RMS FP Equity</stp>
        <stp>IS_EARN_BEF_XO_ITEMS_PER_SH</stp>
        <stp>FY 2008</stp>
        <stp>FY 2008</stp>
        <stp>[FA1_ididqeuc.xlsx]Income - Adjusted!R99C20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T99" s="2"/>
      </tp>
      <tp>
        <v>0.90069999999999995</v>
        <stp/>
        <stp>##V3_BDHV12</stp>
        <stp>RMS FP Equity</stp>
        <stp>IS_EARN_BEF_XO_ITEMS_PER_SH</stp>
        <stp>FY 1998</stp>
        <stp>FY 1998</stp>
        <stp>[FA1_ididqeuc.xlsx]Income - Adjusted!R99C10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J99" s="2"/>
      </tp>
      <tp>
        <v>33.362499999999997</v>
        <stp/>
        <stp>##V3_BDHV12</stp>
        <stp>RMS FP Equity</stp>
        <stp>EARN_FOR_COMMON</stp>
        <stp>FY 1992</stp>
        <stp>FY 1992</stp>
        <stp>[FA1_ididqeuc.xlsx]Income - Adjusted!R89C4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89" s="2"/>
      </tp>
      <tp>
        <v>1.6602000000000001</v>
        <stp/>
        <stp>##V3_BDHV12</stp>
        <stp>RMS FP Equity</stp>
        <stp>IS_INT_EXPENSE</stp>
        <stp>FY 2016</stp>
        <stp>FY 2016</stp>
        <stp>[FA1_ididqeuc.xlsx]Income - Adjusted!R40C28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40" s="2"/>
      </tp>
      <tp>
        <v>1.0051000000000001</v>
        <stp/>
        <stp>##V3_BDHV12</stp>
        <stp>RMS FP Equity</stp>
        <stp>IS_INT_EXPENSE</stp>
        <stp>FY 2006</stp>
        <stp>FY 2006</stp>
        <stp>[FA1_ididqeuc.xlsx]Income - Adjusted!R40C18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40" s="2"/>
      </tp>
      <tp t="s">
        <v>—</v>
        <stp/>
        <stp>##V3_BDHV12</stp>
        <stp>RMS FP Equity</stp>
        <stp>IS_OTHER_NON_OPERATING_INC_LOSS</stp>
        <stp>FY 1991</stp>
        <stp>FY 1991</stp>
        <stp>[FA1_ididqeuc.xlsx]Income - Adjusted!R48C3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48" s="2"/>
      </tp>
      <tp t="s">
        <v>—</v>
        <stp/>
        <stp>##V3_BDHV12</stp>
        <stp>RMS FP Equity</stp>
        <stp>IS_NET_INTEREST_EXPENSE</stp>
        <stp>FY 1992</stp>
        <stp>FY 1992</stp>
        <stp>[FA1_ididqeuc.xlsx]Income - Adjusted!R38C4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38" s="2"/>
      </tp>
      <tp>
        <v>109.869</v>
        <stp/>
        <stp>##V3_BDHV12</stp>
        <stp>RMS FP Equity</stp>
        <stp>IS_AVG_NUM_SH_FOR_EPS</stp>
        <stp>FY 2001</stp>
        <stp>FY 2001</stp>
        <stp>[FA1_ididqeuc.xlsx]Income - Adjusted!R95C13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M95" s="2"/>
      </tp>
      <tp>
        <v>104.5569</v>
        <stp/>
        <stp>##V3_BDHV12</stp>
        <stp>RMS FP Equity</stp>
        <stp>IS_AVG_NUM_SH_FOR_EPS</stp>
        <stp>FY 2011</stp>
        <stp>FY 2011</stp>
        <stp>[FA1_ididqeuc.xlsx]Income - Adjusted!R95C23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W95" s="2"/>
      </tp>
      <tp t="s">
        <v>—</v>
        <stp/>
        <stp>##V3_BDHV12</stp>
        <stp>RMS FP Equity</stp>
        <stp>IS_BASIC_EPS_CONT_OPS</stp>
        <stp>FY 1995</stp>
        <stp>FY 1995</stp>
        <stp>[FA1_ididqeuc.xlsx]Income - Adjusted!R101C7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G101" s="2"/>
      </tp>
      <tp t="s">
        <v>—</v>
        <stp/>
        <stp>##V3_BDHV12</stp>
        <stp>RMS FP Equity</stp>
        <stp>IS_SH_PRO_EQY_MT_INV_NET_OF_TAX</stp>
        <stp>FY 2001</stp>
        <stp>FY 2001</stp>
        <stp>[FA1_ididqeuc.xlsx]Income - Adjusted!R71C13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71" s="2"/>
      </tp>
      <tp>
        <v>6.2657999999999996</v>
        <stp/>
        <stp>##V3_BDHV12</stp>
        <stp>RMS FP Equity</stp>
        <stp>IS_SH_PRO_EQY_MT_INV_NET_OF_TAX</stp>
        <stp>FY 2011</stp>
        <stp>FY 2011</stp>
        <stp>[FA1_ididqeuc.xlsx]Income - Adjusted!R71C23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71" s="2"/>
      </tp>
      <tp t="s">
        <v>—</v>
        <stp/>
        <stp>##V3_BDHV12</stp>
        <stp>RMS FP Equity</stp>
        <stp>IS_SELLING_EXPENSES</stp>
        <stp>FY 1998</stp>
        <stp>FY 1998</stp>
        <stp>[FA1_ididqeuc.xlsx]Income - Adjusted!R23C10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3" s="2"/>
      </tp>
      <tp t="s">
        <v>—</v>
        <stp/>
        <stp>##V3_BDHV12</stp>
        <stp>RMS FP Equity</stp>
        <stp>IS_SELLING_EXPENSES</stp>
        <stp>FY 2008</stp>
        <stp>FY 2008</stp>
        <stp>[FA1_ididqeuc.xlsx]Income - Adjusted!R23C20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3" s="2"/>
      </tp>
      <tp>
        <v>16.7681</v>
        <stp/>
        <stp>##V3_BDHV12</stp>
        <stp>RMS FP Equity</stp>
        <stp>INCOME_LOSS_FROM_AFFILIATES</stp>
        <stp>FY 2008</stp>
        <stp>FY 2008</stp>
        <stp>[FA1_ididqeuc.xlsx]Income - Adjusted!R46C20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46" s="2"/>
      </tp>
      <tp>
        <v>0.81520000000000004</v>
        <stp/>
        <stp>##V3_BDHV12</stp>
        <stp>RMS FP Equity</stp>
        <stp>INCOME_LOSS_FROM_AFFILIATES</stp>
        <stp>FY 1998</stp>
        <stp>FY 1998</stp>
        <stp>[FA1_ididqeuc.xlsx]Income - Adjusted!R46C10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46" s="2"/>
      </tp>
      <tp>
        <v>559.43190000000004</v>
        <stp/>
        <stp>##V3_BDHV12</stp>
        <stp>RMS FP Equity</stp>
        <stp>EARN_FOR_COMMON</stp>
        <stp>FY 2010</stp>
        <stp>FY 2010</stp>
        <stp>[FA1_ididqeuc.xlsx]Income - Adjusted!R86C22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86" s="2"/>
      </tp>
      <tp>
        <v>161.6199</v>
        <stp/>
        <stp>##V3_BDHV12</stp>
        <stp>RMS FP Equity</stp>
        <stp>EARN_FOR_COMMON</stp>
        <stp>FY 2000</stp>
        <stp>FY 2000</stp>
        <stp>[FA1_ididqeuc.xlsx]Income - Adjusted!R86C12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86" s="2"/>
      </tp>
      <tp>
        <v>13.5108</v>
        <stp/>
        <stp>##V3_BDHV12</stp>
        <stp>RMS FP Equity</stp>
        <stp>IS_BASIC_EPS_CONT_OPS</stp>
        <stp>FY 2017</stp>
        <stp>FY 2017</stp>
        <stp>[FA1_ididqeuc.xlsx]Income - Adjusted!R101C29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C101" s="2"/>
      </tp>
      <tp>
        <v>3.7149000000000001</v>
        <stp/>
        <stp>##V3_BDHV12</stp>
        <stp>RMS FP Equity</stp>
        <stp>IS_BASIC_EPS_CONT_OPS</stp>
        <stp>FY 2007</stp>
        <stp>FY 2007</stp>
        <stp>[FA1_ididqeuc.xlsx]Income - Adjusted!R101C19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S101" s="2"/>
      </tp>
      <tp t="s">
        <v>—</v>
        <stp/>
        <stp>##V3_BDHV12</stp>
        <stp>RMS FP Equity</stp>
        <stp>IS_PROVISION_DOUBTFUL_ACCOUNTS</stp>
        <stp>FY 1996</stp>
        <stp>FY 1996</stp>
        <stp>[FA1_ididqeuc.xlsx]Income - Adjusted!R30C8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30" s="2"/>
      </tp>
      <tp>
        <v>3184.9279999999999</v>
        <stp/>
        <stp>##V3_BDHV12</stp>
        <stp>RMS FP Equity</stp>
        <stp>SALES_REV_TURN</stp>
        <stp>FY 2010</stp>
        <stp>FY 2010</stp>
        <stp>[FA1_ididqeuc.xlsx]Income - Adjusted!R6C22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6" s="2"/>
      </tp>
      <tp>
        <v>1070.2392</v>
        <stp/>
        <stp>##V3_BDHV12</stp>
        <stp>RMS FP Equity</stp>
        <stp>SALES_REV_TURN</stp>
        <stp>FY 2000</stp>
        <stp>FY 2000</stp>
        <stp>[FA1_ididqeuc.xlsx]Income - Adjusted!R6C12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6" s="2"/>
      </tp>
      <tp>
        <v>106.27030000000001</v>
        <stp/>
        <stp>##V3_BDHV12</stp>
        <stp>RMS FP Equity</stp>
        <stp>IS_SH_FOR_DILUTED_EPS</stp>
        <stp>FY 2007</stp>
        <stp>FY 2007</stp>
        <stp>[FA1_ididqeuc.xlsx]Income - Adjusted!R104C19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S104" s="2"/>
      </tp>
      <tp>
        <v>105.16079999999999</v>
        <stp/>
        <stp>##V3_BDHV12</stp>
        <stp>RMS FP Equity</stp>
        <stp>IS_SH_FOR_DILUTED_EPS</stp>
        <stp>FY 2017</stp>
        <stp>FY 2017</stp>
        <stp>[FA1_ididqeuc.xlsx]Income - Adjusted!R104C29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C104" s="2"/>
      </tp>
      <tp>
        <v>10.3452</v>
        <stp/>
        <stp>##V3_BDHV12</stp>
        <stp>RMS FP Equity</stp>
        <stp>IS_EARN_BEF_XO_ITEMS_PER_SH</stp>
        <stp>FY 2015</stp>
        <stp>FY 2015</stp>
        <stp>[FA1_ididqeuc.xlsx]Income - Adjusted!R99C27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A99" s="2"/>
      </tp>
      <tp>
        <v>2.8201999999999998</v>
        <stp/>
        <stp>##V3_BDHV12</stp>
        <stp>RMS FP Equity</stp>
        <stp>IS_EARN_BEF_XO_ITEMS_PER_SH</stp>
        <stp>FY 2005</stp>
        <stp>FY 2005</stp>
        <stp>[FA1_ididqeuc.xlsx]Income - Adjusted!R99C17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Q99" s="2"/>
      </tp>
      <tp>
        <v>21.498999999999999</v>
        <stp/>
        <stp>##V3_BDHV12</stp>
        <stp>RMS FP Equity</stp>
        <stp>EARN_FOR_COMMON</stp>
        <stp>FY 1991</stp>
        <stp>FY 1991</stp>
        <stp>[FA1_ididqeuc.xlsx]Income - Adjusted!R89C3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89" s="2"/>
      </tp>
      <tp t="s">
        <v>—</v>
        <stp/>
        <stp>##V3_BDHV12</stp>
        <stp>RMS FP Equity</stp>
        <stp>IS_OTHER_NON_OPERATING_INC_LOSS</stp>
        <stp>FY 1992</stp>
        <stp>FY 1992</stp>
        <stp>[FA1_ididqeuc.xlsx]Income - Adjusted!R48C4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48" s="2"/>
      </tp>
      <tp t="s">
        <v>—</v>
        <stp/>
        <stp>##V3_BDHV12</stp>
        <stp>RMS FP Equity</stp>
        <stp>IS_NET_INTEREST_EXPENSE</stp>
        <stp>FY 1991</stp>
        <stp>FY 1991</stp>
        <stp>[FA1_ididqeuc.xlsx]Income - Adjusted!R38C3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38" s="2"/>
      </tp>
      <tp>
        <v>109.90179999999999</v>
        <stp/>
        <stp>##V3_BDHV12</stp>
        <stp>RMS FP Equity</stp>
        <stp>IS_AVG_NUM_SH_FOR_EPS</stp>
        <stp>FY 2002</stp>
        <stp>FY 2002</stp>
        <stp>[FA1_ididqeuc.xlsx]Income - Adjusted!R95C14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N95" s="2"/>
      </tp>
      <tp>
        <v>104.0872</v>
        <stp/>
        <stp>##V3_BDHV12</stp>
        <stp>RMS FP Equity</stp>
        <stp>IS_AVG_NUM_SH_FOR_EPS</stp>
        <stp>FY 2012</stp>
        <stp>FY 2012</stp>
        <stp>[FA1_ididqeuc.xlsx]Income - Adjusted!R95C24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X95" s="2"/>
      </tp>
      <tp>
        <v>109.72799999999999</v>
        <stp/>
        <stp>##V3_BDHV12</stp>
        <stp>RMS FP Equity</stp>
        <stp>IS_SH_FOR_DILUTED_EPS</stp>
        <stp>FY 1995</stp>
        <stp>FY 1995</stp>
        <stp>[FA1_ididqeuc.xlsx]Income - Adjusted!R104C7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G104" s="2"/>
      </tp>
      <tp>
        <v>12.432</v>
        <stp/>
        <stp>##V3_BDHV12</stp>
        <stp>RMS FP Equity</stp>
        <stp>IS_IMPAIRMENT_GOODWILL_INTANGIBL</stp>
        <stp>FY 2015</stp>
        <stp>FY 2015</stp>
        <stp>[FA1_ididqeuc.xlsx]Income - Adjusted!R58C27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58" s="2"/>
      </tp>
      <tp>
        <v>20.193000000000001</v>
        <stp/>
        <stp>##V3_BDHV12</stp>
        <stp>RMS FP Equity</stp>
        <stp>IS_IMPAIRMENT_GOODWILL_INTANGIBL</stp>
        <stp>FY 2014</stp>
        <stp>FY 2014</stp>
        <stp>[FA1_ididqeuc.xlsx]Income - Adjusted!R58C26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58" s="2"/>
      </tp>
      <tp>
        <v>22.714099999999998</v>
        <stp/>
        <stp>##V3_BDHV12</stp>
        <stp>RMS FP Equity</stp>
        <stp>IS_IMPAIRMENT_GOODWILL_INTANGIBL</stp>
        <stp>FY 2013</stp>
        <stp>FY 2013</stp>
        <stp>[FA1_ididqeuc.xlsx]Income - Adjusted!R58C25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58" s="2"/>
      </tp>
      <tp>
        <v>32.146799999999999</v>
        <stp/>
        <stp>##V3_BDHV12</stp>
        <stp>RMS FP Equity</stp>
        <stp>IS_IMPAIRMENT_GOODWILL_INTANGIBL</stp>
        <stp>FY 2012</stp>
        <stp>FY 2012</stp>
        <stp>[FA1_ididqeuc.xlsx]Income - Adjusted!R58C24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58" s="2"/>
      </tp>
      <tp t="s">
        <v>—</v>
        <stp/>
        <stp>##V3_BDHV12</stp>
        <stp>RMS FP Equity</stp>
        <stp>IS_IMPAIRMENT_GOODWILL_INTANGIBL</stp>
        <stp>FY 2011</stp>
        <stp>FY 2011</stp>
        <stp>[FA1_ididqeuc.xlsx]Income - Adjusted!R58C23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58" s="2"/>
      </tp>
      <tp t="s">
        <v>—</v>
        <stp/>
        <stp>##V3_BDHV12</stp>
        <stp>RMS FP Equity</stp>
        <stp>IS_SH_PRO_EQY_MT_INV_NET_OF_TAX</stp>
        <stp>FY 2002</stp>
        <stp>FY 2002</stp>
        <stp>[FA1_ididqeuc.xlsx]Income - Adjusted!R71C14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71" s="2"/>
      </tp>
      <tp>
        <v>0.51429999999999998</v>
        <stp/>
        <stp>##V3_BDHV12</stp>
        <stp>RMS FP Equity</stp>
        <stp>IS_SH_PRO_EQY_MT_INV_NET_OF_TAX</stp>
        <stp>FY 2012</stp>
        <stp>FY 2012</stp>
        <stp>[FA1_ididqeuc.xlsx]Income - Adjusted!R71C24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71" s="2"/>
      </tp>
      <tp t="s">
        <v>—</v>
        <stp/>
        <stp>##V3_BDHV12</stp>
        <stp>RMS FP Equity</stp>
        <stp>IS_IMPAIRMENT_GOODWILL_INTANGIBL</stp>
        <stp>FY 2010</stp>
        <stp>FY 2010</stp>
        <stp>[FA1_ididqeuc.xlsx]Income - Adjusted!R58C22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58" s="2"/>
      </tp>
      <tp t="s">
        <v>—</v>
        <stp/>
        <stp>##V3_BDHV12</stp>
        <stp>RMS FP Equity</stp>
        <stp>IS_SELLING_EXPENSES</stp>
        <stp>FY 2005</stp>
        <stp>FY 2005</stp>
        <stp>[FA1_ididqeuc.xlsx]Income - Adjusted!R23C17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3" s="2"/>
      </tp>
      <tp>
        <v>238.20609999999999</v>
        <stp/>
        <stp>##V3_BDHV12</stp>
        <stp>RMS FP Equity</stp>
        <stp>IS_SELLING_EXPENSES</stp>
        <stp>FY 2015</stp>
        <stp>FY 2015</stp>
        <stp>[FA1_ididqeuc.xlsx]Income - Adjusted!R23C27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3" s="2"/>
      </tp>
      <tp t="s">
        <v>—</v>
        <stp/>
        <stp>##V3_BDHV12</stp>
        <stp>RMS FP Equity</stp>
        <stp>IS_IMPAIRMENT_GOODWILL_INTANGIBL</stp>
        <stp>FY 2009</stp>
        <stp>FY 2009</stp>
        <stp>[FA1_ididqeuc.xlsx]Income - Adjusted!R58C21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58" s="2"/>
      </tp>
      <tp>
        <v>44.715000000000003</v>
        <stp/>
        <stp>##V3_BDHV12</stp>
        <stp>RMS FP Equity</stp>
        <stp>IS_IMPAIRMENT_GOODWILL_INTANGIBL</stp>
        <stp>FY 2008</stp>
        <stp>FY 2008</stp>
        <stp>[FA1_ididqeuc.xlsx]Income - Adjusted!R58C20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58" s="2"/>
      </tp>
      <tp t="s">
        <v>—</v>
        <stp/>
        <stp>##V3_BDHV12</stp>
        <stp>RMS FP Equity</stp>
        <stp>INCOME_LOSS_FROM_AFFILIATES</stp>
        <stp>FY 2015</stp>
        <stp>FY 2015</stp>
        <stp>[FA1_ididqeuc.xlsx]Income - Adjusted!R46C27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46" s="2"/>
      </tp>
      <tp>
        <v>-0.24879999999999999</v>
        <stp/>
        <stp>##V3_BDHV12</stp>
        <stp>RMS FP Equity</stp>
        <stp>INCOME_LOSS_FROM_AFFILIATES</stp>
        <stp>FY 2005</stp>
        <stp>FY 2005</stp>
        <stp>[FA1_ididqeuc.xlsx]Income - Adjusted!R46C17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46" s="2"/>
      </tp>
      <tp t="s">
        <v>—</v>
        <stp/>
        <stp>##V3_BDHV12</stp>
        <stp>RMS FP Equity</stp>
        <stp>IS_IMPAIRMENT_GOODWILL_INTANGIBL</stp>
        <stp>FY 2017</stp>
        <stp>FY 2017</stp>
        <stp>[FA1_ididqeuc.xlsx]Income - Adjusted!R58C29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58" s="2"/>
      </tp>
      <tp t="s">
        <v>—</v>
        <stp/>
        <stp>##V3_BDHV12</stp>
        <stp>RMS FP Equity</stp>
        <stp>IS_IMPAIRMENT_GOODWILL_INTANGIBL</stp>
        <stp>FY 2016</stp>
        <stp>FY 2016</stp>
        <stp>[FA1_ididqeuc.xlsx]Income - Adjusted!R58C28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58" s="2"/>
      </tp>
      <tp t="s">
        <v>—</v>
        <stp/>
        <stp>##V3_BDHV12</stp>
        <stp>RMS FP Equity</stp>
        <stp>IS_NONOP_INCOME_LOSS</stp>
        <stp>FY 1994</stp>
        <stp>FY 1994</stp>
        <stp>[FA1_ididqeuc.xlsx]Income - Adjusted!R36C6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36" s="2"/>
      </tp>
      <tp>
        <v>1049.7645</v>
        <stp/>
        <stp>##V3_BDHV12</stp>
        <stp>RMS FP Equity</stp>
        <stp>EARN_FOR_COMMON</stp>
        <stp>FY 2013</stp>
        <stp>FY 2013</stp>
        <stp>[FA1_ididqeuc.xlsx]Income - Adjusted!R86C25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86" s="2"/>
      </tp>
      <tp>
        <v>245.5171</v>
        <stp/>
        <stp>##V3_BDHV12</stp>
        <stp>RMS FP Equity</stp>
        <stp>EARN_FOR_COMMON</stp>
        <stp>FY 2003</stp>
        <stp>FY 2003</stp>
        <stp>[FA1_ididqeuc.xlsx]Income - Adjusted!R86C15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86" s="2"/>
      </tp>
      <tp>
        <v>11.7158</v>
        <stp/>
        <stp>##V3_BDHV12</stp>
        <stp>RMS FP Equity</stp>
        <stp>IS_BASIC_EPS_CONT_OPS</stp>
        <stp>FY 2016</stp>
        <stp>FY 2016</stp>
        <stp>[FA1_ididqeuc.xlsx]Income - Adjusted!R101C28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B101" s="2"/>
      </tp>
      <tp>
        <v>3.1535000000000002</v>
        <stp/>
        <stp>##V3_BDHV12</stp>
        <stp>RMS FP Equity</stp>
        <stp>IS_BASIC_EPS_CONT_OPS</stp>
        <stp>FY 2006</stp>
        <stp>FY 2006</stp>
        <stp>[FA1_ididqeuc.xlsx]Income - Adjusted!R101C18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R101" s="2"/>
      </tp>
      <tp>
        <v>21.498999999999999</v>
        <stp/>
        <stp>##V3_BDHV12</stp>
        <stp>RMS FP Equity</stp>
        <stp>NET_INCOME</stp>
        <stp>FY 1991</stp>
        <stp>FY 1991</stp>
        <stp>[FA1_ididqeuc.xlsx]Income - Adjusted!R82C3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2" s="2"/>
      </tp>
      <tp t="s">
        <v>—</v>
        <stp/>
        <stp>##V3_BDHV12</stp>
        <stp>RMS FP Equity</stp>
        <stp>IS_PROVISION_DOUBTFUL_ACCOUNTS</stp>
        <stp>FY 1997</stp>
        <stp>FY 1997</stp>
        <stp>[FA1_ididqeuc.xlsx]Income - Adjusted!R30C9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30" s="2"/>
      </tp>
      <tp>
        <v>3956.0929000000001</v>
        <stp/>
        <stp>##V3_BDHV12</stp>
        <stp>RMS FP Equity</stp>
        <stp>SALES_REV_TURN</stp>
        <stp>FY 2011</stp>
        <stp>FY 2011</stp>
        <stp>[FA1_ididqeuc.xlsx]Income - Adjusted!R6C23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6" s="2"/>
      </tp>
      <tp>
        <v>1098.8493000000001</v>
        <stp/>
        <stp>##V3_BDHV12</stp>
        <stp>RMS FP Equity</stp>
        <stp>SALES_REV_TURN</stp>
        <stp>FY 2001</stp>
        <stp>FY 2001</stp>
        <stp>[FA1_ididqeuc.xlsx]Income - Adjusted!R6C13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6" s="2"/>
      </tp>
      <tp>
        <v>107.15479999999999</v>
        <stp/>
        <stp>##V3_BDHV12</stp>
        <stp>RMS FP Equity</stp>
        <stp>IS_SH_FOR_DILUTED_EPS</stp>
        <stp>FY 2006</stp>
        <stp>FY 2006</stp>
        <stp>[FA1_ididqeuc.xlsx]Income - Adjusted!R104C18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R104" s="2"/>
      </tp>
      <tp>
        <v>105.1193</v>
        <stp/>
        <stp>##V3_BDHV12</stp>
        <stp>RMS FP Equity</stp>
        <stp>IS_SH_FOR_DILUTED_EPS</stp>
        <stp>FY 2016</stp>
        <stp>FY 2016</stp>
        <stp>[FA1_ididqeuc.xlsx]Income - Adjusted!R104C28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B104" s="2"/>
      </tp>
      <tp t="s">
        <v>—</v>
        <stp/>
        <stp>##V3_BDHV12</stp>
        <stp>RMS FP Equity</stp>
        <stp>IS_IMPAIR_OF_INTANG_ASSETS</stp>
        <stp>FY 2006</stp>
        <stp>FY 2006</stp>
        <stp>[FA1_ididqeuc.xlsx]Income - Adjusted!R60C18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60" s="2"/>
      </tp>
      <tp t="s">
        <v>—</v>
        <stp/>
        <stp>##V3_BDHV12</stp>
        <stp>RMS FP Equity</stp>
        <stp>IS_IMPAIR_OF_INTANG_ASSETS</stp>
        <stp>FY 2007</stp>
        <stp>FY 2007</stp>
        <stp>[FA1_ididqeuc.xlsx]Income - Adjusted!R60C19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60" s="2"/>
      </tp>
      <tp t="s">
        <v>—</v>
        <stp/>
        <stp>##V3_BDHV12</stp>
        <stp>RMS FP Equity</stp>
        <stp>IS_IMPAIR_OF_INTANG_ASSETS</stp>
        <stp>FY 2002</stp>
        <stp>FY 2002</stp>
        <stp>[FA1_ididqeuc.xlsx]Income - Adjusted!R60C14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60" s="2"/>
      </tp>
      <tp t="s">
        <v>—</v>
        <stp/>
        <stp>##V3_BDHV12</stp>
        <stp>RMS FP Equity</stp>
        <stp>IS_IMPAIR_OF_INTANG_ASSETS</stp>
        <stp>FY 2003</stp>
        <stp>FY 2003</stp>
        <stp>[FA1_ididqeuc.xlsx]Income - Adjusted!R60C15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60" s="2"/>
      </tp>
      <tp t="s">
        <v>—</v>
        <stp/>
        <stp>##V3_BDHV12</stp>
        <stp>RMS FP Equity</stp>
        <stp>IS_IMPAIR_OF_INTANG_ASSETS</stp>
        <stp>FY 2004</stp>
        <stp>FY 2004</stp>
        <stp>[FA1_ididqeuc.xlsx]Income - Adjusted!R60C16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60" s="2"/>
      </tp>
      <tp t="s">
        <v>—</v>
        <stp/>
        <stp>##V3_BDHV12</stp>
        <stp>RMS FP Equity</stp>
        <stp>IS_IMPAIR_OF_INTANG_ASSETS</stp>
        <stp>FY 2005</stp>
        <stp>FY 2005</stp>
        <stp>[FA1_ididqeuc.xlsx]Income - Adjusted!R60C17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60" s="2"/>
      </tp>
      <tp>
        <v>10.9467</v>
        <stp/>
        <stp>##V3_BDHV12</stp>
        <stp>RMS FP Equity</stp>
        <stp>IS_EARN_BEF_XO_ITEMS_PER_SH</stp>
        <stp>FY 2014</stp>
        <stp>FY 2014</stp>
        <stp>[FA1_ididqeuc.xlsx]Income - Adjusted!R99C26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Z99" s="2"/>
      </tp>
      <tp>
        <v>2.4178999999999999</v>
        <stp/>
        <stp>##V3_BDHV12</stp>
        <stp>RMS FP Equity</stp>
        <stp>IS_EARN_BEF_XO_ITEMS_PER_SH</stp>
        <stp>FY 2004</stp>
        <stp>FY 2004</stp>
        <stp>[FA1_ididqeuc.xlsx]Income - Adjusted!R99C16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P99" s="2"/>
      </tp>
      <tp t="s">
        <v>—</v>
        <stp/>
        <stp>##V3_BDHV12</stp>
        <stp>RMS FP Equity</stp>
        <stp>IS_IMPAIR_OF_INTANG_ASSETS</stp>
        <stp>FY 1998</stp>
        <stp>FY 1998</stp>
        <stp>[FA1_ididqeuc.xlsx]Income - Adjusted!R60C10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60" s="2"/>
      </tp>
      <tp t="s">
        <v>—</v>
        <stp/>
        <stp>##V3_BDHV12</stp>
        <stp>RMS FP Equity</stp>
        <stp>IS_IMPAIR_OF_INTANG_ASSETS</stp>
        <stp>FY 1999</stp>
        <stp>FY 1999</stp>
        <stp>[FA1_ididqeuc.xlsx]Income - Adjusted!R60C11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60" s="2"/>
      </tp>
      <tp t="s">
        <v>—</v>
        <stp/>
        <stp>##V3_BDHV12</stp>
        <stp>RMS FP Equity</stp>
        <stp>IS_IMPAIR_OF_INTANG_ASSETS</stp>
        <stp>FY 2000</stp>
        <stp>FY 2000</stp>
        <stp>[FA1_ididqeuc.xlsx]Income - Adjusted!R60C12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60" s="2"/>
      </tp>
      <tp t="s">
        <v>—</v>
        <stp/>
        <stp>##V3_BDHV12</stp>
        <stp>RMS FP Equity</stp>
        <stp>IS_IMPAIR_OF_INTANG_ASSETS</stp>
        <stp>FY 2001</stp>
        <stp>FY 2001</stp>
        <stp>[FA1_ididqeuc.xlsx]Income - Adjusted!R60C13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60" s="2"/>
      </tp>
      <tp t="s">
        <v>—</v>
        <stp/>
        <stp>##V3_BDHV12</stp>
        <stp>RMS FP Equity</stp>
        <stp>IS_OTHER_NON_OPERATING_INC_LOSS</stp>
        <stp>FY 1993</stp>
        <stp>FY 1993</stp>
        <stp>[FA1_ididqeuc.xlsx]Income - Adjusted!R48C5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48" s="2"/>
      </tp>
      <tp>
        <v>109.899</v>
        <stp/>
        <stp>##V3_BDHV12</stp>
        <stp>RMS FP Equity</stp>
        <stp>IS_AVG_NUM_SH_FOR_EPS</stp>
        <stp>FY 2003</stp>
        <stp>FY 2003</stp>
        <stp>[FA1_ididqeuc.xlsx]Income - Adjusted!R95C15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O95" s="2"/>
      </tp>
      <tp>
        <v>104.1182</v>
        <stp/>
        <stp>##V3_BDHV12</stp>
        <stp>RMS FP Equity</stp>
        <stp>IS_AVG_NUM_SH_FOR_EPS</stp>
        <stp>FY 2013</stp>
        <stp>FY 2013</stp>
        <stp>[FA1_ididqeuc.xlsx]Income - Adjusted!R95C25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Y95" s="2"/>
      </tp>
      <tp>
        <v>109.548</v>
        <stp/>
        <stp>##V3_BDHV12</stp>
        <stp>RMS FP Equity</stp>
        <stp>IS_SH_FOR_DILUTED_EPS</stp>
        <stp>FY 1994</stp>
        <stp>FY 1994</stp>
        <stp>[FA1_ididqeuc.xlsx]Income - Adjusted!R104C6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F104" s="2"/>
      </tp>
      <tp t="s">
        <v>—</v>
        <stp/>
        <stp>##V3_BDHV12</stp>
        <stp>RMS FP Equity</stp>
        <stp>IS_SH_PRO_EQY_MT_INV_NET_OF_TAX</stp>
        <stp>FY 2003</stp>
        <stp>FY 2003</stp>
        <stp>[FA1_ididqeuc.xlsx]Income - Adjusted!R71C15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71" s="2"/>
      </tp>
      <tp>
        <v>-2.6566000000000001</v>
        <stp/>
        <stp>##V3_BDHV12</stp>
        <stp>RMS FP Equity</stp>
        <stp>IS_SH_PRO_EQY_MT_INV_NET_OF_TAX</stp>
        <stp>FY 2013</stp>
        <stp>FY 2013</stp>
        <stp>[FA1_ididqeuc.xlsx]Income - Adjusted!R71C25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71" s="2"/>
      </tp>
      <tp t="s">
        <v>—</v>
        <stp/>
        <stp>##V3_BDHV12</stp>
        <stp>RMS FP Equity</stp>
        <stp>IS_SELLING_EXPENSES</stp>
        <stp>FY 2004</stp>
        <stp>FY 2004</stp>
        <stp>[FA1_ididqeuc.xlsx]Income - Adjusted!R23C16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3" s="2"/>
      </tp>
      <tp>
        <v>275.52800000000002</v>
        <stp/>
        <stp>##V3_BDHV12</stp>
        <stp>RMS FP Equity</stp>
        <stp>IS_SELLING_EXPENSES</stp>
        <stp>FY 2014</stp>
        <stp>FY 2014</stp>
        <stp>[FA1_ididqeuc.xlsx]Income - Adjusted!R23C26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3" s="2"/>
      </tp>
      <tp t="s">
        <v>—</v>
        <stp/>
        <stp>##V3_BDHV12</stp>
        <stp>RMS FP Equity</stp>
        <stp>INCOME_LOSS_FROM_AFFILIATES</stp>
        <stp>FY 2014</stp>
        <stp>FY 2014</stp>
        <stp>[FA1_ididqeuc.xlsx]Income - Adjusted!R46C26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46" s="2"/>
      </tp>
      <tp>
        <v>26.128599999999999</v>
        <stp/>
        <stp>##V3_BDHV12</stp>
        <stp>RMS FP Equity</stp>
        <stp>INCOME_LOSS_FROM_AFFILIATES</stp>
        <stp>FY 2004</stp>
        <stp>FY 2004</stp>
        <stp>[FA1_ididqeuc.xlsx]Income - Adjusted!R46C16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46" s="2"/>
      </tp>
      <tp t="s">
        <v>—</v>
        <stp/>
        <stp>##V3_BDHV12</stp>
        <stp>RMS FP Equity</stp>
        <stp>IS_NONOP_INCOME_LOSS</stp>
        <stp>FY 1995</stp>
        <stp>FY 1995</stp>
        <stp>[FA1_ididqeuc.xlsx]Income - Adjusted!R36C7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36" s="2"/>
      </tp>
      <tp>
        <v>951.41600000000005</v>
        <stp/>
        <stp>##V3_BDHV12</stp>
        <stp>RMS FP Equity</stp>
        <stp>EARN_FOR_COMMON</stp>
        <stp>FY 2012</stp>
        <stp>FY 2012</stp>
        <stp>[FA1_ididqeuc.xlsx]Income - Adjusted!R86C24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86" s="2"/>
      </tp>
      <tp>
        <v>203.81440000000001</v>
        <stp/>
        <stp>##V3_BDHV12</stp>
        <stp>RMS FP Equity</stp>
        <stp>EARN_FOR_COMMON</stp>
        <stp>FY 2002</stp>
        <stp>FY 2002</stp>
        <stp>[FA1_ididqeuc.xlsx]Income - Adjusted!R86C14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86" s="2"/>
      </tp>
      <tp>
        <v>5.0465</v>
        <stp/>
        <stp>##V3_BDHV12</stp>
        <stp>RMS FP Equity</stp>
        <stp>IS_INT_EXPENSE</stp>
        <stp>FY 1996</stp>
        <stp>FY 1996</stp>
        <stp>[FA1_ididqeuc.xlsx]Income - Adjusted!R40C8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40" s="2"/>
      </tp>
      <tp>
        <v>2595.5315000000001</v>
        <stp/>
        <stp>##V3_BDHV12</stp>
        <stp>RMS FP Equity</stp>
        <stp>SALES_REV_TURN</stp>
        <stp>FY 2008</stp>
        <stp>FY 2008</stp>
        <stp>[FA1_ididqeuc.xlsx]Income - Adjusted!R6C20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6" s="2"/>
      </tp>
      <tp>
        <v>854.94299999999998</v>
        <stp/>
        <stp>##V3_BDHV12</stp>
        <stp>RMS FP Equity</stp>
        <stp>SALES_REV_TURN</stp>
        <stp>FY 1998</stp>
        <stp>FY 1998</stp>
        <stp>[FA1_ididqeuc.xlsx]Income - Adjusted!R6C10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2"/>
      </tp>
      <tp>
        <v>7.3051000000000004</v>
        <stp/>
        <stp>##V3_BDHV12</stp>
        <stp>RMS FP Equity</stp>
        <stp>IS_IMPAIR_OF_INTANG_ASSETS</stp>
        <stp>FY 2016</stp>
        <stp>FY 2016</stp>
        <stp>[FA1_ididqeuc.xlsx]Income - Adjusted!R60C28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60" s="2"/>
      </tp>
      <tp t="s">
        <v>—</v>
        <stp/>
        <stp>##V3_BDHV12</stp>
        <stp>RMS FP Equity</stp>
        <stp>IS_IMPAIR_OF_INTANG_ASSETS</stp>
        <stp>FY 2017</stp>
        <stp>FY 2017</stp>
        <stp>[FA1_ididqeuc.xlsx]Income - Adjusted!R60C29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60" s="2"/>
      </tp>
      <tp>
        <v>0.12859999999999999</v>
        <stp/>
        <stp>##V3_BDHV12</stp>
        <stp>RMS FP Equity</stp>
        <stp>IS_IMPAIR_OF_INTANG_ASSETS</stp>
        <stp>FY 2012</stp>
        <stp>FY 2012</stp>
        <stp>[FA1_ididqeuc.xlsx]Income - Adjusted!R60C24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60" s="2"/>
      </tp>
      <tp t="s">
        <v>—</v>
        <stp/>
        <stp>##V3_BDHV12</stp>
        <stp>RMS FP Equity</stp>
        <stp>IS_IMPAIR_OF_INTANG_ASSETS</stp>
        <stp>FY 2013</stp>
        <stp>FY 2013</stp>
        <stp>[FA1_ididqeuc.xlsx]Income - Adjusted!R60C25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60" s="2"/>
      </tp>
      <tp>
        <v>0.39850000000000002</v>
        <stp/>
        <stp>##V3_BDHV12</stp>
        <stp>RMS FP Equity</stp>
        <stp>IS_IMPAIR_OF_INTANG_ASSETS</stp>
        <stp>FY 2014</stp>
        <stp>FY 2014</stp>
        <stp>[FA1_ididqeuc.xlsx]Income - Adjusted!R60C26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60" s="2"/>
      </tp>
      <tp>
        <v>0.88800000000000001</v>
        <stp/>
        <stp>##V3_BDHV12</stp>
        <stp>RMS FP Equity</stp>
        <stp>IS_IMPAIR_OF_INTANG_ASSETS</stp>
        <stp>FY 2015</stp>
        <stp>FY 2015</stp>
        <stp>[FA1_ididqeuc.xlsx]Income - Adjusted!R60C27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60" s="2"/>
      </tp>
      <tp>
        <v>10.081899999999999</v>
        <stp/>
        <stp>##V3_BDHV12</stp>
        <stp>RMS FP Equity</stp>
        <stp>IS_EARN_BEF_XO_ITEMS_PER_SH</stp>
        <stp>FY 2013</stp>
        <stp>FY 2013</stp>
        <stp>[FA1_ididqeuc.xlsx]Income - Adjusted!R99C25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Y99" s="2"/>
      </tp>
      <tp>
        <v>2.2347000000000001</v>
        <stp/>
        <stp>##V3_BDHV12</stp>
        <stp>RMS FP Equity</stp>
        <stp>IS_EARN_BEF_XO_ITEMS_PER_SH</stp>
        <stp>FY 2003</stp>
        <stp>FY 2003</stp>
        <stp>[FA1_ididqeuc.xlsx]Income - Adjusted!R99C15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O99" s="2"/>
      </tp>
      <tp t="s">
        <v>—</v>
        <stp/>
        <stp>##V3_BDHV12</stp>
        <stp>RMS FP Equity</stp>
        <stp>IS_IMPAIR_OF_INTANG_ASSETS</stp>
        <stp>FY 2008</stp>
        <stp>FY 2008</stp>
        <stp>[FA1_ididqeuc.xlsx]Income - Adjusted!R60C20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60" s="2"/>
      </tp>
      <tp t="s">
        <v>—</v>
        <stp/>
        <stp>##V3_BDHV12</stp>
        <stp>RMS FP Equity</stp>
        <stp>IS_IMPAIR_OF_INTANG_ASSETS</stp>
        <stp>FY 2009</stp>
        <stp>FY 2009</stp>
        <stp>[FA1_ididqeuc.xlsx]Income - Adjusted!R60C21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60" s="2"/>
      </tp>
      <tp>
        <v>0.13270000000000001</v>
        <stp/>
        <stp>##V3_BDHV12</stp>
        <stp>RMS FP Equity</stp>
        <stp>IS_IMPAIR_OF_INTANG_ASSETS</stp>
        <stp>FY 2010</stp>
        <stp>FY 2010</stp>
        <stp>[FA1_ididqeuc.xlsx]Income - Adjusted!R60C22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60" s="2"/>
      </tp>
      <tp>
        <v>0.13919999999999999</v>
        <stp/>
        <stp>##V3_BDHV12</stp>
        <stp>RMS FP Equity</stp>
        <stp>IS_IMPAIR_OF_INTANG_ASSETS</stp>
        <stp>FY 2011</stp>
        <stp>FY 2011</stp>
        <stp>[FA1_ididqeuc.xlsx]Income - Adjusted!R60C23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60" s="2"/>
      </tp>
      <tp t="s">
        <v>—</v>
        <stp/>
        <stp>##V3_BDHV12</stp>
        <stp>RMS FP Equity</stp>
        <stp>IS_OTHER_NON_OPERATING_INC_LOSS</stp>
        <stp>FY 1994</stp>
        <stp>FY 1994</stp>
        <stp>[FA1_ididqeuc.xlsx]Income - Adjusted!R48C6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48" s="2"/>
      </tp>
      <tp>
        <v>109.9923</v>
        <stp/>
        <stp>##V3_BDHV12</stp>
        <stp>RMS FP Equity</stp>
        <stp>IS_AVG_NUM_SH_FOR_EPS</stp>
        <stp>FY 2004</stp>
        <stp>FY 2004</stp>
        <stp>[FA1_ididqeuc.xlsx]Income - Adjusted!R95C16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P95" s="2"/>
      </tp>
      <tp>
        <v>104.2677</v>
        <stp/>
        <stp>##V3_BDHV12</stp>
        <stp>RMS FP Equity</stp>
        <stp>IS_AVG_NUM_SH_FOR_EPS</stp>
        <stp>FY 2014</stp>
        <stp>FY 2014</stp>
        <stp>[FA1_ididqeuc.xlsx]Income - Adjusted!R95C26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Z95" s="2"/>
      </tp>
      <tp>
        <v>56.484000000000002</v>
        <stp/>
        <stp>##V3_BDHV12</stp>
        <stp>RMS FP Equity</stp>
        <stp>IS_SH_FOR_DILUTED_EPS</stp>
        <stp>FY 1993</stp>
        <stp>FY 1993</stp>
        <stp>[FA1_ididqeuc.xlsx]Income - Adjusted!R104C5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E104" s="2"/>
      </tp>
      <tp>
        <v>79.419399999999996</v>
        <stp/>
        <stp>##V3_BDHV12</stp>
        <stp>RMS FP Equity</stp>
        <stp>IS_OTHER_OPERATING_EXPENSES</stp>
        <stp>FY 2017</stp>
        <stp>FY 2017</stp>
        <stp>[FA1_ididqeuc.xlsx]Income - Adjusted!R32C29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32" s="2"/>
      </tp>
      <tp t="s">
        <v>—</v>
        <stp/>
        <stp>##V3_BDHV12</stp>
        <stp>RMS FP Equity</stp>
        <stp>IS_OTHER_OPERATING_EXPENSES</stp>
        <stp>FY 2007</stp>
        <stp>FY 2007</stp>
        <stp>[FA1_ididqeuc.xlsx]Income - Adjusted!R32C19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32" s="2"/>
      </tp>
      <tp t="s">
        <v>—</v>
        <stp/>
        <stp>##V3_BDHV12</stp>
        <stp>RMS FP Equity</stp>
        <stp>IS_SH_PRO_EQY_MT_INV_NET_OF_TAX</stp>
        <stp>FY 2004</stp>
        <stp>FY 2004</stp>
        <stp>[FA1_ididqeuc.xlsx]Income - Adjusted!R71C16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71" s="2"/>
      </tp>
      <tp>
        <v>-16.473199999999999</v>
        <stp/>
        <stp>##V3_BDHV12</stp>
        <stp>RMS FP Equity</stp>
        <stp>IS_SH_PRO_EQY_MT_INV_NET_OF_TAX</stp>
        <stp>FY 2014</stp>
        <stp>FY 2014</stp>
        <stp>[FA1_ididqeuc.xlsx]Income - Adjusted!R71C26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71" s="2"/>
      </tp>
      <tp t="s">
        <v>—</v>
        <stp/>
        <stp>##V3_BDHV12</stp>
        <stp>RMS FP Equity</stp>
        <stp>IS_SELLING_EXPENSES</stp>
        <stp>FY 2003</stp>
        <stp>FY 2003</stp>
        <stp>[FA1_ididqeuc.xlsx]Income - Adjusted!R23C15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3" s="2"/>
      </tp>
      <tp>
        <v>280.5394</v>
        <stp/>
        <stp>##V3_BDHV12</stp>
        <stp>RMS FP Equity</stp>
        <stp>IS_SELLING_EXPENSES</stp>
        <stp>FY 2013</stp>
        <stp>FY 2013</stp>
        <stp>[FA1_ididqeuc.xlsx]Income - Adjusted!R23C25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3" s="2"/>
      </tp>
      <tp t="s">
        <v>—</v>
        <stp/>
        <stp>##V3_BDHV12</stp>
        <stp>RMS FP Equity</stp>
        <stp>INCOME_LOSS_FROM_AFFILIATES</stp>
        <stp>FY 2013</stp>
        <stp>FY 2013</stp>
        <stp>[FA1_ididqeuc.xlsx]Income - Adjusted!R46C25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46" s="2"/>
      </tp>
      <tp t="s">
        <v>—</v>
        <stp/>
        <stp>##V3_BDHV12</stp>
        <stp>RMS FP Equity</stp>
        <stp>INCOME_LOSS_FROM_AFFILIATES</stp>
        <stp>FY 2003</stp>
        <stp>FY 2003</stp>
        <stp>[FA1_ididqeuc.xlsx]Income - Adjusted!R46C15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46" s="2"/>
      </tp>
      <tp t="s">
        <v>—</v>
        <stp/>
        <stp>##V3_BDHV12</stp>
        <stp>RMS FP Equity</stp>
        <stp>IS_NONOP_INCOME_LOSS</stp>
        <stp>FY 1992</stp>
        <stp>FY 1992</stp>
        <stp>[FA1_ididqeuc.xlsx]Income - Adjusted!R36C4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36" s="2"/>
      </tp>
      <tp>
        <v>1079.5866000000001</v>
        <stp/>
        <stp>##V3_BDHV12</stp>
        <stp>RMS FP Equity</stp>
        <stp>EARN_FOR_COMMON</stp>
        <stp>FY 2015</stp>
        <stp>FY 2015</stp>
        <stp>[FA1_ididqeuc.xlsx]Income - Adjusted!R86C27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86" s="2"/>
      </tp>
      <tp>
        <v>307.32170000000002</v>
        <stp/>
        <stp>##V3_BDHV12</stp>
        <stp>RMS FP Equity</stp>
        <stp>EARN_FOR_COMMON</stp>
        <stp>FY 2005</stp>
        <stp>FY 2005</stp>
        <stp>[FA1_ididqeuc.xlsx]Income - Adjusted!R86C17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86" s="2"/>
      </tp>
      <tp>
        <v>7.8071999999999999</v>
        <stp/>
        <stp>##V3_BDHV12</stp>
        <stp>RMS FP Equity</stp>
        <stp>IS_INT_EXPENSE</stp>
        <stp>FY 1997</stp>
        <stp>FY 1997</stp>
        <stp>[FA1_ididqeuc.xlsx]Income - Adjusted!R40C9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40" s="2"/>
      </tp>
      <tp>
        <v>2669.3701999999998</v>
        <stp/>
        <stp>##V3_BDHV12</stp>
        <stp>RMS FP Equity</stp>
        <stp>SALES_REV_TURN</stp>
        <stp>FY 2009</stp>
        <stp>FY 2009</stp>
        <stp>[FA1_ididqeuc.xlsx]Income - Adjusted!R6C21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6" s="2"/>
      </tp>
      <tp>
        <v>988.38229999999999</v>
        <stp/>
        <stp>##V3_BDHV12</stp>
        <stp>RMS FP Equity</stp>
        <stp>SALES_REV_TURN</stp>
        <stp>FY 1999</stp>
        <stp>FY 1999</stp>
        <stp>[FA1_ididqeuc.xlsx]Income - Adjusted!R6C11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2"/>
      </tp>
      <tp>
        <v>9.1425000000000001</v>
        <stp/>
        <stp>##V3_BDHV12</stp>
        <stp>RMS FP Equity</stp>
        <stp>IS_EARN_BEF_XO_ITEMS_PER_SH</stp>
        <stp>FY 2012</stp>
        <stp>FY 2012</stp>
        <stp>[FA1_ididqeuc.xlsx]Income - Adjusted!R99C24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X99" s="2"/>
      </tp>
      <tp>
        <v>1.8536999999999999</v>
        <stp/>
        <stp>##V3_BDHV12</stp>
        <stp>RMS FP Equity</stp>
        <stp>IS_EARN_BEF_XO_ITEMS_PER_SH</stp>
        <stp>FY 2002</stp>
        <stp>FY 2002</stp>
        <stp>[FA1_ididqeuc.xlsx]Income - Adjusted!R99C14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N99" s="2"/>
      </tp>
      <tp t="s">
        <v>—</v>
        <stp/>
        <stp>##V3_BDHV12</stp>
        <stp>RMS FP Equity</stp>
        <stp>IS_OTHER_NON_OPERATING_INC_LOSS</stp>
        <stp>FY 1995</stp>
        <stp>FY 1995</stp>
        <stp>[FA1_ididqeuc.xlsx]Income - Adjusted!R48C7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48" s="2"/>
      </tp>
      <tp>
        <v>108.9675</v>
        <stp/>
        <stp>##V3_BDHV12</stp>
        <stp>RMS FP Equity</stp>
        <stp>IS_AVG_NUM_SH_FOR_EPS</stp>
        <stp>FY 2005</stp>
        <stp>FY 2005</stp>
        <stp>[FA1_ididqeuc.xlsx]Income - Adjusted!R95C17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Q95" s="2"/>
      </tp>
      <tp>
        <v>104.3959</v>
        <stp/>
        <stp>##V3_BDHV12</stp>
        <stp>RMS FP Equity</stp>
        <stp>IS_AVG_NUM_SH_FOR_EPS</stp>
        <stp>FY 2015</stp>
        <stp>FY 2015</stp>
        <stp>[FA1_ididqeuc.xlsx]Income - Adjusted!R95C27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A95" s="2"/>
      </tp>
      <tp>
        <v>3.51</v>
        <stp/>
        <stp>##V3_BDHV12</stp>
        <stp>RMS FP Equity</stp>
        <stp>IS_SH_FOR_DILUTED_EPS</stp>
        <stp>FY 1992</stp>
        <stp>FY 1992</stp>
        <stp>[FA1_ididqeuc.xlsx]Income - Adjusted!R104C4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D104" s="2"/>
      </tp>
      <tp t="s">
        <v>—</v>
        <stp/>
        <stp>##V3_BDHV12</stp>
        <stp>RMS FP Equity</stp>
        <stp>IS_BASIC_EPS_CONT_OPS</stp>
        <stp>FY 1991</stp>
        <stp>FY 1991</stp>
        <stp>[FA1_ididqeuc.xlsx]Income - Adjusted!R101C3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C101" s="2"/>
      </tp>
      <tp t="s">
        <v>—</v>
        <stp/>
        <stp>##V3_BDHV12</stp>
        <stp>RMS FP Equity</stp>
        <stp>IS_IMPAIRMENT_GOODWILL_INTANGIBL</stp>
        <stp>FY 2005</stp>
        <stp>FY 2005</stp>
        <stp>[FA1_ididqeuc.xlsx]Income - Adjusted!R58C17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58" s="2"/>
      </tp>
      <tp t="s">
        <v>—</v>
        <stp/>
        <stp>##V3_BDHV12</stp>
        <stp>RMS FP Equity</stp>
        <stp>IS_IMPAIRMENT_GOODWILL_INTANGIBL</stp>
        <stp>FY 2004</stp>
        <stp>FY 2004</stp>
        <stp>[FA1_ididqeuc.xlsx]Income - Adjusted!R58C16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58" s="2"/>
      </tp>
      <tp t="s">
        <v>—</v>
        <stp/>
        <stp>##V3_BDHV12</stp>
        <stp>RMS FP Equity</stp>
        <stp>IS_IMPAIRMENT_GOODWILL_INTANGIBL</stp>
        <stp>FY 2003</stp>
        <stp>FY 2003</stp>
        <stp>[FA1_ididqeuc.xlsx]Income - Adjusted!R58C15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58" s="2"/>
      </tp>
      <tp t="s">
        <v>—</v>
        <stp/>
        <stp>##V3_BDHV12</stp>
        <stp>RMS FP Equity</stp>
        <stp>IS_IMPAIRMENT_GOODWILL_INTANGIBL</stp>
        <stp>FY 2002</stp>
        <stp>FY 2002</stp>
        <stp>[FA1_ididqeuc.xlsx]Income - Adjusted!R58C14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58" s="2"/>
      </tp>
      <tp>
        <v>86.332599999999999</v>
        <stp/>
        <stp>##V3_BDHV12</stp>
        <stp>RMS FP Equity</stp>
        <stp>IS_OTHER_OPERATING_EXPENSES</stp>
        <stp>FY 2016</stp>
        <stp>FY 2016</stp>
        <stp>[FA1_ididqeuc.xlsx]Income - Adjusted!R32C28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32" s="2"/>
      </tp>
      <tp t="s">
        <v>—</v>
        <stp/>
        <stp>##V3_BDHV12</stp>
        <stp>RMS FP Equity</stp>
        <stp>IS_OTHER_OPERATING_EXPENSES</stp>
        <stp>FY 2006</stp>
        <stp>FY 2006</stp>
        <stp>[FA1_ididqeuc.xlsx]Income - Adjusted!R32C18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32" s="2"/>
      </tp>
      <tp t="s">
        <v>—</v>
        <stp/>
        <stp>##V3_BDHV12</stp>
        <stp>RMS FP Equity</stp>
        <stp>IS_IMPAIRMENT_GOODWILL_INTANGIBL</stp>
        <stp>FY 2001</stp>
        <stp>FY 2001</stp>
        <stp>[FA1_ididqeuc.xlsx]Income - Adjusted!R58C13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58" s="2"/>
      </tp>
      <tp t="s">
        <v>—</v>
        <stp/>
        <stp>##V3_BDHV12</stp>
        <stp>RMS FP Equity</stp>
        <stp>IS_SH_PRO_EQY_MT_INV_NET_OF_TAX</stp>
        <stp>FY 2005</stp>
        <stp>FY 2005</stp>
        <stp>[FA1_ididqeuc.xlsx]Income - Adjusted!R71C17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71" s="2"/>
      </tp>
      <tp>
        <v>-19.646999999999998</v>
        <stp/>
        <stp>##V3_BDHV12</stp>
        <stp>RMS FP Equity</stp>
        <stp>IS_SH_PRO_EQY_MT_INV_NET_OF_TAX</stp>
        <stp>FY 2015</stp>
        <stp>FY 2015</stp>
        <stp>[FA1_ididqeuc.xlsx]Income - Adjusted!R71C27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71" s="2"/>
      </tp>
      <tp t="s">
        <v>—</v>
        <stp/>
        <stp>##V3_BDHV12</stp>
        <stp>RMS FP Equity</stp>
        <stp>IS_IMPAIRMENT_GOODWILL_INTANGIBL</stp>
        <stp>FY 2000</stp>
        <stp>FY 2000</stp>
        <stp>[FA1_ididqeuc.xlsx]Income - Adjusted!R58C12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58" s="2"/>
      </tp>
      <tp t="s">
        <v>—</v>
        <stp/>
        <stp>##V3_BDHV12</stp>
        <stp>RMS FP Equity</stp>
        <stp>IS_SELLING_EXPENSES</stp>
        <stp>FY 2002</stp>
        <stp>FY 2002</stp>
        <stp>[FA1_ididqeuc.xlsx]Income - Adjusted!R23C14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3" s="2"/>
      </tp>
      <tp>
        <v>233.9</v>
        <stp/>
        <stp>##V3_BDHV12</stp>
        <stp>RMS FP Equity</stp>
        <stp>IS_SELLING_EXPENSES</stp>
        <stp>FY 2012</stp>
        <stp>FY 2012</stp>
        <stp>[FA1_ididqeuc.xlsx]Income - Adjusted!R23C24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3" s="2"/>
      </tp>
      <tp t="s">
        <v>—</v>
        <stp/>
        <stp>##V3_BDHV12</stp>
        <stp>RMS FP Equity</stp>
        <stp>IS_IMPAIRMENT_GOODWILL_INTANGIBL</stp>
        <stp>FY 1999</stp>
        <stp>FY 1999</stp>
        <stp>[FA1_ididqeuc.xlsx]Income - Adjusted!R58C11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58" s="2"/>
      </tp>
      <tp t="s">
        <v>—</v>
        <stp/>
        <stp>##V3_BDHV12</stp>
        <stp>RMS FP Equity</stp>
        <stp>IS_IMPAIRMENT_GOODWILL_INTANGIBL</stp>
        <stp>FY 1998</stp>
        <stp>FY 1998</stp>
        <stp>[FA1_ididqeuc.xlsx]Income - Adjusted!R58C10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58" s="2"/>
      </tp>
      <tp t="s">
        <v>—</v>
        <stp/>
        <stp>##V3_BDHV12</stp>
        <stp>RMS FP Equity</stp>
        <stp>INCOME_LOSS_FROM_AFFILIATES</stp>
        <stp>FY 2012</stp>
        <stp>FY 2012</stp>
        <stp>[FA1_ididqeuc.xlsx]Income - Adjusted!R46C24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46" s="2"/>
      </tp>
      <tp t="s">
        <v>—</v>
        <stp/>
        <stp>##V3_BDHV12</stp>
        <stp>RMS FP Equity</stp>
        <stp>INCOME_LOSS_FROM_AFFILIATES</stp>
        <stp>FY 2002</stp>
        <stp>FY 2002</stp>
        <stp>[FA1_ididqeuc.xlsx]Income - Adjusted!R46C14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46" s="2"/>
      </tp>
      <tp t="s">
        <v>—</v>
        <stp/>
        <stp>##V3_BDHV12</stp>
        <stp>RMS FP Equity</stp>
        <stp>IS_IMPAIRMENT_GOODWILL_INTANGIBL</stp>
        <stp>FY 2007</stp>
        <stp>FY 2007</stp>
        <stp>[FA1_ididqeuc.xlsx]Income - Adjusted!R58C19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58" s="2"/>
      </tp>
      <tp t="s">
        <v>—</v>
        <stp/>
        <stp>##V3_BDHV12</stp>
        <stp>RMS FP Equity</stp>
        <stp>IS_IMPAIRMENT_GOODWILL_INTANGIBL</stp>
        <stp>FY 2006</stp>
        <stp>FY 2006</stp>
        <stp>[FA1_ididqeuc.xlsx]Income - Adjusted!R58C18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58" s="2"/>
      </tp>
      <tp t="s">
        <v>—</v>
        <stp/>
        <stp>##V3_BDHV12</stp>
        <stp>RMS FP Equity</stp>
        <stp>IS_NONOP_INCOME_LOSS</stp>
        <stp>FY 1993</stp>
        <stp>FY 1993</stp>
        <stp>[FA1_ididqeuc.xlsx]Income - Adjusted!R36C5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36" s="2"/>
      </tp>
      <tp>
        <v>1140.9036000000001</v>
        <stp/>
        <stp>##V3_BDHV12</stp>
        <stp>RMS FP Equity</stp>
        <stp>EARN_FOR_COMMON</stp>
        <stp>FY 2014</stp>
        <stp>FY 2014</stp>
        <stp>[FA1_ididqeuc.xlsx]Income - Adjusted!R86C26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86" s="2"/>
      </tp>
      <tp>
        <v>266.13799999999998</v>
        <stp/>
        <stp>##V3_BDHV12</stp>
        <stp>RMS FP Equity</stp>
        <stp>EARN_FOR_COMMON</stp>
        <stp>FY 2004</stp>
        <stp>FY 2004</stp>
        <stp>[FA1_ididqeuc.xlsx]Income - Adjusted!R86C16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86" s="2"/>
      </tp>
      <tp>
        <v>4.6604999999999999</v>
        <stp/>
        <stp>##V3_BDHV12</stp>
        <stp>RMS FP Equity</stp>
        <stp>IS_INT_EXPENSE</stp>
        <stp>FY 1994</stp>
        <stp>FY 1994</stp>
        <stp>[FA1_ididqeuc.xlsx]Income - Adjusted!R40C6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40" s="2"/>
      </tp>
      <tp>
        <v>10.325900000000001</v>
        <stp/>
        <stp>##V3_BDHV12</stp>
        <stp>RMS FP Equity</stp>
        <stp>IS_BASIC_EPS_CONT_OPS</stp>
        <stp>FY 2013</stp>
        <stp>FY 2013</stp>
        <stp>[FA1_ididqeuc.xlsx]Income - Adjusted!R101C25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Y101" s="2"/>
      </tp>
      <tp>
        <v>2.2347000000000001</v>
        <stp/>
        <stp>##V3_BDHV12</stp>
        <stp>RMS FP Equity</stp>
        <stp>IS_BASIC_EPS_CONT_OPS</stp>
        <stp>FY 2003</stp>
        <stp>FY 2003</stp>
        <stp>[FA1_ididqeuc.xlsx]Income - Adjusted!R101C15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O101" s="2"/>
      </tp>
      <tp t="s">
        <v>—</v>
        <stp/>
        <stp>##V3_BDHV12</stp>
        <stp>RMS FP Equity</stp>
        <stp>IS_PROVISION_DOUBTFUL_ACCOUNTS</stp>
        <stp>FY 1992</stp>
        <stp>FY 1992</stp>
        <stp>[FA1_ididqeuc.xlsx]Income - Adjusted!R30C4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30" s="2"/>
      </tp>
      <tp>
        <v>110.697</v>
        <stp/>
        <stp>##V3_BDHV12</stp>
        <stp>RMS FP Equity</stp>
        <stp>IS_SH_FOR_DILUTED_EPS</stp>
        <stp>FY 2003</stp>
        <stp>FY 2003</stp>
        <stp>[FA1_ididqeuc.xlsx]Income - Adjusted!R104C15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O104" s="2"/>
      </tp>
      <tp>
        <v>104.85760000000001</v>
        <stp/>
        <stp>##V3_BDHV12</stp>
        <stp>RMS FP Equity</stp>
        <stp>IS_SH_FOR_DILUTED_EPS</stp>
        <stp>FY 2013</stp>
        <stp>FY 2013</stp>
        <stp>[FA1_ididqeuc.xlsx]Income - Adjusted!R104C25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Y104" s="2"/>
      </tp>
      <tp>
        <v>0.55700000000000005</v>
        <stp/>
        <stp>##V3_BDHV12</stp>
        <stp>RMS FP Equity</stp>
        <stp>IS_INT_EXPENSE</stp>
        <stp>FY 2011</stp>
        <stp>FY 2011</stp>
        <stp>[FA1_ididqeuc.xlsx]Income - Adjusted!R40C23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40" s="2"/>
      </tp>
      <tp>
        <v>6.7172000000000001</v>
        <stp/>
        <stp>##V3_BDHV12</stp>
        <stp>RMS FP Equity</stp>
        <stp>IS_INT_EXPENSE</stp>
        <stp>FY 2001</stp>
        <stp>FY 2001</stp>
        <stp>[FA1_ididqeuc.xlsx]Income - Adjusted!R40C13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40" s="2"/>
      </tp>
      <tp t="s">
        <v>—</v>
        <stp/>
        <stp>##V3_BDHV12</stp>
        <stp>RMS FP Equity</stp>
        <stp>IS_D&amp;A_COST_OF_REVENUE</stp>
        <stp>FY 1998</stp>
        <stp>FY 1998</stp>
        <stp>[FA1_ididqeuc.xlsx]Income - Adjusted!R14C10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4" s="2"/>
      </tp>
      <tp t="s">
        <v>—</v>
        <stp/>
        <stp>##V3_BDHV12</stp>
        <stp>RMS FP Equity</stp>
        <stp>IS_D&amp;A_COST_OF_REVENUE</stp>
        <stp>FY 2008</stp>
        <stp>FY 2008</stp>
        <stp>[FA1_ididqeuc.xlsx]Income - Adjusted!R14C20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4" s="2"/>
      </tp>
      <tp t="s">
        <v>—</v>
        <stp/>
        <stp>##V3_BDHV12</stp>
        <stp>RMS FP Equity</stp>
        <stp>IS_OTHER_NON_OPERATING_INC_LOSS</stp>
        <stp>FY 1996</stp>
        <stp>FY 1996</stp>
        <stp>[FA1_ididqeuc.xlsx]Income - Adjusted!R48C8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48" s="2"/>
      </tp>
      <tp>
        <v>107.0318</v>
        <stp/>
        <stp>##V3_BDHV12</stp>
        <stp>RMS FP Equity</stp>
        <stp>IS_AVG_NUM_SH_FOR_EPS</stp>
        <stp>FY 2006</stp>
        <stp>FY 2006</stp>
        <stp>[FA1_ididqeuc.xlsx]Income - Adjusted!R95C18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R95" s="2"/>
      </tp>
      <tp>
        <v>104.5189</v>
        <stp/>
        <stp>##V3_BDHV12</stp>
        <stp>RMS FP Equity</stp>
        <stp>IS_AVG_NUM_SH_FOR_EPS</stp>
        <stp>FY 2016</stp>
        <stp>FY 2016</stp>
        <stp>[FA1_ididqeuc.xlsx]Income - Adjusted!R95C28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B95" s="2"/>
      </tp>
      <tp>
        <v>51.948</v>
        <stp/>
        <stp>##V3_BDHV12</stp>
        <stp>RMS FP Equity</stp>
        <stp>IS_OTHER_OPERATING_EXPENSES</stp>
        <stp>FY 2015</stp>
        <stp>FY 2015</stp>
        <stp>[FA1_ididqeuc.xlsx]Income - Adjusted!R32C27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32" s="2"/>
      </tp>
      <tp t="s">
        <v>—</v>
        <stp/>
        <stp>##V3_BDHV12</stp>
        <stp>RMS FP Equity</stp>
        <stp>IS_OTHER_OPERATING_EXPENSES</stp>
        <stp>FY 2005</stp>
        <stp>FY 2005</stp>
        <stp>[FA1_ididqeuc.xlsx]Income - Adjusted!R32C17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32" s="2"/>
      </tp>
      <tp t="s">
        <v>—</v>
        <stp/>
        <stp>##V3_BDHV12</stp>
        <stp>RMS FP Equity</stp>
        <stp>IS_SH_PRO_EQY_MT_INV_NET_OF_TAX</stp>
        <stp>FY 2006</stp>
        <stp>FY 2006</stp>
        <stp>[FA1_ididqeuc.xlsx]Income - Adjusted!R71C18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71" s="2"/>
      </tp>
      <tp>
        <v>-12.064399999999999</v>
        <stp/>
        <stp>##V3_BDHV12</stp>
        <stp>RMS FP Equity</stp>
        <stp>IS_SH_PRO_EQY_MT_INV_NET_OF_TAX</stp>
        <stp>FY 2016</stp>
        <stp>FY 2016</stp>
        <stp>[FA1_ididqeuc.xlsx]Income - Adjusted!R71C28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71" s="2"/>
      </tp>
      <tp>
        <v>1379.9546</v>
        <stp/>
        <stp>##V3_BDHV12</stp>
        <stp>RMS FP Equity</stp>
        <stp>EARN_FOR_COMMON</stp>
        <stp>FY 2017</stp>
        <stp>FY 2017</stp>
        <stp>[FA1_ididqeuc.xlsx]Income - Adjusted!R86C29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86" s="2"/>
      </tp>
      <tp>
        <v>394.78989999999999</v>
        <stp/>
        <stp>##V3_BDHV12</stp>
        <stp>RMS FP Equity</stp>
        <stp>EARN_FOR_COMMON</stp>
        <stp>FY 2007</stp>
        <stp>FY 2007</stp>
        <stp>[FA1_ididqeuc.xlsx]Income - Adjusted!R86C19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86" s="2"/>
      </tp>
      <tp>
        <v>5.7198000000000002</v>
        <stp/>
        <stp>##V3_BDHV12</stp>
        <stp>RMS FP Equity</stp>
        <stp>IS_INT_EXPENSE</stp>
        <stp>FY 1995</stp>
        <stp>FY 1995</stp>
        <stp>[FA1_ididqeuc.xlsx]Income - Adjusted!R40C7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40" s="2"/>
      </tp>
      <tp>
        <v>9.2243999999999993</v>
        <stp/>
        <stp>##V3_BDHV12</stp>
        <stp>RMS FP Equity</stp>
        <stp>IS_BASIC_EPS_CONT_OPS</stp>
        <stp>FY 2012</stp>
        <stp>FY 2012</stp>
        <stp>[FA1_ididqeuc.xlsx]Income - Adjusted!R101C24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X101" s="2"/>
      </tp>
      <tp>
        <v>1.8536999999999999</v>
        <stp/>
        <stp>##V3_BDHV12</stp>
        <stp>RMS FP Equity</stp>
        <stp>IS_BASIC_EPS_CONT_OPS</stp>
        <stp>FY 2002</stp>
        <stp>FY 2002</stp>
        <stp>[FA1_ididqeuc.xlsx]Income - Adjusted!R101C14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N101" s="2"/>
      </tp>
      <tp t="s">
        <v>—</v>
        <stp/>
        <stp>##V3_BDHV12</stp>
        <stp>RMS FP Equity</stp>
        <stp>IS_PROVISION_DOUBTFUL_ACCOUNTS</stp>
        <stp>FY 1993</stp>
        <stp>FY 1993</stp>
        <stp>[FA1_ididqeuc.xlsx]Income - Adjusted!R30C5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30" s="2"/>
      </tp>
      <tp>
        <v>110.7021</v>
        <stp/>
        <stp>##V3_BDHV12</stp>
        <stp>RMS FP Equity</stp>
        <stp>IS_SH_FOR_DILUTED_EPS</stp>
        <stp>FY 2002</stp>
        <stp>FY 2002</stp>
        <stp>[FA1_ididqeuc.xlsx]Income - Adjusted!R104C14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N104" s="2"/>
      </tp>
      <tp>
        <v>104.68429999999999</v>
        <stp/>
        <stp>##V3_BDHV12</stp>
        <stp>RMS FP Equity</stp>
        <stp>IS_SH_FOR_DILUTED_EPS</stp>
        <stp>FY 2012</stp>
        <stp>FY 2012</stp>
        <stp>[FA1_ididqeuc.xlsx]Income - Adjusted!R104C24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X104" s="2"/>
      </tp>
      <tp>
        <v>0.39800000000000002</v>
        <stp/>
        <stp>##V3_BDHV12</stp>
        <stp>RMS FP Equity</stp>
        <stp>IS_INT_EXPENSE</stp>
        <stp>FY 2010</stp>
        <stp>FY 2010</stp>
        <stp>[FA1_ididqeuc.xlsx]Income - Adjusted!R40C22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40" s="2"/>
      </tp>
      <tp>
        <v>5.7580999999999998</v>
        <stp/>
        <stp>##V3_BDHV12</stp>
        <stp>RMS FP Equity</stp>
        <stp>IS_INT_EXPENSE</stp>
        <stp>FY 2000</stp>
        <stp>FY 2000</stp>
        <stp>[FA1_ididqeuc.xlsx]Income - Adjusted!R40C12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40" s="2"/>
      </tp>
      <tp t="s">
        <v>—</v>
        <stp/>
        <stp>##V3_BDHV12</stp>
        <stp>RMS FP Equity</stp>
        <stp>IS_D&amp;A_COST_OF_REVENUE</stp>
        <stp>FY 1999</stp>
        <stp>FY 1999</stp>
        <stp>[FA1_ididqeuc.xlsx]Income - Adjusted!R14C11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4" s="2"/>
      </tp>
      <tp>
        <v>15.338799999999999</v>
        <stp/>
        <stp>##V3_BDHV12</stp>
        <stp>RMS FP Equity</stp>
        <stp>IS_D&amp;A_COST_OF_REVENUE</stp>
        <stp>FY 2009</stp>
        <stp>FY 2009</stp>
        <stp>[FA1_ididqeuc.xlsx]Income - Adjusted!R14C21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4" s="2"/>
      </tp>
      <tp t="s">
        <v>—</v>
        <stp/>
        <stp>##V3_BDHV12</stp>
        <stp>RMS FP Equity</stp>
        <stp>IS_OTHER_NON_OPERATING_INC_LOSS</stp>
        <stp>FY 1997</stp>
        <stp>FY 1997</stp>
        <stp>[FA1_ididqeuc.xlsx]Income - Adjusted!R48C9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48" s="2"/>
      </tp>
      <tp t="s">
        <v>—</v>
        <stp/>
        <stp>##V3_BDHV12</stp>
        <stp>RMS FP Equity</stp>
        <stp>IS_ABNORMAL_ITEM</stp>
        <stp>FY 2003</stp>
        <stp>FY 2003</stp>
        <stp>[FA1_ididqeuc.xlsx]Income - Adjusted!R52C15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52" s="2"/>
      </tp>
      <tp t="s">
        <v>—</v>
        <stp/>
        <stp>##V3_BDHV12</stp>
        <stp>RMS FP Equity</stp>
        <stp>IS_ABNORMAL_ITEM</stp>
        <stp>FY 2002</stp>
        <stp>FY 2002</stp>
        <stp>[FA1_ididqeuc.xlsx]Income - Adjusted!R52C14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52" s="2"/>
      </tp>
      <tp t="s">
        <v>—</v>
        <stp/>
        <stp>##V3_BDHV12</stp>
        <stp>RMS FP Equity</stp>
        <stp>IS_ABNORMAL_ITEM</stp>
        <stp>FY 2005</stp>
        <stp>FY 2005</stp>
        <stp>[FA1_ididqeuc.xlsx]Income - Adjusted!R52C17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52" s="2"/>
      </tp>
      <tp t="s">
        <v>—</v>
        <stp/>
        <stp>##V3_BDHV12</stp>
        <stp>RMS FP Equity</stp>
        <stp>IS_ABNORMAL_ITEM</stp>
        <stp>FY 2004</stp>
        <stp>FY 2004</stp>
        <stp>[FA1_ididqeuc.xlsx]Income - Adjusted!R52C16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52" s="2"/>
      </tp>
      <tp t="s">
        <v>—</v>
        <stp/>
        <stp>##V3_BDHV12</stp>
        <stp>RMS FP Equity</stp>
        <stp>IS_ABNORMAL_ITEM</stp>
        <stp>FY 1999</stp>
        <stp>FY 1999</stp>
        <stp>[FA1_ididqeuc.xlsx]Income - Adjusted!R52C11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52" s="2"/>
      </tp>
      <tp t="s">
        <v>—</v>
        <stp/>
        <stp>##V3_BDHV12</stp>
        <stp>RMS FP Equity</stp>
        <stp>IS_ABNORMAL_ITEM</stp>
        <stp>FY 1998</stp>
        <stp>FY 1998</stp>
        <stp>[FA1_ididqeuc.xlsx]Income - Adjusted!R52C10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52" s="2"/>
      </tp>
      <tp t="s">
        <v>—</v>
        <stp/>
        <stp>##V3_BDHV12</stp>
        <stp>RMS FP Equity</stp>
        <stp>IS_ABNORMAL_ITEM</stp>
        <stp>FY 2001</stp>
        <stp>FY 2001</stp>
        <stp>[FA1_ididqeuc.xlsx]Income - Adjusted!R52C13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52" s="2"/>
      </tp>
      <tp t="s">
        <v>—</v>
        <stp/>
        <stp>##V3_BDHV12</stp>
        <stp>RMS FP Equity</stp>
        <stp>IS_ABNORMAL_ITEM</stp>
        <stp>FY 2000</stp>
        <stp>FY 2000</stp>
        <stp>[FA1_ididqeuc.xlsx]Income - Adjusted!R52C12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52" s="2"/>
      </tp>
      <tp>
        <v>106.14400000000001</v>
        <stp/>
        <stp>##V3_BDHV12</stp>
        <stp>RMS FP Equity</stp>
        <stp>IS_AVG_NUM_SH_FOR_EPS</stp>
        <stp>FY 2007</stp>
        <stp>FY 2007</stp>
        <stp>[FA1_ididqeuc.xlsx]Income - Adjusted!R95C19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S95" s="2"/>
      </tp>
      <tp>
        <v>104.4358</v>
        <stp/>
        <stp>##V3_BDHV12</stp>
        <stp>RMS FP Equity</stp>
        <stp>IS_AVG_NUM_SH_FOR_EPS</stp>
        <stp>FY 2017</stp>
        <stp>FY 2017</stp>
        <stp>[FA1_ididqeuc.xlsx]Income - Adjusted!R95C29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C95" s="2"/>
      </tp>
      <tp>
        <v>0</v>
        <stp/>
        <stp>##V3_BDHV12</stp>
        <stp>RMS FP Equity</stp>
        <stp>IS_ABNORMAL_ITEM</stp>
        <stp>FY 2007</stp>
        <stp>FY 2007</stp>
        <stp>[FA1_ididqeuc.xlsx]Income - Adjusted!R52C19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52" s="2"/>
      </tp>
      <tp t="s">
        <v>—</v>
        <stp/>
        <stp>##V3_BDHV12</stp>
        <stp>RMS FP Equity</stp>
        <stp>IS_ABNORMAL_ITEM</stp>
        <stp>FY 2006</stp>
        <stp>FY 2006</stp>
        <stp>[FA1_ididqeuc.xlsx]Income - Adjusted!R52C18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52" s="2"/>
      </tp>
      <tp>
        <v>10.6279</v>
        <stp/>
        <stp>##V3_BDHV12</stp>
        <stp>RMS FP Equity</stp>
        <stp>IS_OTHER_OPERATING_EXPENSES</stp>
        <stp>FY 2014</stp>
        <stp>FY 2014</stp>
        <stp>[FA1_ididqeuc.xlsx]Income - Adjusted!R32C26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32" s="2"/>
      </tp>
      <tp t="s">
        <v>—</v>
        <stp/>
        <stp>##V3_BDHV12</stp>
        <stp>RMS FP Equity</stp>
        <stp>IS_OTHER_OPERATING_EXPENSES</stp>
        <stp>FY 2004</stp>
        <stp>FY 2004</stp>
        <stp>[FA1_ididqeuc.xlsx]Income - Adjusted!R32C16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32" s="2"/>
      </tp>
      <tp t="s">
        <v>—</v>
        <stp/>
        <stp>##V3_BDHV12</stp>
        <stp>RMS FP Equity</stp>
        <stp>IS_SH_PRO_EQY_MT_INV_NET_OF_TAX</stp>
        <stp>FY 2007</stp>
        <stp>FY 2007</stp>
        <stp>[FA1_ididqeuc.xlsx]Income - Adjusted!R71C19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71" s="2"/>
      </tp>
      <tp>
        <v>-5.9874999999999998</v>
        <stp/>
        <stp>##V3_BDHV12</stp>
        <stp>RMS FP Equity</stp>
        <stp>IS_SH_PRO_EQY_MT_INV_NET_OF_TAX</stp>
        <stp>FY 2017</stp>
        <stp>FY 2017</stp>
        <stp>[FA1_ididqeuc.xlsx]Income - Adjusted!R71C29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71" s="2"/>
      </tp>
      <tp>
        <v>1217.8435999999999</v>
        <stp/>
        <stp>##V3_BDHV12</stp>
        <stp>RMS FP Equity</stp>
        <stp>EARN_FOR_COMMON</stp>
        <stp>FY 2016</stp>
        <stp>FY 2016</stp>
        <stp>[FA1_ididqeuc.xlsx]Income - Adjusted!R86C28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86" s="2"/>
      </tp>
      <tp>
        <v>337.21460000000002</v>
        <stp/>
        <stp>##V3_BDHV12</stp>
        <stp>RMS FP Equity</stp>
        <stp>EARN_FOR_COMMON</stp>
        <stp>FY 2006</stp>
        <stp>FY 2006</stp>
        <stp>[FA1_ididqeuc.xlsx]Income - Adjusted!R86C18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86" s="2"/>
      </tp>
      <tp>
        <v>11.209199999999999</v>
        <stp/>
        <stp>##V3_BDHV12</stp>
        <stp>RMS FP Equity</stp>
        <stp>IS_INT_EXPENSE</stp>
        <stp>FY 1992</stp>
        <stp>FY 1992</stp>
        <stp>[FA1_ididqeuc.xlsx]Income - Adjusted!R40C4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40" s="2"/>
      </tp>
      <tp>
        <v>10.5381</v>
        <stp/>
        <stp>##V3_BDHV12</stp>
        <stp>RMS FP Equity</stp>
        <stp>IS_BASIC_EPS_CONT_OPS</stp>
        <stp>FY 2015</stp>
        <stp>FY 2015</stp>
        <stp>[FA1_ididqeuc.xlsx]Income - Adjusted!R101C27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A101" s="2"/>
      </tp>
      <tp>
        <v>2.8201999999999998</v>
        <stp/>
        <stp>##V3_BDHV12</stp>
        <stp>RMS FP Equity</stp>
        <stp>IS_BASIC_EPS_CONT_OPS</stp>
        <stp>FY 2005</stp>
        <stp>FY 2005</stp>
        <stp>[FA1_ididqeuc.xlsx]Income - Adjusted!R101C17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Q101" s="2"/>
      </tp>
      <tp t="s">
        <v>—</v>
        <stp/>
        <stp>##V3_BDHV12</stp>
        <stp>RMS FP Equity</stp>
        <stp>IS_PROVISION_DOUBTFUL_ACCOUNTS</stp>
        <stp>FY 1994</stp>
        <stp>FY 1994</stp>
        <stp>[FA1_ididqeuc.xlsx]Income - Adjusted!R30C6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30" s="2"/>
      </tp>
      <tp>
        <v>109.09650000000001</v>
        <stp/>
        <stp>##V3_BDHV12</stp>
        <stp>RMS FP Equity</stp>
        <stp>IS_SH_FOR_DILUTED_EPS</stp>
        <stp>FY 2005</stp>
        <stp>FY 2005</stp>
        <stp>[FA1_ididqeuc.xlsx]Income - Adjusted!R104C17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Q104" s="2"/>
      </tp>
      <tp>
        <v>105.08880000000001</v>
        <stp/>
        <stp>##V3_BDHV12</stp>
        <stp>RMS FP Equity</stp>
        <stp>IS_SH_FOR_DILUTED_EPS</stp>
        <stp>FY 2015</stp>
        <stp>FY 2015</stp>
        <stp>[FA1_ididqeuc.xlsx]Income - Adjusted!R104C27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A104" s="2"/>
      </tp>
      <tp>
        <v>13.217700000000001</v>
        <stp/>
        <stp>##V3_BDHV12</stp>
        <stp>RMS FP Equity</stp>
        <stp>IS_EARN_BEF_XO_ITEMS_PER_SH</stp>
        <stp>FY 2017</stp>
        <stp>FY 2017</stp>
        <stp>[FA1_ididqeuc.xlsx]Income - Adjusted!R99C29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C99" s="2"/>
      </tp>
      <tp>
        <v>3.7149000000000001</v>
        <stp/>
        <stp>##V3_BDHV12</stp>
        <stp>RMS FP Equity</stp>
        <stp>IS_EARN_BEF_XO_ITEMS_PER_SH</stp>
        <stp>FY 2007</stp>
        <stp>FY 2007</stp>
        <stp>[FA1_ididqeuc.xlsx]Income - Adjusted!R99C19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S99" s="2"/>
      </tp>
      <tp>
        <v>0</v>
        <stp/>
        <stp>##V3_BDHV12</stp>
        <stp>RMS FP Equity</stp>
        <stp>IS_INT_EXPENSE</stp>
        <stp>FY 2009</stp>
        <stp>FY 2009</stp>
        <stp>[FA1_ididqeuc.xlsx]Income - Adjusted!R40C21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40" s="2"/>
      </tp>
      <tp>
        <v>5.4268999999999998</v>
        <stp/>
        <stp>##V3_BDHV12</stp>
        <stp>RMS FP Equity</stp>
        <stp>IS_INT_EXPENSE</stp>
        <stp>FY 1999</stp>
        <stp>FY 1999</stp>
        <stp>[FA1_ididqeuc.xlsx]Income - Adjusted!R40C11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40" s="2"/>
      </tp>
      <tp t="s">
        <v>—</v>
        <stp/>
        <stp>##V3_BDHV12</stp>
        <stp>RMS FP Equity</stp>
        <stp>IS_D&amp;A_COST_OF_REVENUE</stp>
        <stp>FY 2000</stp>
        <stp>FY 2000</stp>
        <stp>[FA1_ididqeuc.xlsx]Income - Adjusted!R14C12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4" s="2"/>
      </tp>
      <tp>
        <v>16.715299999999999</v>
        <stp/>
        <stp>##V3_BDHV12</stp>
        <stp>RMS FP Equity</stp>
        <stp>IS_D&amp;A_COST_OF_REVENUE</stp>
        <stp>FY 2010</stp>
        <stp>FY 2010</stp>
        <stp>[FA1_ididqeuc.xlsx]Income - Adjusted!R14C22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4" s="2"/>
      </tp>
      <tp>
        <v>26.964700000000001</v>
        <stp/>
        <stp>##V3_BDHV12</stp>
        <stp>RMS FP Equity</stp>
        <stp>IS_ABNORMAL_ITEM</stp>
        <stp>FY 2013</stp>
        <stp>FY 2013</stp>
        <stp>[FA1_ididqeuc.xlsx]Income - Adjusted!R52C25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52" s="2"/>
      </tp>
      <tp>
        <v>-4.5004999999999997</v>
        <stp/>
        <stp>##V3_BDHV12</stp>
        <stp>RMS FP Equity</stp>
        <stp>IS_ABNORMAL_ITEM</stp>
        <stp>FY 2012</stp>
        <stp>FY 2012</stp>
        <stp>[FA1_ididqeuc.xlsx]Income - Adjusted!R52C24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52" s="2"/>
      </tp>
      <tp>
        <v>25.53</v>
        <stp/>
        <stp>##V3_BDHV12</stp>
        <stp>RMS FP Equity</stp>
        <stp>IS_ABNORMAL_ITEM</stp>
        <stp>FY 2015</stp>
        <stp>FY 2015</stp>
        <stp>[FA1_ididqeuc.xlsx]Income - Adjusted!R52C27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52" s="2"/>
      </tp>
      <tp>
        <v>32.680799999999998</v>
        <stp/>
        <stp>##V3_BDHV12</stp>
        <stp>RMS FP Equity</stp>
        <stp>IS_ABNORMAL_ITEM</stp>
        <stp>FY 2014</stp>
        <stp>FY 2014</stp>
        <stp>[FA1_ididqeuc.xlsx]Income - Adjusted!R52C26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52" s="2"/>
      </tp>
      <tp>
        <v>3.9043999999999999</v>
        <stp/>
        <stp>##V3_BDHV12</stp>
        <stp>RMS FP Equity</stp>
        <stp>IS_ABNORMAL_ITEM</stp>
        <stp>FY 2009</stp>
        <stp>FY 2009</stp>
        <stp>[FA1_ididqeuc.xlsx]Income - Adjusted!R52C21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52" s="2"/>
      </tp>
      <tp>
        <v>44.715000000000003</v>
        <stp/>
        <stp>##V3_BDHV12</stp>
        <stp>RMS FP Equity</stp>
        <stp>IS_ABNORMAL_ITEM</stp>
        <stp>FY 2008</stp>
        <stp>FY 2008</stp>
        <stp>[FA1_ididqeuc.xlsx]Income - Adjusted!R52C20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52" s="2"/>
      </tp>
      <tp>
        <v>2.9239999999999999</v>
        <stp/>
        <stp>##V3_BDHV12</stp>
        <stp>RMS FP Equity</stp>
        <stp>IS_ABNORMAL_ITEM</stp>
        <stp>FY 2011</stp>
        <stp>FY 2011</stp>
        <stp>[FA1_ididqeuc.xlsx]Income - Adjusted!R52C23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52" s="2"/>
      </tp>
      <tp>
        <v>5.0411000000000001</v>
        <stp/>
        <stp>##V3_BDHV12</stp>
        <stp>RMS FP Equity</stp>
        <stp>IS_ABNORMAL_ITEM</stp>
        <stp>FY 2010</stp>
        <stp>FY 2010</stp>
        <stp>[FA1_ididqeuc.xlsx]Income - Adjusted!R52C22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52" s="2"/>
      </tp>
      <tp>
        <v>47.335299999999997</v>
        <stp/>
        <stp>##V3_BDHV12</stp>
        <stp>RMS FP Equity</stp>
        <stp>IS_ABNORMAL_ITEM</stp>
        <stp>FY 2017</stp>
        <stp>FY 2017</stp>
        <stp>[FA1_ididqeuc.xlsx]Income - Adjusted!R52C29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52" s="2"/>
      </tp>
      <tp>
        <v>110.208</v>
        <stp/>
        <stp>##V3_BDHV12</stp>
        <stp>RMS FP Equity</stp>
        <stp>IS_SH_FOR_DILUTED_EPS</stp>
        <stp>FY 1997</stp>
        <stp>FY 1997</stp>
        <stp>[FA1_ididqeuc.xlsx]Income - Adjusted!R104C9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I104" s="2"/>
      </tp>
      <tp>
        <v>10.1828</v>
        <stp/>
        <stp>##V3_BDHV12</stp>
        <stp>RMS FP Equity</stp>
        <stp>IS_ABNORMAL_ITEM</stp>
        <stp>FY 2016</stp>
        <stp>FY 2016</stp>
        <stp>[FA1_ididqeuc.xlsx]Income - Adjusted!R52C28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52" s="2"/>
      </tp>
      <tp>
        <v>17.666499999999999</v>
        <stp/>
        <stp>##V3_BDHV12</stp>
        <stp>RMS FP Equity</stp>
        <stp>IS_OTHER_OPERATING_EXPENSES</stp>
        <stp>FY 2013</stp>
        <stp>FY 2013</stp>
        <stp>[FA1_ididqeuc.xlsx]Income - Adjusted!R32C25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32" s="2"/>
      </tp>
      <tp t="s">
        <v>—</v>
        <stp/>
        <stp>##V3_BDHV12</stp>
        <stp>RMS FP Equity</stp>
        <stp>IS_OTHER_OPERATING_EXPENSES</stp>
        <stp>FY 2003</stp>
        <stp>FY 2003</stp>
        <stp>[FA1_ididqeuc.xlsx]Income - Adjusted!R32C15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32" s="2"/>
      </tp>
      <tp t="s">
        <v>—</v>
        <stp/>
        <stp>##V3_BDHV12</stp>
        <stp>RMS FP Equity</stp>
        <stp>IS_SELLING_EXPENSES</stp>
        <stp>FY 2007</stp>
        <stp>FY 2007</stp>
        <stp>[FA1_ididqeuc.xlsx]Income - Adjusted!R23C19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3" s="2"/>
      </tp>
      <tp>
        <v>311.23820000000001</v>
        <stp/>
        <stp>##V3_BDHV12</stp>
        <stp>RMS FP Equity</stp>
        <stp>IS_SELLING_EXPENSES</stp>
        <stp>FY 2017</stp>
        <stp>FY 2017</stp>
        <stp>[FA1_ididqeuc.xlsx]Income - Adjusted!R23C29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3" s="2"/>
      </tp>
      <tp t="s">
        <v>—</v>
        <stp/>
        <stp>##V3_BDHV12</stp>
        <stp>RMS FP Equity</stp>
        <stp>INCOME_LOSS_FROM_AFFILIATES</stp>
        <stp>FY 2017</stp>
        <stp>FY 2017</stp>
        <stp>[FA1_ididqeuc.xlsx]Income - Adjusted!R46C29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46" s="2"/>
      </tp>
      <tp>
        <v>-2.1932999999999998</v>
        <stp/>
        <stp>##V3_BDHV12</stp>
        <stp>RMS FP Equity</stp>
        <stp>INCOME_LOSS_FROM_AFFILIATES</stp>
        <stp>FY 2007</stp>
        <stp>FY 2007</stp>
        <stp>[FA1_ididqeuc.xlsx]Income - Adjusted!R46C19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46" s="2"/>
      </tp>
      <tp t="s">
        <v>—</v>
        <stp/>
        <stp>##V3_BDHV12</stp>
        <stp>RMS FP Equity</stp>
        <stp>IS_NONOP_INCOME_LOSS</stp>
        <stp>FY 1996</stp>
        <stp>FY 1996</stp>
        <stp>[FA1_ididqeuc.xlsx]Income - Adjusted!R36C8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36" s="2"/>
      </tp>
      <tp>
        <v>5.8131000000000004</v>
        <stp/>
        <stp>##V3_BDHV12</stp>
        <stp>RMS FP Equity</stp>
        <stp>IS_INT_EXPENSE</stp>
        <stp>FY 1993</stp>
        <stp>FY 1993</stp>
        <stp>[FA1_ididqeuc.xlsx]Income - Adjusted!R40C5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40" s="2"/>
      </tp>
      <tp>
        <v>11.21</v>
        <stp/>
        <stp>##V3_BDHV12</stp>
        <stp>RMS FP Equity</stp>
        <stp>IS_BASIC_EPS_CONT_OPS</stp>
        <stp>FY 2014</stp>
        <stp>FY 2014</stp>
        <stp>[FA1_ididqeuc.xlsx]Income - Adjusted!R101C26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Z101" s="2"/>
      </tp>
      <tp>
        <v>2.4178999999999999</v>
        <stp/>
        <stp>##V3_BDHV12</stp>
        <stp>RMS FP Equity</stp>
        <stp>IS_BASIC_EPS_CONT_OPS</stp>
        <stp>FY 2004</stp>
        <stp>FY 2004</stp>
        <stp>[FA1_ididqeuc.xlsx]Income - Adjusted!R101C16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P101" s="2"/>
      </tp>
      <tp t="s">
        <v>—</v>
        <stp/>
        <stp>##V3_BDHV12</stp>
        <stp>RMS FP Equity</stp>
        <stp>IS_PROVISION_DOUBTFUL_ACCOUNTS</stp>
        <stp>FY 1995</stp>
        <stp>FY 1995</stp>
        <stp>[FA1_ididqeuc.xlsx]Income - Adjusted!R30C7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30" s="2"/>
      </tp>
      <tp>
        <v>110.1593</v>
        <stp/>
        <stp>##V3_BDHV12</stp>
        <stp>RMS FP Equity</stp>
        <stp>IS_SH_FOR_DILUTED_EPS</stp>
        <stp>FY 2004</stp>
        <stp>FY 2004</stp>
        <stp>[FA1_ididqeuc.xlsx]Income - Adjusted!R104C16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P104" s="2"/>
      </tp>
      <tp>
        <v>104.8233</v>
        <stp/>
        <stp>##V3_BDHV12</stp>
        <stp>RMS FP Equity</stp>
        <stp>IS_SH_FOR_DILUTED_EPS</stp>
        <stp>FY 2014</stp>
        <stp>FY 2014</stp>
        <stp>[FA1_ididqeuc.xlsx]Income - Adjusted!R104C26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Z104" s="2"/>
      </tp>
      <tp>
        <v>11.6549</v>
        <stp/>
        <stp>##V3_BDHV12</stp>
        <stp>RMS FP Equity</stp>
        <stp>IS_EARN_BEF_XO_ITEMS_PER_SH</stp>
        <stp>FY 2016</stp>
        <stp>FY 2016</stp>
        <stp>[FA1_ididqeuc.xlsx]Income - Adjusted!R99C28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AB99" s="2"/>
      </tp>
      <tp>
        <v>3.1535000000000002</v>
        <stp/>
        <stp>##V3_BDHV12</stp>
        <stp>RMS FP Equity</stp>
        <stp>IS_EARN_BEF_XO_ITEMS_PER_SH</stp>
        <stp>FY 2006</stp>
        <stp>FY 2006</stp>
        <stp>[FA1_ididqeuc.xlsx]Income - Adjusted!R99C18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R99" s="2"/>
      </tp>
      <tp>
        <v>0</v>
        <stp/>
        <stp>##V3_BDHV12</stp>
        <stp>RMS FP Equity</stp>
        <stp>IS_INT_EXPENSE</stp>
        <stp>FY 2008</stp>
        <stp>FY 2008</stp>
        <stp>[FA1_ididqeuc.xlsx]Income - Adjusted!R40C20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40" s="2"/>
      </tp>
      <tp>
        <v>7.7783999999999995</v>
        <stp/>
        <stp>##V3_BDHV12</stp>
        <stp>RMS FP Equity</stp>
        <stp>IS_INT_EXPENSE</stp>
        <stp>FY 1998</stp>
        <stp>FY 1998</stp>
        <stp>[FA1_ididqeuc.xlsx]Income - Adjusted!R40C10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40" s="2"/>
      </tp>
      <tp t="s">
        <v>—</v>
        <stp/>
        <stp>##V3_BDHV12</stp>
        <stp>RMS FP Equity</stp>
        <stp>IS_D&amp;A_COST_OF_REVENUE</stp>
        <stp>FY 2001</stp>
        <stp>FY 2001</stp>
        <stp>[FA1_ididqeuc.xlsx]Income - Adjusted!R14C13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4" s="2"/>
      </tp>
      <tp>
        <v>20.189800000000002</v>
        <stp/>
        <stp>##V3_BDHV12</stp>
        <stp>RMS FP Equity</stp>
        <stp>IS_D&amp;A_COST_OF_REVENUE</stp>
        <stp>FY 2011</stp>
        <stp>FY 2011</stp>
        <stp>[FA1_ididqeuc.xlsx]Income - Adjusted!R14C23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4" s="2"/>
      </tp>
      <tp>
        <v>109.962</v>
        <stp/>
        <stp>##V3_BDHV12</stp>
        <stp>RMS FP Equity</stp>
        <stp>IS_SH_FOR_DILUTED_EPS</stp>
        <stp>FY 1996</stp>
        <stp>FY 1996</stp>
        <stp>[FA1_ididqeuc.xlsx]Income - Adjusted!R104C8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H104" s="2"/>
      </tp>
      <tp>
        <v>12.987299999999999</v>
        <stp/>
        <stp>##V3_BDHV12</stp>
        <stp>RMS FP Equity</stp>
        <stp>IS_OTHER_OPERATING_EXPENSES</stp>
        <stp>FY 2012</stp>
        <stp>FY 2012</stp>
        <stp>[FA1_ididqeuc.xlsx]Income - Adjusted!R32C24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32" s="2"/>
      </tp>
      <tp t="s">
        <v>—</v>
        <stp/>
        <stp>##V3_BDHV12</stp>
        <stp>RMS FP Equity</stp>
        <stp>IS_OTHER_OPERATING_EXPENSES</stp>
        <stp>FY 2002</stp>
        <stp>FY 2002</stp>
        <stp>[FA1_ididqeuc.xlsx]Income - Adjusted!R32C14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32" s="2"/>
      </tp>
      <tp t="s">
        <v>—</v>
        <stp/>
        <stp>##V3_BDHV12</stp>
        <stp>RMS FP Equity</stp>
        <stp>IS_SELLING_EXPENSES</stp>
        <stp>FY 2006</stp>
        <stp>FY 2006</stp>
        <stp>[FA1_ididqeuc.xlsx]Income - Adjusted!R23C18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3" s="2"/>
      </tp>
      <tp>
        <v>268.18459999999999</v>
        <stp/>
        <stp>##V3_BDHV12</stp>
        <stp>RMS FP Equity</stp>
        <stp>IS_SELLING_EXPENSES</stp>
        <stp>FY 2016</stp>
        <stp>FY 2016</stp>
        <stp>[FA1_ididqeuc.xlsx]Income - Adjusted!R23C28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3" s="2"/>
      </tp>
      <tp t="s">
        <v>—</v>
        <stp/>
        <stp>##V3_BDHV12</stp>
        <stp>RMS FP Equity</stp>
        <stp>INCOME_LOSS_FROM_AFFILIATES</stp>
        <stp>FY 2016</stp>
        <stp>FY 2016</stp>
        <stp>[FA1_ididqeuc.xlsx]Income - Adjusted!R46C28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46" s="2"/>
      </tp>
      <tp>
        <v>7.4127000000000001</v>
        <stp/>
        <stp>##V3_BDHV12</stp>
        <stp>RMS FP Equity</stp>
        <stp>INCOME_LOSS_FROM_AFFILIATES</stp>
        <stp>FY 2006</stp>
        <stp>FY 2006</stp>
        <stp>[FA1_ididqeuc.xlsx]Income - Adjusted!R46C18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46" s="2"/>
      </tp>
      <tp t="s">
        <v>—</v>
        <stp/>
        <stp>##V3_BDHV12</stp>
        <stp>RMS FP Equity</stp>
        <stp>IS_NONOP_INCOME_LOSS</stp>
        <stp>FY 1997</stp>
        <stp>FY 1997</stp>
        <stp>[FA1_ididqeuc.xlsx]Income - Adjusted!R36C9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36" s="2"/>
      </tp>
      <tp>
        <v>3.855</v>
        <stp/>
        <stp>##V3_BDHV12</stp>
        <stp>RMS FP Equity</stp>
        <stp>IS_BASIC_EPS_CONT_OPS</stp>
        <stp>FY 2009</stp>
        <stp>FY 2009</stp>
        <stp>[FA1_ididqeuc.xlsx]Income - Adjusted!R101C21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U101" s="2"/>
      </tp>
      <tp t="s">
        <v>—</v>
        <stp/>
        <stp>##V3_BDHV12</stp>
        <stp>RMS FP Equity</stp>
        <stp>IS_BASIC_EPS_CONT_OPS</stp>
        <stp>FY 1999</stp>
        <stp>FY 1999</stp>
        <stp>[FA1_ididqeuc.xlsx]Income - Adjusted!R101C11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K101" s="2"/>
      </tp>
      <tp>
        <v>110.44199999999999</v>
        <stp/>
        <stp>##V3_BDHV12</stp>
        <stp>RMS FP Equity</stp>
        <stp>IS_SH_FOR_DILUTED_EPS</stp>
        <stp>FY 1999</stp>
        <stp>FY 1999</stp>
        <stp>[FA1_ididqeuc.xlsx]Income - Adjusted!R104C11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K104" s="2"/>
      </tp>
      <tp>
        <v>105.21120000000001</v>
        <stp/>
        <stp>##V3_BDHV12</stp>
        <stp>RMS FP Equity</stp>
        <stp>IS_SH_FOR_DILUTED_EPS</stp>
        <stp>FY 2009</stp>
        <stp>FY 2009</stp>
        <stp>[FA1_ididqeuc.xlsx]Income - Adjusted!R104C21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U104" s="2"/>
      </tp>
      <tp>
        <v>0</v>
        <stp/>
        <stp>##V3_BDHV12</stp>
        <stp>RMS FP Equity</stp>
        <stp>XO_GL_NET_OF_TAX</stp>
        <stp>FY 2012</stp>
        <stp>FY 2012</stp>
        <stp>[FA1_ididqeuc.xlsx]Income - Adjusted!R93C24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93" s="2"/>
      </tp>
      <tp>
        <v>0</v>
        <stp/>
        <stp>##V3_BDHV12</stp>
        <stp>RMS FP Equity</stp>
        <stp>XO_GL_NET_OF_TAX</stp>
        <stp>FY 2013</stp>
        <stp>FY 2013</stp>
        <stp>[FA1_ididqeuc.xlsx]Income - Adjusted!R93C25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93" s="2"/>
      </tp>
      <tp>
        <v>0</v>
        <stp/>
        <stp>##V3_BDHV12</stp>
        <stp>RMS FP Equity</stp>
        <stp>XO_GL_NET_OF_TAX</stp>
        <stp>FY 2016</stp>
        <stp>FY 2016</stp>
        <stp>[FA1_ididqeuc.xlsx]Income - Adjusted!R75C28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75" s="2"/>
      </tp>
      <tp>
        <v>0</v>
        <stp/>
        <stp>##V3_BDHV12</stp>
        <stp>RMS FP Equity</stp>
        <stp>XO_GL_NET_OF_TAX</stp>
        <stp>FY 2014</stp>
        <stp>FY 2014</stp>
        <stp>[FA1_ididqeuc.xlsx]Income - Adjusted!R93C26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93" s="2"/>
      </tp>
      <tp>
        <v>0</v>
        <stp/>
        <stp>##V3_BDHV12</stp>
        <stp>RMS FP Equity</stp>
        <stp>XO_GL_NET_OF_TAX</stp>
        <stp>FY 2017</stp>
        <stp>FY 2017</stp>
        <stp>[FA1_ididqeuc.xlsx]Income - Adjusted!R75C29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75" s="2"/>
      </tp>
      <tp>
        <v>0</v>
        <stp/>
        <stp>##V3_BDHV12</stp>
        <stp>RMS FP Equity</stp>
        <stp>XO_GL_NET_OF_TAX</stp>
        <stp>FY 2015</stp>
        <stp>FY 2015</stp>
        <stp>[FA1_ididqeuc.xlsx]Income - Adjusted!R93C27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93" s="2"/>
      </tp>
      <tp>
        <v>0.77700000000000002</v>
        <stp/>
        <stp>##V3_BDHV12</stp>
        <stp>RMS FP Equity</stp>
        <stp>IS_INT_EXPENSE</stp>
        <stp>FY 2015</stp>
        <stp>FY 2015</stp>
        <stp>[FA1_ididqeuc.xlsx]Income - Adjusted!R40C27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40" s="2"/>
      </tp>
      <tp>
        <v>0.24879999999999999</v>
        <stp/>
        <stp>##V3_BDHV12</stp>
        <stp>RMS FP Equity</stp>
        <stp>IS_INT_EXPENSE</stp>
        <stp>FY 2005</stp>
        <stp>FY 2005</stp>
        <stp>[FA1_ididqeuc.xlsx]Income - Adjusted!R40C17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40" s="2"/>
      </tp>
      <tp>
        <v>0</v>
        <stp/>
        <stp>##V3_BDHV12</stp>
        <stp>RMS FP Equity</stp>
        <stp>XO_GL_NET_OF_TAX</stp>
        <stp>FY 2008</stp>
        <stp>FY 2008</stp>
        <stp>[FA1_ididqeuc.xlsx]Income - Adjusted!R93C20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93" s="2"/>
      </tp>
      <tp>
        <v>0</v>
        <stp/>
        <stp>##V3_BDHV12</stp>
        <stp>RMS FP Equity</stp>
        <stp>XO_GL_NET_OF_TAX</stp>
        <stp>FY 2009</stp>
        <stp>FY 2009</stp>
        <stp>[FA1_ididqeuc.xlsx]Income - Adjusted!R93C21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93" s="2"/>
      </tp>
      <tp>
        <v>0</v>
        <stp/>
        <stp>##V3_BDHV12</stp>
        <stp>RMS FP Equity</stp>
        <stp>XO_GL_NET_OF_TAX</stp>
        <stp>FY 2010</stp>
        <stp>FY 2010</stp>
        <stp>[FA1_ididqeuc.xlsx]Income - Adjusted!R93C22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93" s="2"/>
      </tp>
      <tp>
        <v>0</v>
        <stp/>
        <stp>##V3_BDHV12</stp>
        <stp>RMS FP Equity</stp>
        <stp>XO_GL_NET_OF_TAX</stp>
        <stp>FY 2011</stp>
        <stp>FY 2011</stp>
        <stp>[FA1_ididqeuc.xlsx]Income - Adjusted!R93C23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93" s="2"/>
      </tp>
      <tp>
        <v>0</v>
        <stp/>
        <stp>##V3_BDHV12</stp>
        <stp>RMS FP Equity</stp>
        <stp>XO_GL_NET_OF_TAX</stp>
        <stp>FY 2010</stp>
        <stp>FY 2010</stp>
        <stp>[FA1_ididqeuc.xlsx]Income - Adjusted!R75C22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75" s="2"/>
      </tp>
      <tp>
        <v>0</v>
        <stp/>
        <stp>##V3_BDHV12</stp>
        <stp>RMS FP Equity</stp>
        <stp>XO_GL_NET_OF_TAX</stp>
        <stp>FY 2011</stp>
        <stp>FY 2011</stp>
        <stp>[FA1_ididqeuc.xlsx]Income - Adjusted!R75C23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75" s="2"/>
      </tp>
      <tp>
        <v>0</v>
        <stp/>
        <stp>##V3_BDHV12</stp>
        <stp>RMS FP Equity</stp>
        <stp>XO_GL_NET_OF_TAX</stp>
        <stp>FY 2008</stp>
        <stp>FY 2008</stp>
        <stp>[FA1_ididqeuc.xlsx]Income - Adjusted!R75C20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75" s="2"/>
      </tp>
      <tp t="s">
        <v>—</v>
        <stp/>
        <stp>##V3_BDHV12</stp>
        <stp>RMS FP Equity</stp>
        <stp>IS_D&amp;A_COST_OF_REVENUE</stp>
        <stp>FY 2002</stp>
        <stp>FY 2002</stp>
        <stp>[FA1_ididqeuc.xlsx]Income - Adjusted!R14C14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4" s="2"/>
      </tp>
      <tp>
        <v>20.316800000000001</v>
        <stp/>
        <stp>##V3_BDHV12</stp>
        <stp>RMS FP Equity</stp>
        <stp>IS_D&amp;A_COST_OF_REVENUE</stp>
        <stp>FY 2012</stp>
        <stp>FY 2012</stp>
        <stp>[FA1_ididqeuc.xlsx]Income - Adjusted!R14C24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4" s="2"/>
      </tp>
      <tp>
        <v>0</v>
        <stp/>
        <stp>##V3_BDHV12</stp>
        <stp>RMS FP Equity</stp>
        <stp>XO_GL_NET_OF_TAX</stp>
        <stp>FY 2009</stp>
        <stp>FY 2009</stp>
        <stp>[FA1_ididqeuc.xlsx]Income - Adjusted!R75C21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75" s="2"/>
      </tp>
      <tp>
        <v>0</v>
        <stp/>
        <stp>##V3_BDHV12</stp>
        <stp>RMS FP Equity</stp>
        <stp>XO_GL_NET_OF_TAX</stp>
        <stp>FY 2014</stp>
        <stp>FY 2014</stp>
        <stp>[FA1_ididqeuc.xlsx]Income - Adjusted!R75C26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75" s="2"/>
      </tp>
      <tp>
        <v>0</v>
        <stp/>
        <stp>##V3_BDHV12</stp>
        <stp>RMS FP Equity</stp>
        <stp>XO_GL_NET_OF_TAX</stp>
        <stp>FY 2016</stp>
        <stp>FY 2016</stp>
        <stp>[FA1_ididqeuc.xlsx]Income - Adjusted!R93C28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93" s="2"/>
      </tp>
      <tp>
        <v>0</v>
        <stp/>
        <stp>##V3_BDHV12</stp>
        <stp>RMS FP Equity</stp>
        <stp>XO_GL_NET_OF_TAX</stp>
        <stp>FY 2015</stp>
        <stp>FY 2015</stp>
        <stp>[FA1_ididqeuc.xlsx]Income - Adjusted!R75C27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75" s="2"/>
      </tp>
      <tp>
        <v>0</v>
        <stp/>
        <stp>##V3_BDHV12</stp>
        <stp>RMS FP Equity</stp>
        <stp>XO_GL_NET_OF_TAX</stp>
        <stp>FY 2017</stp>
        <stp>FY 2017</stp>
        <stp>[FA1_ididqeuc.xlsx]Income - Adjusted!R93C29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93" s="2"/>
      </tp>
      <tp>
        <v>0</v>
        <stp/>
        <stp>##V3_BDHV12</stp>
        <stp>RMS FP Equity</stp>
        <stp>XO_GL_NET_OF_TAX</stp>
        <stp>FY 2012</stp>
        <stp>FY 2012</stp>
        <stp>[FA1_ididqeuc.xlsx]Income - Adjusted!R75C24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75" s="2"/>
      </tp>
      <tp>
        <v>0</v>
        <stp/>
        <stp>##V3_BDHV12</stp>
        <stp>RMS FP Equity</stp>
        <stp>XO_GL_NET_OF_TAX</stp>
        <stp>FY 2013</stp>
        <stp>FY 2013</stp>
        <stp>[FA1_ididqeuc.xlsx]Income - Adjusted!R75C25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75" s="2"/>
      </tp>
      <tp t="s">
        <v>—</v>
        <stp/>
        <stp>##V3_BDHV12</stp>
        <stp>RMS FP Equity</stp>
        <stp>IS_BASIC_EPS_CONT_OPS</stp>
        <stp>FY 1996</stp>
        <stp>FY 1996</stp>
        <stp>[FA1_ididqeuc.xlsx]Income - Adjusted!R101C8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H101" s="2"/>
      </tp>
      <tp>
        <v>16.012599999999999</v>
        <stp/>
        <stp>##V3_BDHV12</stp>
        <stp>RMS FP Equity</stp>
        <stp>IS_OTHER_OPERATING_EXPENSES</stp>
        <stp>FY 2011</stp>
        <stp>FY 2011</stp>
        <stp>[FA1_ididqeuc.xlsx]Income - Adjusted!R32C23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32" s="2"/>
      </tp>
      <tp t="s">
        <v>—</v>
        <stp/>
        <stp>##V3_BDHV12</stp>
        <stp>RMS FP Equity</stp>
        <stp>IS_OTHER_OPERATING_EXPENSES</stp>
        <stp>FY 2001</stp>
        <stp>FY 2001</stp>
        <stp>[FA1_ididqeuc.xlsx]Income - Adjusted!R32C13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32" s="2"/>
      </tp>
      <tp>
        <v>11.5053</v>
        <stp/>
        <stp>##V3_BDHV12</stp>
        <stp>RMS FP Equity</stp>
        <stp>IS_INT_EXPENSE</stp>
        <stp>FY 1991</stp>
        <stp>FY 1991</stp>
        <stp>[FA1_ididqeuc.xlsx]Income - Adjusted!R40C3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40" s="2"/>
      </tp>
      <tp>
        <v>4.3383000000000003</v>
        <stp/>
        <stp>##V3_BDHV12</stp>
        <stp>RMS FP Equity</stp>
        <stp>IS_BASIC_EPS_CONT_OPS</stp>
        <stp>FY 2008</stp>
        <stp>FY 2008</stp>
        <stp>[FA1_ididqeuc.xlsx]Income - Adjusted!R101C20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T101" s="2"/>
      </tp>
      <tp t="s">
        <v>—</v>
        <stp/>
        <stp>##V3_BDHV12</stp>
        <stp>RMS FP Equity</stp>
        <stp>IS_BASIC_EPS_CONT_OPS</stp>
        <stp>FY 1998</stp>
        <stp>FY 1998</stp>
        <stp>[FA1_ididqeuc.xlsx]Income - Adjusted!R101C10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J101" s="2"/>
      </tp>
      <tp>
        <v>110.44199999999999</v>
        <stp/>
        <stp>##V3_BDHV12</stp>
        <stp>RMS FP Equity</stp>
        <stp>IS_SH_FOR_DILUTED_EPS</stp>
        <stp>FY 1998</stp>
        <stp>FY 1998</stp>
        <stp>[FA1_ididqeuc.xlsx]Income - Adjusted!R104C10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J104" s="2"/>
      </tp>
      <tp>
        <v>105.1742</v>
        <stp/>
        <stp>##V3_BDHV12</stp>
        <stp>RMS FP Equity</stp>
        <stp>IS_SH_FOR_DILUTED_EPS</stp>
        <stp>FY 2008</stp>
        <stp>FY 2008</stp>
        <stp>[FA1_ididqeuc.xlsx]Income - Adjusted!R104C20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T104" s="2"/>
      </tp>
      <tp>
        <v>0.53139999999999998</v>
        <stp/>
        <stp>##V3_BDHV12</stp>
        <stp>RMS FP Equity</stp>
        <stp>IS_INT_EXPENSE</stp>
        <stp>FY 2014</stp>
        <stp>FY 2014</stp>
        <stp>[FA1_ididqeuc.xlsx]Income - Adjusted!R40C26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40" s="2"/>
      </tp>
      <tp>
        <v>1.3686</v>
        <stp/>
        <stp>##V3_BDHV12</stp>
        <stp>RMS FP Equity</stp>
        <stp>IS_INT_EXPENSE</stp>
        <stp>FY 2004</stp>
        <stp>FY 2004</stp>
        <stp>[FA1_ididqeuc.xlsx]Income - Adjusted!R40C16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40" s="2"/>
      </tp>
      <tp t="s">
        <v>—</v>
        <stp/>
        <stp>##V3_BDHV12</stp>
        <stp>RMS FP Equity</stp>
        <stp>IS_D&amp;A_COST_OF_REVENUE</stp>
        <stp>FY 2003</stp>
        <stp>FY 2003</stp>
        <stp>[FA1_ididqeuc.xlsx]Income - Adjusted!R14C15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4" s="2"/>
      </tp>
      <tp>
        <v>26.699100000000001</v>
        <stp/>
        <stp>##V3_BDHV12</stp>
        <stp>RMS FP Equity</stp>
        <stp>IS_D&amp;A_COST_OF_REVENUE</stp>
        <stp>FY 2013</stp>
        <stp>FY 2013</stp>
        <stp>[FA1_ididqeuc.xlsx]Income - Adjusted!R14C25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4" s="2"/>
      </tp>
      <tp t="s">
        <v>—</v>
        <stp/>
        <stp>##V3_BDHV12</stp>
        <stp>RMS FP Equity</stp>
        <stp>IS_BASIC_EPS_CONT_OPS</stp>
        <stp>FY 1997</stp>
        <stp>FY 1997</stp>
        <stp>[FA1_ididqeuc.xlsx]Income - Adjusted!R101C9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I101" s="2"/>
      </tp>
      <tp>
        <v>5.1738</v>
        <stp/>
        <stp>##V3_BDHV12</stp>
        <stp>RMS FP Equity</stp>
        <stp>IS_OTHER_OPERATING_EXPENSES</stp>
        <stp>FY 2010</stp>
        <stp>FY 2010</stp>
        <stp>[FA1_ididqeuc.xlsx]Income - Adjusted!R32C22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32" s="2"/>
      </tp>
      <tp t="s">
        <v>—</v>
        <stp/>
        <stp>##V3_BDHV12</stp>
        <stp>RMS FP Equity</stp>
        <stp>IS_OTHER_OPERATING_EXPENSES</stp>
        <stp>FY 2000</stp>
        <stp>FY 2000</stp>
        <stp>[FA1_ididqeuc.xlsx]Income - Adjusted!R32C12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32" s="2"/>
      </tp>
      <tp>
        <v>7.9322999999999997</v>
        <stp/>
        <stp>##V3_BDHV12</stp>
        <stp>RMS FP Equity</stp>
        <stp>IS_BASIC_EPS_CONT_OPS</stp>
        <stp>FY 2011</stp>
        <stp>FY 2011</stp>
        <stp>[FA1_ididqeuc.xlsx]Income - Adjusted!R101C23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W101" s="2"/>
      </tp>
      <tp t="s">
        <v>—</v>
        <stp/>
        <stp>##V3_BDHV12</stp>
        <stp>RMS FP Equity</stp>
        <stp>IS_BASIC_EPS_CONT_OPS</stp>
        <stp>FY 2001</stp>
        <stp>FY 2001</stp>
        <stp>[FA1_ididqeuc.xlsx]Income - Adjusted!R101C13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M101" s="2"/>
      </tp>
      <tp>
        <v>89.3887</v>
        <stp/>
        <stp>##V3_BDHV12</stp>
        <stp>RMS FP Equity</stp>
        <stp>NET_INCOME</stp>
        <stp>FY 1996</stp>
        <stp>FY 1996</stp>
        <stp>[FA1_ididqeuc.xlsx]Income - Adjusted!R82C8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82" s="2"/>
      </tp>
      <tp>
        <v>5757.9441999999999</v>
        <stp/>
        <stp>##V3_BDHV12</stp>
        <stp>RMS FP Equity</stp>
        <stp>SALES_REV_TURN</stp>
        <stp>FY 2016</stp>
        <stp>FY 2016</stp>
        <stp>[FA1_ididqeuc.xlsx]Income - Adjusted!R6C28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6" s="2"/>
      </tp>
      <tp>
        <v>1903.3027999999999</v>
        <stp/>
        <stp>##V3_BDHV12</stp>
        <stp>RMS FP Equity</stp>
        <stp>SALES_REV_TURN</stp>
        <stp>FY 2006</stp>
        <stp>FY 2006</stp>
        <stp>[FA1_ididqeuc.xlsx]Income - Adjusted!R6C18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6" s="2"/>
      </tp>
      <tp t="s">
        <v>—</v>
        <stp/>
        <stp>##V3_BDHV12</stp>
        <stp>RMS FP Equity</stp>
        <stp>IS_SH_FOR_DILUTED_EPS</stp>
        <stp>FY 2001</stp>
        <stp>FY 2001</stp>
        <stp>[FA1_ididqeuc.xlsx]Income - Adjusted!R104C13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M104" s="2"/>
      </tp>
      <tp>
        <v>104.9723</v>
        <stp/>
        <stp>##V3_BDHV12</stp>
        <stp>RMS FP Equity</stp>
        <stp>IS_SH_FOR_DILUTED_EPS</stp>
        <stp>FY 2011</stp>
        <stp>FY 2011</stp>
        <stp>[FA1_ididqeuc.xlsx]Income - Adjusted!R104C23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W104" s="2"/>
      </tp>
      <tp>
        <v>91.095699999999994</v>
        <stp/>
        <stp>##V3_BDHV12</stp>
        <stp>RMS FP Equity</stp>
        <stp>EARN_FOR_COMMON</stp>
        <stp>FY 1997</stp>
        <stp>FY 1997</stp>
        <stp>[FA1_ididqeuc.xlsx]Income - Adjusted!R89C9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89" s="2"/>
      </tp>
      <tp>
        <v>1.3283</v>
        <stp/>
        <stp>##V3_BDHV12</stp>
        <stp>RMS FP Equity</stp>
        <stp>IS_INT_EXPENSE</stp>
        <stp>FY 2013</stp>
        <stp>FY 2013</stp>
        <stp>[FA1_ididqeuc.xlsx]Income - Adjusted!R40C25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40" s="2"/>
      </tp>
      <tp>
        <v>4.7562999999999995</v>
        <stp/>
        <stp>##V3_BDHV12</stp>
        <stp>RMS FP Equity</stp>
        <stp>IS_INT_EXPENSE</stp>
        <stp>FY 2003</stp>
        <stp>FY 2003</stp>
        <stp>[FA1_ididqeuc.xlsx]Income - Adjusted!R40C15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40" s="2"/>
      </tp>
      <tp t="s">
        <v>—</v>
        <stp/>
        <stp>##V3_BDHV12</stp>
        <stp>RMS FP Equity</stp>
        <stp>IS_D&amp;A_COST_OF_REVENUE</stp>
        <stp>FY 2004</stp>
        <stp>FY 2004</stp>
        <stp>[FA1_ididqeuc.xlsx]Income - Adjusted!R14C16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4" s="2"/>
      </tp>
      <tp>
        <v>36.5334</v>
        <stp/>
        <stp>##V3_BDHV12</stp>
        <stp>RMS FP Equity</stp>
        <stp>IS_D&amp;A_COST_OF_REVENUE</stp>
        <stp>FY 2014</stp>
        <stp>FY 2014</stp>
        <stp>[FA1_ididqeuc.xlsx]Income - Adjusted!R14C26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4" s="2"/>
      </tp>
      <tp t="s">
        <v>—</v>
        <stp/>
        <stp>##V3_BDHV12</stp>
        <stp>RMS FP Equity</stp>
        <stp>IS_NET_INTEREST_EXPENSE</stp>
        <stp>FY 1997</stp>
        <stp>FY 1997</stp>
        <stp>[FA1_ididqeuc.xlsx]Income - Adjusted!R38C9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38" s="2"/>
      </tp>
      <tp>
        <v>7.3905000000000003</v>
        <stp/>
        <stp>##V3_BDHV12</stp>
        <stp>RMS FP Equity</stp>
        <stp>IS_OTHER_OPERATING_EXPENSES</stp>
        <stp>FY 2009</stp>
        <stp>FY 2009</stp>
        <stp>[FA1_ididqeuc.xlsx]Income - Adjusted!R32C21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32" s="2"/>
      </tp>
      <tp t="s">
        <v>—</v>
        <stp/>
        <stp>##V3_BDHV12</stp>
        <stp>RMS FP Equity</stp>
        <stp>IS_OTHER_OPERATING_EXPENSES</stp>
        <stp>FY 1999</stp>
        <stp>FY 1999</stp>
        <stp>[FA1_ididqeuc.xlsx]Income - Adjusted!R32C11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32" s="2"/>
      </tp>
      <tp>
        <v>5.3510999999999997</v>
        <stp/>
        <stp>##V3_BDHV12</stp>
        <stp>RMS FP Equity</stp>
        <stp>IS_BASIC_EPS_CONT_OPS</stp>
        <stp>FY 2010</stp>
        <stp>FY 2010</stp>
        <stp>[FA1_ididqeuc.xlsx]Income - Adjusted!R101C22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V101" s="2"/>
      </tp>
      <tp t="s">
        <v>—</v>
        <stp/>
        <stp>##V3_BDHV12</stp>
        <stp>RMS FP Equity</stp>
        <stp>IS_BASIC_EPS_CONT_OPS</stp>
        <stp>FY 2000</stp>
        <stp>FY 2000</stp>
        <stp>[FA1_ididqeuc.xlsx]Income - Adjusted!R101C12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L101" s="2"/>
      </tp>
      <tp>
        <v>91.095699999999994</v>
        <stp/>
        <stp>##V3_BDHV12</stp>
        <stp>RMS FP Equity</stp>
        <stp>NET_INCOME</stp>
        <stp>FY 1997</stp>
        <stp>FY 1997</stp>
        <stp>[FA1_ididqeuc.xlsx]Income - Adjusted!R82C9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82" s="2"/>
      </tp>
      <tp t="s">
        <v>—</v>
        <stp/>
        <stp>##V3_BDHV12</stp>
        <stp>RMS FP Equity</stp>
        <stp>IS_PROVISION_DOUBTFUL_ACCOUNTS</stp>
        <stp>FY 1991</stp>
        <stp>FY 1991</stp>
        <stp>[FA1_ididqeuc.xlsx]Income - Adjusted!R30C3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30" s="2"/>
      </tp>
      <tp>
        <v>6269.0493999999999</v>
        <stp/>
        <stp>##V3_BDHV12</stp>
        <stp>RMS FP Equity</stp>
        <stp>SALES_REV_TURN</stp>
        <stp>FY 2017</stp>
        <stp>FY 2017</stp>
        <stp>[FA1_ididqeuc.xlsx]Income - Adjusted!R6C29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6" s="2"/>
      </tp>
      <tp>
        <v>2227.6844999999998</v>
        <stp/>
        <stp>##V3_BDHV12</stp>
        <stp>RMS FP Equity</stp>
        <stp>SALES_REV_TURN</stp>
        <stp>FY 2007</stp>
        <stp>FY 2007</stp>
        <stp>[FA1_ididqeuc.xlsx]Income - Adjusted!R6C19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6" s="2"/>
      </tp>
      <tp t="s">
        <v>—</v>
        <stp/>
        <stp>##V3_BDHV12</stp>
        <stp>RMS FP Equity</stp>
        <stp>IS_SH_FOR_DILUTED_EPS</stp>
        <stp>FY 2000</stp>
        <stp>FY 2000</stp>
        <stp>[FA1_ididqeuc.xlsx]Income - Adjusted!R104C12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L104" s="2"/>
      </tp>
      <tp>
        <v>105.4282</v>
        <stp/>
        <stp>##V3_BDHV12</stp>
        <stp>RMS FP Equity</stp>
        <stp>IS_SH_FOR_DILUTED_EPS</stp>
        <stp>FY 2010</stp>
        <stp>FY 2010</stp>
        <stp>[FA1_ididqeuc.xlsx]Income - Adjusted!R104C22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V104" s="2"/>
      </tp>
      <tp>
        <v>0</v>
        <stp/>
        <stp>##V3_BDHV12</stp>
        <stp>RMS FP Equity</stp>
        <stp>XO_GL_NET_OF_TAX</stp>
        <stp>FY 2002</stp>
        <stp>FY 2002</stp>
        <stp>[FA1_ididqeuc.xlsx]Income - Adjusted!R93C14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93" s="2"/>
      </tp>
      <tp>
        <v>0</v>
        <stp/>
        <stp>##V3_BDHV12</stp>
        <stp>RMS FP Equity</stp>
        <stp>XO_GL_NET_OF_TAX</stp>
        <stp>FY 2003</stp>
        <stp>FY 2003</stp>
        <stp>[FA1_ididqeuc.xlsx]Income - Adjusted!R93C15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93" s="2"/>
      </tp>
      <tp>
        <v>89.3887</v>
        <stp/>
        <stp>##V3_BDHV12</stp>
        <stp>RMS FP Equity</stp>
        <stp>EARN_FOR_COMMON</stp>
        <stp>FY 1996</stp>
        <stp>FY 1996</stp>
        <stp>[FA1_ididqeuc.xlsx]Income - Adjusted!R89C8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89" s="2"/>
      </tp>
      <tp t="s">
        <v>—</v>
        <stp/>
        <stp>##V3_BDHV12</stp>
        <stp>RMS FP Equity</stp>
        <stp>XO_GL_NET_OF_TAX</stp>
        <stp>FY 2006</stp>
        <stp>FY 2006</stp>
        <stp>[FA1_ididqeuc.xlsx]Income - Adjusted!R75C18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75" s="2"/>
      </tp>
      <tp>
        <v>0</v>
        <stp/>
        <stp>##V3_BDHV12</stp>
        <stp>RMS FP Equity</stp>
        <stp>XO_GL_NET_OF_TAX</stp>
        <stp>FY 2004</stp>
        <stp>FY 2004</stp>
        <stp>[FA1_ididqeuc.xlsx]Income - Adjusted!R93C16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93" s="2"/>
      </tp>
      <tp>
        <v>0</v>
        <stp/>
        <stp>##V3_BDHV12</stp>
        <stp>RMS FP Equity</stp>
        <stp>XO_GL_NET_OF_TAX</stp>
        <stp>FY 2007</stp>
        <stp>FY 2007</stp>
        <stp>[FA1_ididqeuc.xlsx]Income - Adjusted!R75C19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75" s="2"/>
      </tp>
      <tp>
        <v>0</v>
        <stp/>
        <stp>##V3_BDHV12</stp>
        <stp>RMS FP Equity</stp>
        <stp>XO_GL_NET_OF_TAX</stp>
        <stp>FY 2005</stp>
        <stp>FY 2005</stp>
        <stp>[FA1_ididqeuc.xlsx]Income - Adjusted!R93C17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93" s="2"/>
      </tp>
      <tp>
        <v>1.9287999999999998</v>
        <stp/>
        <stp>##V3_BDHV12</stp>
        <stp>RMS FP Equity</stp>
        <stp>IS_INT_EXPENSE</stp>
        <stp>FY 2012</stp>
        <stp>FY 2012</stp>
        <stp>[FA1_ididqeuc.xlsx]Income - Adjusted!R40C24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40" s="2"/>
      </tp>
      <tp>
        <v>4.9180000000000001</v>
        <stp/>
        <stp>##V3_BDHV12</stp>
        <stp>RMS FP Equity</stp>
        <stp>IS_INT_EXPENSE</stp>
        <stp>FY 2002</stp>
        <stp>FY 2002</stp>
        <stp>[FA1_ididqeuc.xlsx]Income - Adjusted!R40C14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40" s="2"/>
      </tp>
      <tp>
        <v>0</v>
        <stp/>
        <stp>##V3_BDHV12</stp>
        <stp>RMS FP Equity</stp>
        <stp>XO_GL_NET_OF_TAX</stp>
        <stp>FY 1998</stp>
        <stp>FY 1998</stp>
        <stp>[FA1_ididqeuc.xlsx]Income - Adjusted!R93C10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93" s="2"/>
      </tp>
      <tp>
        <v>0</v>
        <stp/>
        <stp>##V3_BDHV12</stp>
        <stp>RMS FP Equity</stp>
        <stp>XO_GL_NET_OF_TAX</stp>
        <stp>FY 1999</stp>
        <stp>FY 1999</stp>
        <stp>[FA1_ididqeuc.xlsx]Income - Adjusted!R93C11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93" s="2"/>
      </tp>
      <tp>
        <v>0</v>
        <stp/>
        <stp>##V3_BDHV12</stp>
        <stp>RMS FP Equity</stp>
        <stp>XO_GL_NET_OF_TAX</stp>
        <stp>FY 2000</stp>
        <stp>FY 2000</stp>
        <stp>[FA1_ididqeuc.xlsx]Income - Adjusted!R93C12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93" s="2"/>
      </tp>
      <tp>
        <v>0</v>
        <stp/>
        <stp>##V3_BDHV12</stp>
        <stp>RMS FP Equity</stp>
        <stp>XO_GL_NET_OF_TAX</stp>
        <stp>FY 2001</stp>
        <stp>FY 2001</stp>
        <stp>[FA1_ididqeuc.xlsx]Income - Adjusted!R93C13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93" s="2"/>
      </tp>
      <tp>
        <v>0</v>
        <stp/>
        <stp>##V3_BDHV12</stp>
        <stp>RMS FP Equity</stp>
        <stp>XO_GL_NET_OF_TAX</stp>
        <stp>FY 2000</stp>
        <stp>FY 2000</stp>
        <stp>[FA1_ididqeuc.xlsx]Income - Adjusted!R75C12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75" s="2"/>
      </tp>
      <tp>
        <v>0</v>
        <stp/>
        <stp>##V3_BDHV12</stp>
        <stp>RMS FP Equity</stp>
        <stp>XO_GL_NET_OF_TAX</stp>
        <stp>FY 2001</stp>
        <stp>FY 2001</stp>
        <stp>[FA1_ididqeuc.xlsx]Income - Adjusted!R75C13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75" s="2"/>
      </tp>
      <tp>
        <v>0</v>
        <stp/>
        <stp>##V3_BDHV12</stp>
        <stp>RMS FP Equity</stp>
        <stp>XO_GL_NET_OF_TAX</stp>
        <stp>FY 1998</stp>
        <stp>FY 1998</stp>
        <stp>[FA1_ididqeuc.xlsx]Income - Adjusted!R75C10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75" s="2"/>
      </tp>
      <tp t="s">
        <v>—</v>
        <stp/>
        <stp>##V3_BDHV12</stp>
        <stp>RMS FP Equity</stp>
        <stp>IS_D&amp;A_COST_OF_REVENUE</stp>
        <stp>FY 2005</stp>
        <stp>FY 2005</stp>
        <stp>[FA1_ididqeuc.xlsx]Income - Adjusted!R14C17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4" s="2"/>
      </tp>
      <tp>
        <v>34.743000000000002</v>
        <stp/>
        <stp>##V3_BDHV12</stp>
        <stp>RMS FP Equity</stp>
        <stp>IS_D&amp;A_COST_OF_REVENUE</stp>
        <stp>FY 2015</stp>
        <stp>FY 2015</stp>
        <stp>[FA1_ididqeuc.xlsx]Income - Adjusted!R14C27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4" s="2"/>
      </tp>
      <tp>
        <v>0</v>
        <stp/>
        <stp>##V3_BDHV12</stp>
        <stp>RMS FP Equity</stp>
        <stp>XO_GL_NET_OF_TAX</stp>
        <stp>FY 1999</stp>
        <stp>FY 1999</stp>
        <stp>[FA1_ididqeuc.xlsx]Income - Adjusted!R75C11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75" s="2"/>
      </tp>
      <tp>
        <v>0</v>
        <stp/>
        <stp>##V3_BDHV12</stp>
        <stp>RMS FP Equity</stp>
        <stp>XO_GL_NET_OF_TAX</stp>
        <stp>FY 2004</stp>
        <stp>FY 2004</stp>
        <stp>[FA1_ididqeuc.xlsx]Income - Adjusted!R75C16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75" s="2"/>
      </tp>
      <tp t="s">
        <v>—</v>
        <stp/>
        <stp>##V3_BDHV12</stp>
        <stp>RMS FP Equity</stp>
        <stp>XO_GL_NET_OF_TAX</stp>
        <stp>FY 2006</stp>
        <stp>FY 2006</stp>
        <stp>[FA1_ididqeuc.xlsx]Income - Adjusted!R93C18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93" s="2"/>
      </tp>
      <tp>
        <v>0</v>
        <stp/>
        <stp>##V3_BDHV12</stp>
        <stp>RMS FP Equity</stp>
        <stp>XO_GL_NET_OF_TAX</stp>
        <stp>FY 2005</stp>
        <stp>FY 2005</stp>
        <stp>[FA1_ididqeuc.xlsx]Income - Adjusted!R75C17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75" s="2"/>
      </tp>
      <tp>
        <v>0</v>
        <stp/>
        <stp>##V3_BDHV12</stp>
        <stp>RMS FP Equity</stp>
        <stp>XO_GL_NET_OF_TAX</stp>
        <stp>FY 2007</stp>
        <stp>FY 2007</stp>
        <stp>[FA1_ididqeuc.xlsx]Income - Adjusted!R93C19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93" s="2"/>
      </tp>
      <tp>
        <v>0</v>
        <stp/>
        <stp>##V3_BDHV12</stp>
        <stp>RMS FP Equity</stp>
        <stp>XO_GL_NET_OF_TAX</stp>
        <stp>FY 2002</stp>
        <stp>FY 2002</stp>
        <stp>[FA1_ididqeuc.xlsx]Income - Adjusted!R75C14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75" s="2"/>
      </tp>
      <tp>
        <v>0</v>
        <stp/>
        <stp>##V3_BDHV12</stp>
        <stp>RMS FP Equity</stp>
        <stp>XO_GL_NET_OF_TAX</stp>
        <stp>FY 2003</stp>
        <stp>FY 2003</stp>
        <stp>[FA1_ididqeuc.xlsx]Income - Adjusted!R75C15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75" s="2"/>
      </tp>
      <tp t="s">
        <v>—</v>
        <stp/>
        <stp>##V3_BDHV12</stp>
        <stp>RMS FP Equity</stp>
        <stp>IS_NET_INTEREST_EXPENSE</stp>
        <stp>FY 1996</stp>
        <stp>FY 1996</stp>
        <stp>[FA1_ididqeuc.xlsx]Income - Adjusted!R38C8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38" s="2"/>
      </tp>
      <tp t="s">
        <v>—</v>
        <stp/>
        <stp>##V3_BDHV12</stp>
        <stp>RMS FP Equity</stp>
        <stp>IS_OTHER_OPERATING_EXPENSES</stp>
        <stp>FY 2008</stp>
        <stp>FY 2008</stp>
        <stp>[FA1_ididqeuc.xlsx]Income - Adjusted!R32C20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32" s="2"/>
      </tp>
      <tp t="s">
        <v>—</v>
        <stp/>
        <stp>##V3_BDHV12</stp>
        <stp>RMS FP Equity</stp>
        <stp>IS_OTHER_OPERATING_EXPENSES</stp>
        <stp>FY 1998</stp>
        <stp>FY 1998</stp>
        <stp>[FA1_ididqeuc.xlsx]Income - Adjusted!R32C10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32" s="2"/>
      </tp>
      <tp>
        <v>619.18299999999999</v>
        <stp/>
        <stp>##V3_BDHV12</stp>
        <stp>RMS FP Equity</stp>
        <stp>SALES_REV_TURN</stp>
        <stp>FY 1994</stp>
        <stp>FY 1994</stp>
        <stp>[FA1_ididqeuc.xlsx]Income - Adjusted!R6C6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2"/>
      </tp>
      <tp>
        <v>42.535699999999999</v>
        <stp/>
        <stp>##V3_BDHV12</stp>
        <stp>RMS FP Equity</stp>
        <stp>PRETAX_INC</stp>
        <stp>FY 1991</stp>
        <stp>FY 1991</stp>
        <stp>[FA1_ididqeuc.xlsx]Income - Adjusted!R63C3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3" s="2"/>
      </tp>
      <tp>
        <v>167.8989</v>
        <stp/>
        <stp>##V3_BDHV12</stp>
        <stp>RMS FP Equity</stp>
        <stp>IS_INC_BEF_XO_ITEM</stp>
        <stp>FY 2000</stp>
        <stp>FY 2000</stp>
        <stp>[FA1_ididqeuc.xlsx]Income - Adjusted!R73C12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73" s="2"/>
      </tp>
      <tp>
        <v>186.47030000000001</v>
        <stp/>
        <stp>##V3_BDHV12</stp>
        <stp>RMS FP Equity</stp>
        <stp>IS_INC_BEF_XO_ITEM</stp>
        <stp>FY 2001</stp>
        <stp>FY 2001</stp>
        <stp>[FA1_ididqeuc.xlsx]Income - Adjusted!R73C13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73" s="2"/>
      </tp>
      <tp>
        <v>102.5796</v>
        <stp/>
        <stp>##V3_BDHV12</stp>
        <stp>RMS FP Equity</stp>
        <stp>IS_INC_BEF_XO_ITEM</stp>
        <stp>FY 1998</stp>
        <stp>FY 1998</stp>
        <stp>[FA1_ididqeuc.xlsx]Income - Adjusted!R73C10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73" s="2"/>
      </tp>
      <tp>
        <v>129.43369999999999</v>
        <stp/>
        <stp>##V3_BDHV12</stp>
        <stp>RMS FP Equity</stp>
        <stp>IS_INC_BEF_XO_ITEM</stp>
        <stp>FY 1999</stp>
        <stp>FY 1999</stp>
        <stp>[FA1_ididqeuc.xlsx]Income - Adjusted!R73C11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73" s="2"/>
      </tp>
      <tp>
        <v>271.73700000000002</v>
        <stp/>
        <stp>##V3_BDHV12</stp>
        <stp>RMS FP Equity</stp>
        <stp>IS_INC_BEF_XO_ITEM</stp>
        <stp>FY 2004</stp>
        <stp>FY 2004</stp>
        <stp>[FA1_ididqeuc.xlsx]Income - Adjusted!R73C16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73" s="2"/>
      </tp>
      <tp>
        <v>313.29390000000001</v>
        <stp/>
        <stp>##V3_BDHV12</stp>
        <stp>RMS FP Equity</stp>
        <stp>IS_INC_BEF_XO_ITEM</stp>
        <stp>FY 2005</stp>
        <stp>FY 2005</stp>
        <stp>[FA1_ididqeuc.xlsx]Income - Adjusted!R73C17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73" s="2"/>
      </tp>
      <tp>
        <v>208.4487</v>
        <stp/>
        <stp>##V3_BDHV12</stp>
        <stp>RMS FP Equity</stp>
        <stp>IS_INC_BEF_XO_ITEM</stp>
        <stp>FY 2002</stp>
        <stp>FY 2002</stp>
        <stp>[FA1_ididqeuc.xlsx]Income - Adjusted!R73C14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73" s="2"/>
      </tp>
      <tp>
        <v>249.93369999999999</v>
        <stp/>
        <stp>##V3_BDHV12</stp>
        <stp>RMS FP Equity</stp>
        <stp>IS_INC_BEF_XO_ITEM</stp>
        <stp>FY 2003</stp>
        <stp>FY 2003</stp>
        <stp>[FA1_ididqeuc.xlsx]Income - Adjusted!R73C15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73" s="2"/>
      </tp>
      <tp>
        <v>342.74279999999999</v>
        <stp/>
        <stp>##V3_BDHV12</stp>
        <stp>RMS FP Equity</stp>
        <stp>IS_INC_BEF_XO_ITEM</stp>
        <stp>FY 2006</stp>
        <stp>FY 2006</stp>
        <stp>[FA1_ididqeuc.xlsx]Income - Adjusted!R73C18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73" s="2"/>
      </tp>
      <tp>
        <v>402.74059999999997</v>
        <stp/>
        <stp>##V3_BDHV12</stp>
        <stp>RMS FP Equity</stp>
        <stp>IS_INC_BEF_XO_ITEM</stp>
        <stp>FY 2007</stp>
        <stp>FY 2007</stp>
        <stp>[FA1_ididqeuc.xlsx]Income - Adjusted!R73C19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73" s="2"/>
      </tp>
      <tp>
        <v>163.50309999999999</v>
        <stp/>
        <stp>##V3_BDHV12</stp>
        <stp>RMS FP Equity</stp>
        <stp>IS_DEPRECIATION_AND_AMORTIZATION</stp>
        <stp>FY 2015</stp>
        <stp>FY 2015</stp>
        <stp>[FA1_ididqeuc.xlsx]Income - Adjusted!R28C27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8" s="2"/>
      </tp>
      <tp t="s">
        <v>—</v>
        <stp/>
        <stp>##V3_BDHV12</stp>
        <stp>RMS FP Equity</stp>
        <stp>IS_DEPRECIATION_AND_AMORTIZATION</stp>
        <stp>FY 2005</stp>
        <stp>FY 2005</stp>
        <stp>[FA1_ididqeuc.xlsx]Income - Adjusted!R28C17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8" s="2"/>
      </tp>
      <tp>
        <v>245.5171</v>
        <stp/>
        <stp>##V3_BDHV12</stp>
        <stp>RMS FP Equity</stp>
        <stp>NET_INCOME</stp>
        <stp>FY 2003</stp>
        <stp>FY 2003</stp>
        <stp>[FA1_ididqeuc.xlsx]Income - Adjusted!R82C15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82" s="2"/>
      </tp>
      <tp>
        <v>1049.7645</v>
        <stp/>
        <stp>##V3_BDHV12</stp>
        <stp>RMS FP Equity</stp>
        <stp>NET_INCOME</stp>
        <stp>FY 2013</stp>
        <stp>FY 2013</stp>
        <stp>[FA1_ididqeuc.xlsx]Income - Adjusted!R82C25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82" s="2"/>
      </tp>
      <tp t="s">
        <v>—</v>
        <stp/>
        <stp>##V3_BDHV12</stp>
        <stp>RMS FP Equity</stp>
        <stp>IS_PROVISION_DOUBTFUL_ACCOUNTS</stp>
        <stp>FY 2006</stp>
        <stp>FY 2006</stp>
        <stp>[FA1_ididqeuc.xlsx]Income - Adjusted!R30C18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30" s="2"/>
      </tp>
      <tp>
        <v>25.6784</v>
        <stp/>
        <stp>##V3_BDHV12</stp>
        <stp>RMS FP Equity</stp>
        <stp>IS_PROVISION_DOUBTFUL_ACCOUNTS</stp>
        <stp>FY 2016</stp>
        <stp>FY 2016</stp>
        <stp>[FA1_ididqeuc.xlsx]Income - Adjusted!R30C28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30" s="2"/>
      </tp>
      <tp>
        <v>-1.0414000000000001</v>
        <stp/>
        <stp>##V3_BDHV12</stp>
        <stp>RMS FP Equity</stp>
        <stp>IS_FOREIGN_EXCH_LOSS</stp>
        <stp>FY 1992</stp>
        <stp>FY 1992</stp>
        <stp>[FA1_ididqeuc.xlsx]Income - Adjusted!R44C4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44" s="2"/>
      </tp>
      <tp>
        <v>2.6972</v>
        <stp/>
        <stp>##V3_BDHV12</stp>
        <stp>RMS FP Equity</stp>
        <stp>MIN_NONCONTROL_INTEREST_CREDITS</stp>
        <stp>FY 1999</stp>
        <stp>FY 1999</stp>
        <stp>[FA1_ididqeuc.xlsx]Income - Adjusted!R80C11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80" s="2"/>
      </tp>
      <tp>
        <v>9.3427000000000007</v>
        <stp/>
        <stp>##V3_BDHV12</stp>
        <stp>RMS FP Equity</stp>
        <stp>MIN_NONCONTROL_INTEREST_CREDITS</stp>
        <stp>FY 2009</stp>
        <stp>FY 2009</stp>
        <stp>[FA1_ididqeuc.xlsx]Income - Adjusted!R80C21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80" s="2"/>
      </tp>
      <tp>
        <v>444.30990000000003</v>
        <stp/>
        <stp>##V3_BDHV12</stp>
        <stp>RMS FP Equity</stp>
        <stp>IS_OPER_INC</stp>
        <stp>FY 2004</stp>
        <stp>FY 2004</stp>
        <stp>[FA1_ididqeuc.xlsx]Income - Adjusted!R34C16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34" s="2"/>
      </tp>
      <tp>
        <v>1758.7824000000001</v>
        <stp/>
        <stp>##V3_BDHV12</stp>
        <stp>RMS FP Equity</stp>
        <stp>IS_OPER_INC</stp>
        <stp>FY 2014</stp>
        <stp>FY 2014</stp>
        <stp>[FA1_ididqeuc.xlsx]Income - Adjusted!R34C26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34" s="2"/>
      </tp>
      <tp>
        <v>767.85739999999998</v>
        <stp/>
        <stp>##V3_BDHV12</stp>
        <stp>RMS FP Equity</stp>
        <stp>SALES_REV_TURN</stp>
        <stp>FY 1995</stp>
        <stp>FY 1995</stp>
        <stp>[FA1_ididqeuc.xlsx]Income - Adjusted!R6C7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2"/>
      </tp>
      <tp>
        <v>157.2927</v>
        <stp/>
        <stp>##V3_BDHV12</stp>
        <stp>RMS FP Equity</stp>
        <stp>IS_DEPRECIATION_AND_AMORTIZATION</stp>
        <stp>FY 2014</stp>
        <stp>FY 2014</stp>
        <stp>[FA1_ididqeuc.xlsx]Income - Adjusted!R28C26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8" s="2"/>
      </tp>
      <tp t="s">
        <v>—</v>
        <stp/>
        <stp>##V3_BDHV12</stp>
        <stp>RMS FP Equity</stp>
        <stp>IS_DEPRECIATION_AND_AMORTIZATION</stp>
        <stp>FY 2004</stp>
        <stp>FY 2004</stp>
        <stp>[FA1_ididqeuc.xlsx]Income - Adjusted!R28C16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8" s="2"/>
      </tp>
      <tp>
        <v>203.81440000000001</v>
        <stp/>
        <stp>##V3_BDHV12</stp>
        <stp>RMS FP Equity</stp>
        <stp>NET_INCOME</stp>
        <stp>FY 2002</stp>
        <stp>FY 2002</stp>
        <stp>[FA1_ididqeuc.xlsx]Income - Adjusted!R82C14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82" s="2"/>
      </tp>
      <tp>
        <v>951.41600000000005</v>
        <stp/>
        <stp>##V3_BDHV12</stp>
        <stp>RMS FP Equity</stp>
        <stp>NET_INCOME</stp>
        <stp>FY 2012</stp>
        <stp>FY 2012</stp>
        <stp>[FA1_ididqeuc.xlsx]Income - Adjusted!R82C24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82" s="2"/>
      </tp>
      <tp t="s">
        <v>—</v>
        <stp/>
        <stp>##V3_BDHV12</stp>
        <stp>RMS FP Equity</stp>
        <stp>IS_PROVISION_DOUBTFUL_ACCOUNTS</stp>
        <stp>FY 2007</stp>
        <stp>FY 2007</stp>
        <stp>[FA1_ididqeuc.xlsx]Income - Adjusted!R30C19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30" s="2"/>
      </tp>
      <tp>
        <v>36.377000000000002</v>
        <stp/>
        <stp>##V3_BDHV12</stp>
        <stp>RMS FP Equity</stp>
        <stp>IS_PROVISION_DOUBTFUL_ACCOUNTS</stp>
        <stp>FY 2017</stp>
        <stp>FY 2017</stp>
        <stp>[FA1_ididqeuc.xlsx]Income - Adjusted!R30C29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30" s="2"/>
      </tp>
      <tp>
        <v>0</v>
        <stp/>
        <stp>##V3_BDHV12</stp>
        <stp>RMS FP Equity</stp>
        <stp>IS_TOT_CASH_PFD_DVD</stp>
        <stp>FY 2015</stp>
        <stp>FY 2015</stp>
        <stp>[FA1_ididqeuc.xlsx]Income - Adjusted!R84C27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84" s="2"/>
      </tp>
      <tp>
        <v>0</v>
        <stp/>
        <stp>##V3_BDHV12</stp>
        <stp>RMS FP Equity</stp>
        <stp>IS_TOT_CASH_PFD_DVD</stp>
        <stp>FY 2014</stp>
        <stp>FY 2014</stp>
        <stp>[FA1_ididqeuc.xlsx]Income - Adjusted!R84C26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84" s="2"/>
      </tp>
      <tp>
        <v>0</v>
        <stp/>
        <stp>##V3_BDHV12</stp>
        <stp>RMS FP Equity</stp>
        <stp>IS_TOT_CASH_PFD_DVD</stp>
        <stp>FY 2013</stp>
        <stp>FY 2013</stp>
        <stp>[FA1_ididqeuc.xlsx]Income - Adjusted!R84C25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84" s="2"/>
      </tp>
      <tp>
        <v>0</v>
        <stp/>
        <stp>##V3_BDHV12</stp>
        <stp>RMS FP Equity</stp>
        <stp>IS_TOT_CASH_PFD_DVD</stp>
        <stp>FY 2012</stp>
        <stp>FY 2012</stp>
        <stp>[FA1_ididqeuc.xlsx]Income - Adjusted!R84C24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84" s="2"/>
      </tp>
      <tp>
        <v>0</v>
        <stp/>
        <stp>##V3_BDHV12</stp>
        <stp>RMS FP Equity</stp>
        <stp>IS_TOT_CASH_PFD_DVD</stp>
        <stp>FY 2011</stp>
        <stp>FY 2011</stp>
        <stp>[FA1_ididqeuc.xlsx]Income - Adjusted!R84C23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84" s="2"/>
      </tp>
      <tp>
        <v>0</v>
        <stp/>
        <stp>##V3_BDHV12</stp>
        <stp>RMS FP Equity</stp>
        <stp>IS_TOT_CASH_PFD_DVD</stp>
        <stp>FY 2010</stp>
        <stp>FY 2010</stp>
        <stp>[FA1_ididqeuc.xlsx]Income - Adjusted!R84C22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84" s="2"/>
      </tp>
      <tp>
        <v>0</v>
        <stp/>
        <stp>##V3_BDHV12</stp>
        <stp>RMS FP Equity</stp>
        <stp>IS_TOT_CASH_PFD_DVD</stp>
        <stp>FY 2009</stp>
        <stp>FY 2009</stp>
        <stp>[FA1_ididqeuc.xlsx]Income - Adjusted!R84C21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84" s="2"/>
      </tp>
      <tp>
        <v>-3.2334000000000001</v>
        <stp/>
        <stp>##V3_BDHV12</stp>
        <stp>RMS FP Equity</stp>
        <stp>IS_FOREIGN_EXCH_LOSS</stp>
        <stp>FY 1993</stp>
        <stp>FY 1993</stp>
        <stp>[FA1_ididqeuc.xlsx]Income - Adjusted!R44C5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44" s="2"/>
      </tp>
      <tp>
        <v>0</v>
        <stp/>
        <stp>##V3_BDHV12</stp>
        <stp>RMS FP Equity</stp>
        <stp>IS_TOT_CASH_PFD_DVD</stp>
        <stp>FY 2008</stp>
        <stp>FY 2008</stp>
        <stp>[FA1_ididqeuc.xlsx]Income - Adjusted!R84C20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84" s="2"/>
      </tp>
      <tp>
        <v>0</v>
        <stp/>
        <stp>##V3_BDHV12</stp>
        <stp>RMS FP Equity</stp>
        <stp>IS_TOT_CASH_PFD_DVD</stp>
        <stp>FY 2017</stp>
        <stp>FY 2017</stp>
        <stp>[FA1_ididqeuc.xlsx]Income - Adjusted!R84C29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84" s="2"/>
      </tp>
      <tp>
        <v>0</v>
        <stp/>
        <stp>##V3_BDHV12</stp>
        <stp>RMS FP Equity</stp>
        <stp>IS_TOT_CASH_PFD_DVD</stp>
        <stp>FY 2016</stp>
        <stp>FY 2016</stp>
        <stp>[FA1_ididqeuc.xlsx]Income - Adjusted!R84C28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84" s="2"/>
      </tp>
      <tp t="s">
        <v>—</v>
        <stp/>
        <stp>##V3_BDHV12</stp>
        <stp>RMS FP Equity</stp>
        <stp>IS_IMPAIRMENT_ASSETS</stp>
        <stp>FY 1996</stp>
        <stp>FY 1996</stp>
        <stp>[FA1_ididqeuc.xlsx]Income - Adjusted!R56C8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56" s="2"/>
      </tp>
      <tp t="s">
        <v>—</v>
        <stp/>
        <stp>##V3_BDHV12</stp>
        <stp>RMS FP Equity</stp>
        <stp>IS_IMPAIRMENT_ASSETS</stp>
        <stp>FY 1997</stp>
        <stp>FY 1997</stp>
        <stp>[FA1_ididqeuc.xlsx]Income - Adjusted!R56C9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56" s="2"/>
      </tp>
      <tp>
        <v>3.2267999999999999</v>
        <stp/>
        <stp>##V3_BDHV12</stp>
        <stp>RMS FP Equity</stp>
        <stp>MIN_NONCONTROL_INTEREST_CREDITS</stp>
        <stp>FY 1998</stp>
        <stp>FY 1998</stp>
        <stp>[FA1_ididqeuc.xlsx]Income - Adjusted!R80C10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80" s="2"/>
      </tp>
      <tp>
        <v>7.3544</v>
        <stp/>
        <stp>##V3_BDHV12</stp>
        <stp>RMS FP Equity</stp>
        <stp>MIN_NONCONTROL_INTEREST_CREDITS</stp>
        <stp>FY 2008</stp>
        <stp>FY 2008</stp>
        <stp>[FA1_ididqeuc.xlsx]Income - Adjusted!R80C20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80" s="2"/>
      </tp>
      <tp>
        <v>477.1574</v>
        <stp/>
        <stp>##V3_BDHV12</stp>
        <stp>RMS FP Equity</stp>
        <stp>IS_OPER_INC</stp>
        <stp>FY 2005</stp>
        <stp>FY 2005</stp>
        <stp>[FA1_ididqeuc.xlsx]Income - Adjusted!R34C17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34" s="2"/>
      </tp>
      <tp>
        <v>1735.7080000000001</v>
        <stp/>
        <stp>##V3_BDHV12</stp>
        <stp>RMS FP Equity</stp>
        <stp>IS_OPER_INC</stp>
        <stp>FY 2015</stp>
        <stp>FY 2015</stp>
        <stp>[FA1_ididqeuc.xlsx]Income - Adjusted!R34C27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34" s="2"/>
      </tp>
      <tp t="s">
        <v>—</v>
        <stp/>
        <stp>##V3_BDHV12</stp>
        <stp>RMS FP Equity</stp>
        <stp>IS_IMPAIRMENT_ASSETS</stp>
        <stp>FY 1991</stp>
        <stp>FY 1991</stp>
        <stp>[FA1_ididqeuc.xlsx]Income - Adjusted!R56C3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56" s="2"/>
      </tp>
      <tp t="s">
        <v>—</v>
        <stp/>
        <stp>##V3_BDHV12</stp>
        <stp>RMS FP Equity</stp>
        <stp>IS_IMPAIRMENT_ASSETS</stp>
        <stp>FY 1992</stp>
        <stp>FY 1992</stp>
        <stp>[FA1_ididqeuc.xlsx]Income - Adjusted!R56C4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56" s="2"/>
      </tp>
      <tp t="s">
        <v>—</v>
        <stp/>
        <stp>##V3_BDHV12</stp>
        <stp>RMS FP Equity</stp>
        <stp>IS_IMPAIRMENT_ASSETS</stp>
        <stp>FY 1993</stp>
        <stp>FY 1993</stp>
        <stp>[FA1_ididqeuc.xlsx]Income - Adjusted!R56C5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56" s="2"/>
      </tp>
      <tp t="s">
        <v>—</v>
        <stp/>
        <stp>##V3_BDHV12</stp>
        <stp>RMS FP Equity</stp>
        <stp>IS_IMPAIRMENT_ASSETS</stp>
        <stp>FY 1994</stp>
        <stp>FY 1994</stp>
        <stp>[FA1_ididqeuc.xlsx]Income - Adjusted!R56C6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56" s="2"/>
      </tp>
      <tp t="s">
        <v>—</v>
        <stp/>
        <stp>##V3_BDHV12</stp>
        <stp>RMS FP Equity</stp>
        <stp>IS_IMPAIRMENT_ASSETS</stp>
        <stp>FY 1995</stp>
        <stp>FY 1995</stp>
        <stp>[FA1_ididqeuc.xlsx]Income - Adjusted!R56C7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56" s="2"/>
      </tp>
      <tp>
        <v>465.04930000000002</v>
        <stp/>
        <stp>##V3_BDHV12</stp>
        <stp>RMS FP Equity</stp>
        <stp>SALES_REV_TURN</stp>
        <stp>FY 1992</stp>
        <stp>FY 1992</stp>
        <stp>[FA1_ididqeuc.xlsx]Income - Adjusted!R6C4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2"/>
      </tp>
      <tp>
        <v>1560.0320999999999</v>
        <stp/>
        <stp>##V3_BDHV12</stp>
        <stp>RMS FP Equity</stp>
        <stp>IS_GENERAL_AND_ADMINISTRATIVE</stp>
        <stp>FY 2017</stp>
        <stp>FY 2017</stp>
        <stp>[FA1_ididqeuc.xlsx]Income - Adjusted!R25C29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5" s="2"/>
      </tp>
      <tp t="s">
        <v>—</v>
        <stp/>
        <stp>##V3_BDHV12</stp>
        <stp>RMS FP Equity</stp>
        <stp>IS_GENERAL_AND_ADMINISTRATIVE</stp>
        <stp>FY 2007</stp>
        <stp>FY 2007</stp>
        <stp>[FA1_ididqeuc.xlsx]Income - Adjusted!R25C19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5" s="2"/>
      </tp>
      <tp t="s">
        <v>—</v>
        <stp/>
        <stp>##V3_BDHV12</stp>
        <stp>RMS FP Equity</stp>
        <stp>IS_DIL_EPS_CONT_OPS</stp>
        <stp>FY 1997</stp>
        <stp>FY 1997</stp>
        <stp>[FA1_ididqeuc.xlsx]Income - Adjusted!R110C9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I110" s="2"/>
      </tp>
      <tp>
        <v>153.0215</v>
        <stp/>
        <stp>##V3_BDHV12</stp>
        <stp>RMS FP Equity</stp>
        <stp>IS_DEPRECIATION_AND_AMORTIZATION</stp>
        <stp>FY 2013</stp>
        <stp>FY 2013</stp>
        <stp>[FA1_ididqeuc.xlsx]Income - Adjusted!R28C25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8" s="2"/>
      </tp>
      <tp t="s">
        <v>—</v>
        <stp/>
        <stp>##V3_BDHV12</stp>
        <stp>RMS FP Equity</stp>
        <stp>IS_DEPRECIATION_AND_AMORTIZATION</stp>
        <stp>FY 2003</stp>
        <stp>FY 2003</stp>
        <stp>[FA1_ididqeuc.xlsx]Income - Adjusted!R28C15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8" s="2"/>
      </tp>
      <tp>
        <v>307.32170000000002</v>
        <stp/>
        <stp>##V3_BDHV12</stp>
        <stp>RMS FP Equity</stp>
        <stp>NET_INCOME</stp>
        <stp>FY 2005</stp>
        <stp>FY 2005</stp>
        <stp>[FA1_ididqeuc.xlsx]Income - Adjusted!R82C17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82" s="2"/>
      </tp>
      <tp>
        <v>1079.5866000000001</v>
        <stp/>
        <stp>##V3_BDHV12</stp>
        <stp>RMS FP Equity</stp>
        <stp>NET_INCOME</stp>
        <stp>FY 2015</stp>
        <stp>FY 2015</stp>
        <stp>[FA1_ididqeuc.xlsx]Income - Adjusted!R82C27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82" s="2"/>
      </tp>
      <tp>
        <v>0</v>
        <stp/>
        <stp>##V3_BDHV12</stp>
        <stp>RMS FP Equity</stp>
        <stp>IS_TOT_CASH_PFD_DVD</stp>
        <stp>FY 2005</stp>
        <stp>FY 2005</stp>
        <stp>[FA1_ididqeuc.xlsx]Income - Adjusted!R84C17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84" s="2"/>
      </tp>
      <tp>
        <v>0</v>
        <stp/>
        <stp>##V3_BDHV12</stp>
        <stp>RMS FP Equity</stp>
        <stp>IS_TOT_CASH_PFD_DVD</stp>
        <stp>FY 2004</stp>
        <stp>FY 2004</stp>
        <stp>[FA1_ididqeuc.xlsx]Income - Adjusted!R84C16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84" s="2"/>
      </tp>
      <tp>
        <v>0</v>
        <stp/>
        <stp>##V3_BDHV12</stp>
        <stp>RMS FP Equity</stp>
        <stp>IS_TOT_CASH_PFD_DVD</stp>
        <stp>FY 2003</stp>
        <stp>FY 2003</stp>
        <stp>[FA1_ididqeuc.xlsx]Income - Adjusted!R84C15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84" s="2"/>
      </tp>
      <tp>
        <v>0</v>
        <stp/>
        <stp>##V3_BDHV12</stp>
        <stp>RMS FP Equity</stp>
        <stp>IS_TOT_CASH_PFD_DVD</stp>
        <stp>FY 2002</stp>
        <stp>FY 2002</stp>
        <stp>[FA1_ididqeuc.xlsx]Income - Adjusted!R84C14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84" s="2"/>
      </tp>
      <tp>
        <v>0</v>
        <stp/>
        <stp>##V3_BDHV12</stp>
        <stp>RMS FP Equity</stp>
        <stp>IS_TOT_CASH_PFD_DVD</stp>
        <stp>FY 2001</stp>
        <stp>FY 2001</stp>
        <stp>[FA1_ididqeuc.xlsx]Income - Adjusted!R84C13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84" s="2"/>
      </tp>
      <tp>
        <v>0</v>
        <stp/>
        <stp>##V3_BDHV12</stp>
        <stp>RMS FP Equity</stp>
        <stp>IS_TOT_CASH_PFD_DVD</stp>
        <stp>FY 2000</stp>
        <stp>FY 2000</stp>
        <stp>[FA1_ididqeuc.xlsx]Income - Adjusted!R84C12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84" s="2"/>
      </tp>
      <tp>
        <v>0</v>
        <stp/>
        <stp>##V3_BDHV12</stp>
        <stp>RMS FP Equity</stp>
        <stp>IS_TOT_CASH_PFD_DVD</stp>
        <stp>FY 1999</stp>
        <stp>FY 1999</stp>
        <stp>[FA1_ididqeuc.xlsx]Income - Adjusted!R84C11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84" s="2"/>
      </tp>
      <tp>
        <v>-1.2464</v>
        <stp/>
        <stp>##V3_BDHV12</stp>
        <stp>RMS FP Equity</stp>
        <stp>IS_FOREIGN_EXCH_LOSS</stp>
        <stp>FY 1994</stp>
        <stp>FY 1994</stp>
        <stp>[FA1_ididqeuc.xlsx]Income - Adjusted!R44C6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44" s="2"/>
      </tp>
      <tp>
        <v>0</v>
        <stp/>
        <stp>##V3_BDHV12</stp>
        <stp>RMS FP Equity</stp>
        <stp>IS_TOT_CASH_PFD_DVD</stp>
        <stp>FY 1998</stp>
        <stp>FY 1998</stp>
        <stp>[FA1_ididqeuc.xlsx]Income - Adjusted!R84C10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84" s="2"/>
      </tp>
      <tp>
        <v>0</v>
        <stp/>
        <stp>##V3_BDHV12</stp>
        <stp>RMS FP Equity</stp>
        <stp>IS_TOT_CASH_PFD_DVD</stp>
        <stp>FY 2007</stp>
        <stp>FY 2007</stp>
        <stp>[FA1_ididqeuc.xlsx]Income - Adjusted!R84C19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84" s="2"/>
      </tp>
      <tp>
        <v>0</v>
        <stp/>
        <stp>##V3_BDHV12</stp>
        <stp>RMS FP Equity</stp>
        <stp>IS_TOT_CASH_PFD_DVD</stp>
        <stp>FY 2006</stp>
        <stp>FY 2006</stp>
        <stp>[FA1_ididqeuc.xlsx]Income - Adjusted!R84C18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84" s="2"/>
      </tp>
      <tp>
        <v>5.8216000000000001</v>
        <stp/>
        <stp>##V3_BDHV12</stp>
        <stp>RMS FP Equity</stp>
        <stp>MIN_NONCONTROL_INTEREST_CREDITS</stp>
        <stp>FY 2001</stp>
        <stp>FY 2001</stp>
        <stp>[FA1_ididqeuc.xlsx]Income - Adjusted!R80C13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80" s="2"/>
      </tp>
      <tp>
        <v>12.6709</v>
        <stp/>
        <stp>##V3_BDHV12</stp>
        <stp>RMS FP Equity</stp>
        <stp>MIN_NONCONTROL_INTEREST_CREDITS</stp>
        <stp>FY 2011</stp>
        <stp>FY 2011</stp>
        <stp>[FA1_ididqeuc.xlsx]Income - Adjusted!R80C23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80" s="2"/>
      </tp>
      <tp>
        <v>302.83699999999999</v>
        <stp/>
        <stp>##V3_BDHV12</stp>
        <stp>RMS FP Equity</stp>
        <stp>IS_OPER_INC</stp>
        <stp>FY 2002</stp>
        <stp>FY 2002</stp>
        <stp>[FA1_ididqeuc.xlsx]Income - Adjusted!R34C14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34" s="2"/>
      </tp>
      <tp>
        <v>1433.8749</v>
        <stp/>
        <stp>##V3_BDHV12</stp>
        <stp>RMS FP Equity</stp>
        <stp>IS_OPER_INC</stp>
        <stp>FY 2012</stp>
        <stp>FY 2012</stp>
        <stp>[FA1_ididqeuc.xlsx]Income - Adjusted!R34C24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34" s="2"/>
      </tp>
      <tp>
        <v>402.74059999999997</v>
        <stp/>
        <stp>##V3_BDHV12</stp>
        <stp>RMS FP Equity</stp>
        <stp>NI_INCLUDING_MINORITY_INT_RATIO</stp>
        <stp>FY 2007</stp>
        <stp>FY 2007</stp>
        <stp>[FA1_ididqeuc.xlsx]Income - Adjusted!R78C19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78" s="2"/>
      </tp>
      <tp>
        <v>1384.8124</v>
        <stp/>
        <stp>##V3_BDHV12</stp>
        <stp>RMS FP Equity</stp>
        <stp>NI_INCLUDING_MINORITY_INT_RATIO</stp>
        <stp>FY 2017</stp>
        <stp>FY 2017</stp>
        <stp>[FA1_ididqeuc.xlsx]Income - Adjusted!R78C29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78" s="2"/>
      </tp>
      <tp>
        <v>503.79849999999999</v>
        <stp/>
        <stp>##V3_BDHV12</stp>
        <stp>RMS FP Equity</stp>
        <stp>SALES_REV_TURN</stp>
        <stp>FY 1993</stp>
        <stp>FY 1993</stp>
        <stp>[FA1_ididqeuc.xlsx]Income - Adjusted!R6C5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2"/>
      </tp>
      <tp t="s">
        <v>—</v>
        <stp/>
        <stp>##V3_BDHV12</stp>
        <stp>RMS FP Equity</stp>
        <stp>IS_SALES_AND_SERVICES_REVENUES</stp>
        <stp>FY 1991</stp>
        <stp>FY 1991</stp>
        <stp>[FA1_ididqeuc.xlsx]Income - Adjusted!R8C3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8" s="2"/>
      </tp>
      <tp>
        <v>1442.1977999999999</v>
        <stp/>
        <stp>##V3_BDHV12</stp>
        <stp>RMS FP Equity</stp>
        <stp>IS_GENERAL_AND_ADMINISTRATIVE</stp>
        <stp>FY 2016</stp>
        <stp>FY 2016</stp>
        <stp>[FA1_ididqeuc.xlsx]Income - Adjusted!R25C28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5" s="2"/>
      </tp>
      <tp t="s">
        <v>—</v>
        <stp/>
        <stp>##V3_BDHV12</stp>
        <stp>RMS FP Equity</stp>
        <stp>IS_GENERAL_AND_ADMINISTRATIVE</stp>
        <stp>FY 2006</stp>
        <stp>FY 2006</stp>
        <stp>[FA1_ididqeuc.xlsx]Income - Adjusted!R25C18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5" s="2"/>
      </tp>
      <tp>
        <v>572.69799999999998</v>
        <stp/>
        <stp>##V3_BDHV12</stp>
        <stp>RMS FP Equity</stp>
        <stp>IS_INC_BEF_XO_ITEM</stp>
        <stp>FY 2010</stp>
        <stp>FY 2010</stp>
        <stp>[FA1_ididqeuc.xlsx]Income - Adjusted!R73C22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73" s="2"/>
      </tp>
      <tp>
        <v>840.17539999999997</v>
        <stp/>
        <stp>##V3_BDHV12</stp>
        <stp>RMS FP Equity</stp>
        <stp>IS_INC_BEF_XO_ITEM</stp>
        <stp>FY 2011</stp>
        <stp>FY 2011</stp>
        <stp>[FA1_ididqeuc.xlsx]Income - Adjusted!R73C23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73" s="2"/>
      </tp>
      <tp>
        <v>434.20659999999998</v>
        <stp/>
        <stp>##V3_BDHV12</stp>
        <stp>RMS FP Equity</stp>
        <stp>IS_INC_BEF_XO_ITEM</stp>
        <stp>FY 2008</stp>
        <stp>FY 2008</stp>
        <stp>[FA1_ididqeuc.xlsx]Income - Adjusted!R73C20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73" s="2"/>
      </tp>
      <tp>
        <v>412.05599999999998</v>
        <stp/>
        <stp>##V3_BDHV12</stp>
        <stp>RMS FP Equity</stp>
        <stp>IS_INC_BEF_XO_ITEM</stp>
        <stp>FY 2009</stp>
        <stp>FY 2009</stp>
        <stp>[FA1_ididqeuc.xlsx]Income - Adjusted!R73C21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73" s="2"/>
      </tp>
      <tp>
        <v>1146.8818000000001</v>
        <stp/>
        <stp>##V3_BDHV12</stp>
        <stp>RMS FP Equity</stp>
        <stp>IS_INC_BEF_XO_ITEM</stp>
        <stp>FY 2014</stp>
        <stp>FY 2014</stp>
        <stp>[FA1_ididqeuc.xlsx]Income - Adjusted!R73C26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73" s="2"/>
      </tp>
      <tp>
        <v>1084.6926000000001</v>
        <stp/>
        <stp>##V3_BDHV12</stp>
        <stp>RMS FP Equity</stp>
        <stp>IS_INC_BEF_XO_ITEM</stp>
        <stp>FY 2015</stp>
        <stp>FY 2015</stp>
        <stp>[FA1_ididqeuc.xlsx]Income - Adjusted!R73C27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73" s="2"/>
      </tp>
      <tp>
        <v>965.04629999999997</v>
        <stp/>
        <stp>##V3_BDHV12</stp>
        <stp>RMS FP Equity</stp>
        <stp>IS_INC_BEF_XO_ITEM</stp>
        <stp>FY 2012</stp>
        <stp>FY 2012</stp>
        <stp>[FA1_ididqeuc.xlsx]Income - Adjusted!R73C24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73" s="2"/>
      </tp>
      <tp>
        <v>1061.3208</v>
        <stp/>
        <stp>##V3_BDHV12</stp>
        <stp>RMS FP Equity</stp>
        <stp>IS_INC_BEF_XO_ITEM</stp>
        <stp>FY 2013</stp>
        <stp>FY 2013</stp>
        <stp>[FA1_ididqeuc.xlsx]Income - Adjusted!R73C25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73" s="2"/>
      </tp>
      <tp>
        <v>1222.1602</v>
        <stp/>
        <stp>##V3_BDHV12</stp>
        <stp>RMS FP Equity</stp>
        <stp>IS_INC_BEF_XO_ITEM</stp>
        <stp>FY 2016</stp>
        <stp>FY 2016</stp>
        <stp>[FA1_ididqeuc.xlsx]Income - Adjusted!R73C28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73" s="2"/>
      </tp>
      <tp t="s">
        <v>—</v>
        <stp/>
        <stp>##V3_BDHV12</stp>
        <stp>RMS FP Equity</stp>
        <stp>IS_DIL_EPS_CONT_OPS</stp>
        <stp>FY 1996</stp>
        <stp>FY 1996</stp>
        <stp>[FA1_ididqeuc.xlsx]Income - Adjusted!R110C8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H110" s="2"/>
      </tp>
      <tp>
        <v>1384.8124</v>
        <stp/>
        <stp>##V3_BDHV12</stp>
        <stp>RMS FP Equity</stp>
        <stp>IS_INC_BEF_XO_ITEM</stp>
        <stp>FY 2017</stp>
        <stp>FY 2017</stp>
        <stp>[FA1_ididqeuc.xlsx]Income - Adjusted!R73C29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73" s="2"/>
      </tp>
      <tp>
        <v>130.2587</v>
        <stp/>
        <stp>##V3_BDHV12</stp>
        <stp>RMS FP Equity</stp>
        <stp>IS_DEPRECIATION_AND_AMORTIZATION</stp>
        <stp>FY 2012</stp>
        <stp>FY 2012</stp>
        <stp>[FA1_ididqeuc.xlsx]Income - Adjusted!R28C24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8" s="2"/>
      </tp>
      <tp t="s">
        <v>—</v>
        <stp/>
        <stp>##V3_BDHV12</stp>
        <stp>RMS FP Equity</stp>
        <stp>IS_DEPRECIATION_AND_AMORTIZATION</stp>
        <stp>FY 2002</stp>
        <stp>FY 2002</stp>
        <stp>[FA1_ididqeuc.xlsx]Income - Adjusted!R28C14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8" s="2"/>
      </tp>
      <tp>
        <v>266.13799999999998</v>
        <stp/>
        <stp>##V3_BDHV12</stp>
        <stp>RMS FP Equity</stp>
        <stp>NET_INCOME</stp>
        <stp>FY 2004</stp>
        <stp>FY 2004</stp>
        <stp>[FA1_ididqeuc.xlsx]Income - Adjusted!R82C16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82" s="2"/>
      </tp>
      <tp>
        <v>1140.9036000000001</v>
        <stp/>
        <stp>##V3_BDHV12</stp>
        <stp>RMS FP Equity</stp>
        <stp>NET_INCOME</stp>
        <stp>FY 2014</stp>
        <stp>FY 2014</stp>
        <stp>[FA1_ididqeuc.xlsx]Income - Adjusted!R82C26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82" s="2"/>
      </tp>
      <tp>
        <v>0.18060000000000001</v>
        <stp/>
        <stp>##V3_BDHV12</stp>
        <stp>RMS FP Equity</stp>
        <stp>IS_FOREIGN_EXCH_LOSS</stp>
        <stp>FY 1995</stp>
        <stp>FY 1995</stp>
        <stp>[FA1_ididqeuc.xlsx]Income - Adjusted!R44C7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44" s="2"/>
      </tp>
      <tp>
        <v>6.2789999999999999</v>
        <stp/>
        <stp>##V3_BDHV12</stp>
        <stp>RMS FP Equity</stp>
        <stp>MIN_NONCONTROL_INTEREST_CREDITS</stp>
        <stp>FY 2000</stp>
        <stp>FY 2000</stp>
        <stp>[FA1_ididqeuc.xlsx]Income - Adjusted!R80C12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80" s="2"/>
      </tp>
      <tp>
        <v>13.2661</v>
        <stp/>
        <stp>##V3_BDHV12</stp>
        <stp>RMS FP Equity</stp>
        <stp>MIN_NONCONTROL_INTEREST_CREDITS</stp>
        <stp>FY 2010</stp>
        <stp>FY 2010</stp>
        <stp>[FA1_ididqeuc.xlsx]Income - Adjusted!R80C22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80" s="2"/>
      </tp>
      <tp>
        <v>376.88240000000002</v>
        <stp/>
        <stp>##V3_BDHV12</stp>
        <stp>RMS FP Equity</stp>
        <stp>IS_OPER_INC</stp>
        <stp>FY 2003</stp>
        <stp>FY 2003</stp>
        <stp>[FA1_ididqeuc.xlsx]Income - Adjusted!R34C15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34" s="2"/>
      </tp>
      <tp>
        <v>1644.8480999999999</v>
        <stp/>
        <stp>##V3_BDHV12</stp>
        <stp>RMS FP Equity</stp>
        <stp>IS_OPER_INC</stp>
        <stp>FY 2013</stp>
        <stp>FY 2013</stp>
        <stp>[FA1_ididqeuc.xlsx]Income - Adjusted!R34C25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34" s="2"/>
      </tp>
      <tp>
        <v>342.74279999999999</v>
        <stp/>
        <stp>##V3_BDHV12</stp>
        <stp>RMS FP Equity</stp>
        <stp>NI_INCLUDING_MINORITY_INT_RATIO</stp>
        <stp>FY 2006</stp>
        <stp>FY 2006</stp>
        <stp>[FA1_ididqeuc.xlsx]Income - Adjusted!R78C18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78" s="2"/>
      </tp>
      <tp>
        <v>1222.1602</v>
        <stp/>
        <stp>##V3_BDHV12</stp>
        <stp>RMS FP Equity</stp>
        <stp>NI_INCLUDING_MINORITY_INT_RATIO</stp>
        <stp>FY 2016</stp>
        <stp>FY 2016</stp>
        <stp>[FA1_ididqeuc.xlsx]Income - Adjusted!R78C28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78" s="2"/>
      </tp>
      <tp t="s">
        <v>—</v>
        <stp/>
        <stp>##V3_BDHV12</stp>
        <stp>RMS FP Equity</stp>
        <stp>IS_SALES_AND_SERVICES_REVENUES</stp>
        <stp>FY 1992</stp>
        <stp>FY 1992</stp>
        <stp>[FA1_ididqeuc.xlsx]Income - Adjusted!R8C4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8" s="2"/>
      </tp>
      <tp t="s">
        <v>—</v>
        <stp/>
        <stp>##V3_BDHV12</stp>
        <stp>RMS FP Equity</stp>
        <stp>IS_SALES_AND_SERVICES_REVENUES</stp>
        <stp>FY 2006</stp>
        <stp>FY 2006</stp>
        <stp>[FA1_ididqeuc.xlsx]Income - Adjusted!R8C18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8" s="2"/>
      </tp>
      <tp>
        <v>5757.9441999999999</v>
        <stp/>
        <stp>##V3_BDHV12</stp>
        <stp>RMS FP Equity</stp>
        <stp>IS_SALES_AND_SERVICES_REVENUES</stp>
        <stp>FY 2016</stp>
        <stp>FY 2016</stp>
        <stp>[FA1_ididqeuc.xlsx]Income - Adjusted!R8C28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8" s="2"/>
      </tp>
      <tp>
        <v>143.73740000000001</v>
        <stp/>
        <stp>##V3_BDHV12</stp>
        <stp>RMS FP Equity</stp>
        <stp>PRETAX_INC</stp>
        <stp>FY 1995</stp>
        <stp>FY 1995</stp>
        <stp>[FA1_ididqeuc.xlsx]Income - Adjusted!R63C7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G63" s="2"/>
      </tp>
      <tp>
        <v>134.506</v>
        <stp/>
        <stp>##V3_BDHV12</stp>
        <stp>RMS FP Equity</stp>
        <stp>IS_DEPRECIATION_AND_AMORTIZATION</stp>
        <stp>FY 2011</stp>
        <stp>FY 2011</stp>
        <stp>[FA1_ididqeuc.xlsx]Income - Adjusted!R28C23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8" s="2"/>
      </tp>
      <tp t="s">
        <v>—</v>
        <stp/>
        <stp>##V3_BDHV12</stp>
        <stp>RMS FP Equity</stp>
        <stp>IS_DEPRECIATION_AND_AMORTIZATION</stp>
        <stp>FY 2001</stp>
        <stp>FY 2001</stp>
        <stp>[FA1_ididqeuc.xlsx]Income - Adjusted!R28C13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8" s="2"/>
      </tp>
      <tp>
        <v>126.73650000000001</v>
        <stp/>
        <stp>##V3_BDHV12</stp>
        <stp>RMS FP Equity</stp>
        <stp>NET_INCOME</stp>
        <stp>FY 1999</stp>
        <stp>FY 1999</stp>
        <stp>[FA1_ididqeuc.xlsx]Income - Adjusted!R82C11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82" s="2"/>
      </tp>
      <tp>
        <v>402.7133</v>
        <stp/>
        <stp>##V3_BDHV12</stp>
        <stp>RMS FP Equity</stp>
        <stp>NET_INCOME</stp>
        <stp>FY 2009</stp>
        <stp>FY 2009</stp>
        <stp>[FA1_ididqeuc.xlsx]Income - Adjusted!R82C21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82" s="2"/>
      </tp>
      <tp>
        <v>513.86289999999997</v>
        <stp/>
        <stp>##V3_BDHV12</stp>
        <stp>RMS FP Equity</stp>
        <stp>PRETAX_INC</stp>
        <stp>FY 2006</stp>
        <stp>FY 2006</stp>
        <stp>[FA1_ididqeuc.xlsx]Income - Adjusted!R63C18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63" s="2"/>
      </tp>
      <tp>
        <v>1824.9391000000001</v>
        <stp/>
        <stp>##V3_BDHV12</stp>
        <stp>RMS FP Equity</stp>
        <stp>PRETAX_INC</stp>
        <stp>FY 2016</stp>
        <stp>FY 2016</stp>
        <stp>[FA1_ididqeuc.xlsx]Income - Adjusted!R63C28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63" s="2"/>
      </tp>
      <tp>
        <v>488.70389999999998</v>
        <stp/>
        <stp>##V3_BDHV12</stp>
        <stp>RMS FP Equity</stp>
        <stp>GROSS_PROFIT</stp>
        <stp>FY 1996</stp>
        <stp>FY 1996</stp>
        <stp>[FA1_ididqeuc.xlsx]Income - Adjusted!R16C8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6" s="2"/>
      </tp>
      <tp>
        <v>4.4165999999999999</v>
        <stp/>
        <stp>##V3_BDHV12</stp>
        <stp>RMS FP Equity</stp>
        <stp>MIN_NONCONTROL_INTEREST_CREDITS</stp>
        <stp>FY 2003</stp>
        <stp>FY 2003</stp>
        <stp>[FA1_ididqeuc.xlsx]Income - Adjusted!R80C15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80" s="2"/>
      </tp>
      <tp>
        <v>11.5563</v>
        <stp/>
        <stp>##V3_BDHV12</stp>
        <stp>RMS FP Equity</stp>
        <stp>MIN_NONCONTROL_INTEREST_CREDITS</stp>
        <stp>FY 2013</stp>
        <stp>FY 2013</stp>
        <stp>[FA1_ididqeuc.xlsx]Income - Adjusted!R80C25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80" s="2"/>
      </tp>
      <tp>
        <v>265.84219999999999</v>
        <stp/>
        <stp>##V3_BDHV12</stp>
        <stp>RMS FP Equity</stp>
        <stp>IS_OPER_INC</stp>
        <stp>FY 2000</stp>
        <stp>FY 2000</stp>
        <stp>[FA1_ididqeuc.xlsx]Income - Adjusted!R34C12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34" s="2"/>
      </tp>
      <tp>
        <v>891.48270000000002</v>
        <stp/>
        <stp>##V3_BDHV12</stp>
        <stp>RMS FP Equity</stp>
        <stp>IS_OPER_INC</stp>
        <stp>FY 2010</stp>
        <stp>FY 2010</stp>
        <stp>[FA1_ididqeuc.xlsx]Income - Adjusted!R34C22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34" s="2"/>
      </tp>
      <tp>
        <v>425.97899999999998</v>
        <stp/>
        <stp>##V3_BDHV12</stp>
        <stp>RMS FP Equity</stp>
        <stp>SALES_REV_TURN</stp>
        <stp>FY 1991</stp>
        <stp>FY 1991</stp>
        <stp>[FA1_ididqeuc.xlsx]Income - Adjusted!R6C3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2"/>
      </tp>
      <tp t="s">
        <v>—</v>
        <stp/>
        <stp>##V3_BDHV12</stp>
        <stp>RMS FP Equity</stp>
        <stp>IS_SALES_AND_SERVICES_REVENUES</stp>
        <stp>FY 1993</stp>
        <stp>FY 1993</stp>
        <stp>[FA1_ididqeuc.xlsx]Income - Adjusted!R8C5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8" s="2"/>
      </tp>
      <tp t="s">
        <v>—</v>
        <stp/>
        <stp>##V3_BDHV12</stp>
        <stp>RMS FP Equity</stp>
        <stp>IS_SALES_AND_SERVICES_REVENUES</stp>
        <stp>FY 2007</stp>
        <stp>FY 2007</stp>
        <stp>[FA1_ididqeuc.xlsx]Income - Adjusted!R8C19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8" s="2"/>
      </tp>
      <tp>
        <v>6269.0493999999999</v>
        <stp/>
        <stp>##V3_BDHV12</stp>
        <stp>RMS FP Equity</stp>
        <stp>IS_SALES_AND_SERVICES_REVENUES</stp>
        <stp>FY 2017</stp>
        <stp>FY 2017</stp>
        <stp>[FA1_ididqeuc.xlsx]Income - Adjusted!R8C29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8" s="2"/>
      </tp>
      <tp>
        <v>105.65689999999999</v>
        <stp/>
        <stp>##V3_BDHV12</stp>
        <stp>RMS FP Equity</stp>
        <stp>PRETAX_INC</stp>
        <stp>FY 1994</stp>
        <stp>FY 1994</stp>
        <stp>[FA1_ididqeuc.xlsx]Income - Adjusted!R63C6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F63" s="2"/>
      </tp>
      <tp>
        <v>112.0986</v>
        <stp/>
        <stp>##V3_BDHV12</stp>
        <stp>RMS FP Equity</stp>
        <stp>IS_DEPRECIATION_AND_AMORTIZATION</stp>
        <stp>FY 2010</stp>
        <stp>FY 2010</stp>
        <stp>[FA1_ididqeuc.xlsx]Income - Adjusted!R28C22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8" s="2"/>
      </tp>
      <tp t="s">
        <v>—</v>
        <stp/>
        <stp>##V3_BDHV12</stp>
        <stp>RMS FP Equity</stp>
        <stp>IS_DEPRECIATION_AND_AMORTIZATION</stp>
        <stp>FY 2000</stp>
        <stp>FY 2000</stp>
        <stp>[FA1_ididqeuc.xlsx]Income - Adjusted!R28C12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8" s="2"/>
      </tp>
      <tp>
        <v>99.352699999999999</v>
        <stp/>
        <stp>##V3_BDHV12</stp>
        <stp>RMS FP Equity</stp>
        <stp>NET_INCOME</stp>
        <stp>FY 1998</stp>
        <stp>FY 1998</stp>
        <stp>[FA1_ididqeuc.xlsx]Income - Adjusted!R82C10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82" s="2"/>
      </tp>
      <tp>
        <v>426.85210000000001</v>
        <stp/>
        <stp>##V3_BDHV12</stp>
        <stp>RMS FP Equity</stp>
        <stp>NET_INCOME</stp>
        <stp>FY 2008</stp>
        <stp>FY 2008</stp>
        <stp>[FA1_ididqeuc.xlsx]Income - Adjusted!R82C20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82" s="2"/>
      </tp>
      <tp>
        <v>599.8614</v>
        <stp/>
        <stp>##V3_BDHV12</stp>
        <stp>RMS FP Equity</stp>
        <stp>PRETAX_INC</stp>
        <stp>FY 2007</stp>
        <stp>FY 2007</stp>
        <stp>[FA1_ididqeuc.xlsx]Income - Adjusted!R63C19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63" s="2"/>
      </tp>
      <tp>
        <v>2134.9472999999998</v>
        <stp/>
        <stp>##V3_BDHV12</stp>
        <stp>RMS FP Equity</stp>
        <stp>PRETAX_INC</stp>
        <stp>FY 2017</stp>
        <stp>FY 2017</stp>
        <stp>[FA1_ididqeuc.xlsx]Income - Adjusted!R63C29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63" s="2"/>
      </tp>
      <tp>
        <v>498.01519999999999</v>
        <stp/>
        <stp>##V3_BDHV12</stp>
        <stp>RMS FP Equity</stp>
        <stp>GROSS_PROFIT</stp>
        <stp>FY 1997</stp>
        <stp>FY 1997</stp>
        <stp>[FA1_ididqeuc.xlsx]Income - Adjusted!R16C9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6" s="2"/>
      </tp>
      <tp>
        <v>4.6342999999999996</v>
        <stp/>
        <stp>##V3_BDHV12</stp>
        <stp>RMS FP Equity</stp>
        <stp>MIN_NONCONTROL_INTEREST_CREDITS</stp>
        <stp>FY 2002</stp>
        <stp>FY 2002</stp>
        <stp>[FA1_ididqeuc.xlsx]Income - Adjusted!R80C14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80" s="2"/>
      </tp>
      <tp>
        <v>13.6302</v>
        <stp/>
        <stp>##V3_BDHV12</stp>
        <stp>RMS FP Equity</stp>
        <stp>MIN_NONCONTROL_INTEREST_CREDITS</stp>
        <stp>FY 2012</stp>
        <stp>FY 2012</stp>
        <stp>[FA1_ididqeuc.xlsx]Income - Adjusted!R80C24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80" s="2"/>
      </tp>
      <tp>
        <v>275.04820000000001</v>
        <stp/>
        <stp>##V3_BDHV12</stp>
        <stp>RMS FP Equity</stp>
        <stp>IS_OPER_INC</stp>
        <stp>FY 2001</stp>
        <stp>FY 2001</stp>
        <stp>[FA1_ididqeuc.xlsx]Income - Adjusted!R34C13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34" s="2"/>
      </tp>
      <tp>
        <v>1235.4784</v>
        <stp/>
        <stp>##V3_BDHV12</stp>
        <stp>RMS FP Equity</stp>
        <stp>IS_OPER_INC</stp>
        <stp>FY 2011</stp>
        <stp>FY 2011</stp>
        <stp>[FA1_ididqeuc.xlsx]Income - Adjusted!R34C23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34" s="2"/>
      </tp>
      <tp t="s">
        <v>—</v>
        <stp/>
        <stp>##V3_BDHV12</stp>
        <stp>RMS FP Equity</stp>
        <stp>IS_SALES_AND_SERVICES_REVENUES</stp>
        <stp>FY 1994</stp>
        <stp>FY 1994</stp>
        <stp>[FA1_ididqeuc.xlsx]Income - Adjusted!R8C6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8" s="2"/>
      </tp>
      <tp>
        <v>68.467699999999994</v>
        <stp/>
        <stp>##V3_BDHV12</stp>
        <stp>RMS FP Equity</stp>
        <stp>PRETAX_INC</stp>
        <stp>FY 1993</stp>
        <stp>FY 1993</stp>
        <stp>[FA1_ididqeuc.xlsx]Income - Adjusted!R63C5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E63" s="2"/>
      </tp>
      <tp>
        <v>98.586699999999993</v>
        <stp/>
        <stp>##V3_BDHV12</stp>
        <stp>RMS FP Equity</stp>
        <stp>IS_DEPRECIATION_AND_AMORTIZATION</stp>
        <stp>FY 2009</stp>
        <stp>FY 2009</stp>
        <stp>[FA1_ididqeuc.xlsx]Income - Adjusted!R28C21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8" s="2"/>
      </tp>
      <tp t="s">
        <v>—</v>
        <stp/>
        <stp>##V3_BDHV12</stp>
        <stp>RMS FP Equity</stp>
        <stp>IS_DEPRECIATION_AND_AMORTIZATION</stp>
        <stp>FY 1999</stp>
        <stp>FY 1999</stp>
        <stp>[FA1_ididqeuc.xlsx]Income - Adjusted!R28C11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8" s="2"/>
      </tp>
      <tp>
        <v>180.64869999999999</v>
        <stp/>
        <stp>##V3_BDHV12</stp>
        <stp>RMS FP Equity</stp>
        <stp>NET_INCOME</stp>
        <stp>FY 2001</stp>
        <stp>FY 2001</stp>
        <stp>[FA1_ididqeuc.xlsx]Income - Adjusted!R82C13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82" s="2"/>
      </tp>
      <tp>
        <v>827.50459999999998</v>
        <stp/>
        <stp>##V3_BDHV12</stp>
        <stp>RMS FP Equity</stp>
        <stp>NET_INCOME</stp>
        <stp>FY 2011</stp>
        <stp>FY 2011</stp>
        <stp>[FA1_ididqeuc.xlsx]Income - Adjusted!R82C23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82" s="2"/>
      </tp>
      <tp>
        <v>5.9722</v>
        <stp/>
        <stp>##V3_BDHV12</stp>
        <stp>RMS FP Equity</stp>
        <stp>MIN_NONCONTROL_INTEREST_CREDITS</stp>
        <stp>FY 2005</stp>
        <stp>FY 2005</stp>
        <stp>[FA1_ididqeuc.xlsx]Income - Adjusted!R80C17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80" s="2"/>
      </tp>
      <tp>
        <v>5.1059999999999999</v>
        <stp/>
        <stp>##V3_BDHV12</stp>
        <stp>RMS FP Equity</stp>
        <stp>MIN_NONCONTROL_INTEREST_CREDITS</stp>
        <stp>FY 2015</stp>
        <stp>FY 2015</stp>
        <stp>[FA1_ididqeuc.xlsx]Income - Adjusted!R80C27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80" s="2"/>
      </tp>
      <tp>
        <v>177.3064</v>
        <stp/>
        <stp>##V3_BDHV12</stp>
        <stp>RMS FP Equity</stp>
        <stp>IS_OPER_INC</stp>
        <stp>FY 1998</stp>
        <stp>FY 1998</stp>
        <stp>[FA1_ididqeuc.xlsx]Income - Adjusted!R34C10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34" s="2"/>
      </tp>
      <tp>
        <v>705.43859999999995</v>
        <stp/>
        <stp>##V3_BDHV12</stp>
        <stp>RMS FP Equity</stp>
        <stp>IS_OPER_INC</stp>
        <stp>FY 2008</stp>
        <stp>FY 2008</stp>
        <stp>[FA1_ididqeuc.xlsx]Income - Adjusted!R34C20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34" s="2"/>
      </tp>
      <tp t="s">
        <v>—</v>
        <stp/>
        <stp>##V3_BDHV12</stp>
        <stp>RMS FP Equity</stp>
        <stp>IS_SALES_AND_SERVICES_REVENUES</stp>
        <stp>FY 1995</stp>
        <stp>FY 1995</stp>
        <stp>[FA1_ididqeuc.xlsx]Income - Adjusted!R8C7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8" s="2"/>
      </tp>
      <tp>
        <v>57.352499999999999</v>
        <stp/>
        <stp>##V3_BDHV12</stp>
        <stp>RMS FP Equity</stp>
        <stp>PRETAX_INC</stp>
        <stp>FY 1992</stp>
        <stp>FY 1992</stp>
        <stp>[FA1_ididqeuc.xlsx]Income - Adjusted!R63C4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D63" s="2"/>
      </tp>
      <tp t="s">
        <v>—</v>
        <stp/>
        <stp>##V3_BDHV12</stp>
        <stp>RMS FP Equity</stp>
        <stp>OTHER_ADJUSTMENTS</stp>
        <stp>FY 1991</stp>
        <stp>FY 1991</stp>
        <stp>[FA1_ididqeuc.xlsx]Income - Adjusted!R85C3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85" s="2"/>
      </tp>
      <tp t="s">
        <v>—</v>
        <stp/>
        <stp>##V3_BDHV12</stp>
        <stp>RMS FP Equity</stp>
        <stp>OTHER_ADJUSTMENTS</stp>
        <stp>FY 1992</stp>
        <stp>FY 1992</stp>
        <stp>[FA1_ididqeuc.xlsx]Income - Adjusted!R85C4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85" s="2"/>
      </tp>
      <tp t="s">
        <v>—</v>
        <stp/>
        <stp>##V3_BDHV12</stp>
        <stp>RMS FP Equity</stp>
        <stp>OTHER_ADJUSTMENTS</stp>
        <stp>FY 1993</stp>
        <stp>FY 1993</stp>
        <stp>[FA1_ididqeuc.xlsx]Income - Adjusted!R85C5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85" s="2"/>
      </tp>
      <tp t="s">
        <v>—</v>
        <stp/>
        <stp>##V3_BDHV12</stp>
        <stp>RMS FP Equity</stp>
        <stp>OTHER_ADJUSTMENTS</stp>
        <stp>FY 1994</stp>
        <stp>FY 1994</stp>
        <stp>[FA1_ididqeuc.xlsx]Income - Adjusted!R85C6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85" s="2"/>
      </tp>
      <tp t="s">
        <v>—</v>
        <stp/>
        <stp>##V3_BDHV12</stp>
        <stp>RMS FP Equity</stp>
        <stp>IS_DEPRECIATION_AND_AMORTIZATION</stp>
        <stp>FY 2008</stp>
        <stp>FY 2008</stp>
        <stp>[FA1_ididqeuc.xlsx]Income - Adjusted!R28C20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8" s="2"/>
      </tp>
      <tp t="s">
        <v>—</v>
        <stp/>
        <stp>##V3_BDHV12</stp>
        <stp>RMS FP Equity</stp>
        <stp>IS_DEPRECIATION_AND_AMORTIZATION</stp>
        <stp>FY 1998</stp>
        <stp>FY 1998</stp>
        <stp>[FA1_ididqeuc.xlsx]Income - Adjusted!R28C10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8" s="2"/>
      </tp>
      <tp t="s">
        <v>—</v>
        <stp/>
        <stp>##V3_BDHV12</stp>
        <stp>RMS FP Equity</stp>
        <stp>OTHER_ADJUSTMENTS</stp>
        <stp>FY 1995</stp>
        <stp>FY 1995</stp>
        <stp>[FA1_ididqeuc.xlsx]Income - Adjusted!R85C7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85" s="2"/>
      </tp>
      <tp t="s">
        <v>—</v>
        <stp/>
        <stp>##V3_BDHV12</stp>
        <stp>RMS FP Equity</stp>
        <stp>OTHER_ADJUSTMENTS</stp>
        <stp>FY 1996</stp>
        <stp>FY 1996</stp>
        <stp>[FA1_ididqeuc.xlsx]Income - Adjusted!R85C8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85" s="2"/>
      </tp>
      <tp t="s">
        <v>—</v>
        <stp/>
        <stp>##V3_BDHV12</stp>
        <stp>RMS FP Equity</stp>
        <stp>OTHER_ADJUSTMENTS</stp>
        <stp>FY 1997</stp>
        <stp>FY 1997</stp>
        <stp>[FA1_ididqeuc.xlsx]Income - Adjusted!R85C9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85" s="2"/>
      </tp>
      <tp>
        <v>161.6199</v>
        <stp/>
        <stp>##V3_BDHV12</stp>
        <stp>RMS FP Equity</stp>
        <stp>NET_INCOME</stp>
        <stp>FY 2000</stp>
        <stp>FY 2000</stp>
        <stp>[FA1_ididqeuc.xlsx]Income - Adjusted!R82C12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82" s="2"/>
      </tp>
      <tp>
        <v>559.43190000000004</v>
        <stp/>
        <stp>##V3_BDHV12</stp>
        <stp>RMS FP Equity</stp>
        <stp>NET_INCOME</stp>
        <stp>FY 2010</stp>
        <stp>FY 2010</stp>
        <stp>[FA1_ididqeuc.xlsx]Income - Adjusted!R82C22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82" s="2"/>
      </tp>
      <tp>
        <v>-0.4446</v>
        <stp/>
        <stp>##V3_BDHV12</stp>
        <stp>RMS FP Equity</stp>
        <stp>IS_FOREIGN_EXCH_LOSS</stp>
        <stp>FY 1991</stp>
        <stp>FY 1991</stp>
        <stp>[FA1_ididqeuc.xlsx]Income - Adjusted!R44C3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44" s="2"/>
      </tp>
      <tp>
        <v>5.5990000000000002</v>
        <stp/>
        <stp>##V3_BDHV12</stp>
        <stp>RMS FP Equity</stp>
        <stp>MIN_NONCONTROL_INTEREST_CREDITS</stp>
        <stp>FY 2004</stp>
        <stp>FY 2004</stp>
        <stp>[FA1_ididqeuc.xlsx]Income - Adjusted!R80C16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80" s="2"/>
      </tp>
      <tp>
        <v>5.9782000000000002</v>
        <stp/>
        <stp>##V3_BDHV12</stp>
        <stp>RMS FP Equity</stp>
        <stp>MIN_NONCONTROL_INTEREST_CREDITS</stp>
        <stp>FY 2014</stp>
        <stp>FY 2014</stp>
        <stp>[FA1_ididqeuc.xlsx]Income - Adjusted!R80C26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80" s="2"/>
      </tp>
      <tp>
        <v>204.517</v>
        <stp/>
        <stp>##V3_BDHV12</stp>
        <stp>RMS FP Equity</stp>
        <stp>IS_OPER_INC</stp>
        <stp>FY 1999</stp>
        <stp>FY 1999</stp>
        <stp>[FA1_ididqeuc.xlsx]Income - Adjusted!R34C11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34" s="2"/>
      </tp>
      <tp>
        <v>649.38919999999996</v>
        <stp/>
        <stp>##V3_BDHV12</stp>
        <stp>RMS FP Equity</stp>
        <stp>IS_OPER_INC</stp>
        <stp>FY 2009</stp>
        <stp>FY 2009</stp>
        <stp>[FA1_ididqeuc.xlsx]Income - Adjusted!R34C21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34" s="2"/>
      </tp>
      <tp t="s">
        <v>—</v>
        <stp/>
        <stp>##V3_BDHV12</stp>
        <stp>RMS FP Equity</stp>
        <stp>IS_SALES_AND_SERVICES_REVENUES</stp>
        <stp>FY 1996</stp>
        <stp>FY 1996</stp>
        <stp>[FA1_ididqeuc.xlsx]Income - Adjusted!R8C8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8" s="2"/>
      </tp>
      <tp t="s">
        <v>—</v>
        <stp/>
        <stp>##V3_BDHV12</stp>
        <stp>RMS FP Equity</stp>
        <stp>IS_SALES_AND_SERVICES_REVENUES</stp>
        <stp>FY 2002</stp>
        <stp>FY 2002</stp>
        <stp>[FA1_ididqeuc.xlsx]Income - Adjusted!R8C14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8" s="2"/>
      </tp>
      <tp>
        <v>4480.1035000000002</v>
        <stp/>
        <stp>##V3_BDHV12</stp>
        <stp>RMS FP Equity</stp>
        <stp>IS_SALES_AND_SERVICES_REVENUES</stp>
        <stp>FY 2012</stp>
        <stp>FY 2012</stp>
        <stp>[FA1_ididqeuc.xlsx]Income - Adjusted!R8C24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8" s="2"/>
      </tp>
      <tp>
        <v>1110.4407000000001</v>
        <stp/>
        <stp>##V3_BDHV12</stp>
        <stp>RMS FP Equity</stp>
        <stp>IS_GENERAL_AND_ADMINISTRATIVE</stp>
        <stp>FY 2011</stp>
        <stp>FY 2011</stp>
        <stp>[FA1_ididqeuc.xlsx]Income - Adjusted!R25C23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25" s="2"/>
      </tp>
      <tp t="s">
        <v>—</v>
        <stp/>
        <stp>##V3_BDHV12</stp>
        <stp>RMS FP Equity</stp>
        <stp>IS_GENERAL_AND_ADMINISTRATIVE</stp>
        <stp>FY 2001</stp>
        <stp>FY 2001</stp>
        <stp>[FA1_ididqeuc.xlsx]Income - Adjusted!R25C13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25" s="2"/>
      </tp>
      <tp t="s">
        <v>—</v>
        <stp/>
        <stp>##V3_BDHV12</stp>
        <stp>RMS FP Equity</stp>
        <stp>IS_DIL_EPS_CONT_OPS</stp>
        <stp>FY 1991</stp>
        <stp>FY 1991</stp>
        <stp>[FA1_ididqeuc.xlsx]Income - Adjusted!R110C3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C110" s="2"/>
      </tp>
      <tp>
        <v>0</v>
        <stp/>
        <stp>##V3_BDHV12</stp>
        <stp>RMS FP Equity</stp>
        <stp>IS_TOT_CASH_PFD_DVD</stp>
        <stp>FY 1992</stp>
        <stp>FY 1992</stp>
        <stp>[FA1_ididqeuc.xlsx]Income - Adjusted!R84C4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84" s="2"/>
      </tp>
      <tp>
        <v>0</v>
        <stp/>
        <stp>##V3_BDHV12</stp>
        <stp>RMS FP Equity</stp>
        <stp>IS_TOT_CASH_PFD_DVD</stp>
        <stp>FY 1993</stp>
        <stp>FY 1993</stp>
        <stp>[FA1_ididqeuc.xlsx]Income - Adjusted!R84C5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84" s="2"/>
      </tp>
      <tp>
        <v>0</v>
        <stp/>
        <stp>##V3_BDHV12</stp>
        <stp>RMS FP Equity</stp>
        <stp>IS_TOT_CASH_PFD_DVD</stp>
        <stp>FY 1994</stp>
        <stp>FY 1994</stp>
        <stp>[FA1_ididqeuc.xlsx]Income - Adjusted!R84C6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84" s="2"/>
      </tp>
      <tp>
        <v>0</v>
        <stp/>
        <stp>##V3_BDHV12</stp>
        <stp>RMS FP Equity</stp>
        <stp>IS_TOT_CASH_PFD_DVD</stp>
        <stp>FY 1995</stp>
        <stp>FY 1995</stp>
        <stp>[FA1_ididqeuc.xlsx]Income - Adjusted!R84C7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84" s="2"/>
      </tp>
      <tp>
        <v>0</v>
        <stp/>
        <stp>##V3_BDHV12</stp>
        <stp>RMS FP Equity</stp>
        <stp>IS_TOT_CASH_PFD_DVD</stp>
        <stp>FY 1991</stp>
        <stp>FY 1991</stp>
        <stp>[FA1_ididqeuc.xlsx]Income - Adjusted!R84C3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84" s="2"/>
      </tp>
      <tp>
        <v>0</v>
        <stp/>
        <stp>##V3_BDHV12</stp>
        <stp>RMS FP Equity</stp>
        <stp>IS_TOT_CASH_PFD_DVD</stp>
        <stp>FY 1996</stp>
        <stp>FY 1996</stp>
        <stp>[FA1_ididqeuc.xlsx]Income - Adjusted!R84C8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84" s="2"/>
      </tp>
      <tp>
        <v>0</v>
        <stp/>
        <stp>##V3_BDHV12</stp>
        <stp>RMS FP Equity</stp>
        <stp>IS_TOT_CASH_PFD_DVD</stp>
        <stp>FY 1997</stp>
        <stp>FY 1997</stp>
        <stp>[FA1_ididqeuc.xlsx]Income - Adjusted!R84C9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84" s="2"/>
      </tp>
      <tp t="s">
        <v>—</v>
        <stp/>
        <stp>##V3_BDHV12</stp>
        <stp>RMS FP Equity</stp>
        <stp>IS_PROVISION_DOUBTFUL_ACCOUNTS</stp>
        <stp>FY 1998</stp>
        <stp>FY 1998</stp>
        <stp>[FA1_ididqeuc.xlsx]Income - Adjusted!R30C10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30" s="2"/>
      </tp>
      <tp t="s">
        <v>—</v>
        <stp/>
        <stp>##V3_BDHV12</stp>
        <stp>RMS FP Equity</stp>
        <stp>IS_PROVISION_DOUBTFUL_ACCOUNTS</stp>
        <stp>FY 2008</stp>
        <stp>FY 2008</stp>
        <stp>[FA1_ididqeuc.xlsx]Income - Adjusted!R30C20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30" s="2"/>
      </tp>
      <tp>
        <v>310.30860000000001</v>
        <stp/>
        <stp>##V3_BDHV12</stp>
        <stp>RMS FP Equity</stp>
        <stp>PRETAX_INC</stp>
        <stp>FY 2002</stp>
        <stp>FY 2002</stp>
        <stp>[FA1_ididqeuc.xlsx]Income - Adjusted!R63C14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63" s="2"/>
      </tp>
      <tp>
        <v>1414.4582</v>
        <stp/>
        <stp>##V3_BDHV12</stp>
        <stp>RMS FP Equity</stp>
        <stp>PRETAX_INC</stp>
        <stp>FY 2012</stp>
        <stp>FY 2012</stp>
        <stp>[FA1_ididqeuc.xlsx]Income - Adjusted!R63C24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63" s="2"/>
      </tp>
      <tp>
        <v>254.80099999999999</v>
        <stp/>
        <stp>##V3_BDHV12</stp>
        <stp>RMS FP Equity</stp>
        <stp>GROSS_PROFIT</stp>
        <stp>FY 1992</stp>
        <stp>FY 1992</stp>
        <stp>[FA1_ididqeuc.xlsx]Income - Adjusted!R16C4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6" s="2"/>
      </tp>
      <tp>
        <v>7.9505999999999997</v>
        <stp/>
        <stp>##V3_BDHV12</stp>
        <stp>RMS FP Equity</stp>
        <stp>MIN_NONCONTROL_INTEREST_CREDITS</stp>
        <stp>FY 2007</stp>
        <stp>FY 2007</stp>
        <stp>[FA1_ididqeuc.xlsx]Income - Adjusted!R80C19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80" s="2"/>
      </tp>
      <tp>
        <v>4.8578000000000001</v>
        <stp/>
        <stp>##V3_BDHV12</stp>
        <stp>RMS FP Equity</stp>
        <stp>MIN_NONCONTROL_INTEREST_CREDITS</stp>
        <stp>FY 2017</stp>
        <stp>FY 2017</stp>
        <stp>[FA1_ididqeuc.xlsx]Income - Adjusted!R80C29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80" s="2"/>
      </tp>
      <tp>
        <v>186.47030000000001</v>
        <stp/>
        <stp>##V3_BDHV12</stp>
        <stp>RMS FP Equity</stp>
        <stp>NI_INCLUDING_MINORITY_INT_RATIO</stp>
        <stp>FY 2001</stp>
        <stp>FY 2001</stp>
        <stp>[FA1_ididqeuc.xlsx]Income - Adjusted!R78C13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78" s="2"/>
      </tp>
      <tp>
        <v>840.17539999999997</v>
        <stp/>
        <stp>##V3_BDHV12</stp>
        <stp>RMS FP Equity</stp>
        <stp>NI_INCLUDING_MINORITY_INT_RATIO</stp>
        <stp>FY 2011</stp>
        <stp>FY 2011</stp>
        <stp>[FA1_ididqeuc.xlsx]Income - Adjusted!R78C23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78" s="2"/>
      </tp>
      <tp t="s">
        <v>—</v>
        <stp/>
        <stp>##V3_BDHV12</stp>
        <stp>RMS FP Equity</stp>
        <stp>IS_SALES_AND_SERVICES_REVENUES</stp>
        <stp>FY 1997</stp>
        <stp>FY 1997</stp>
        <stp>[FA1_ididqeuc.xlsx]Income - Adjusted!R8C9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8" s="2"/>
      </tp>
      <tp t="s">
        <v>—</v>
        <stp/>
        <stp>##V3_BDHV12</stp>
        <stp>RMS FP Equity</stp>
        <stp>IS_SALES_AND_SERVICES_REVENUES</stp>
        <stp>FY 2003</stp>
        <stp>FY 2003</stp>
        <stp>[FA1_ididqeuc.xlsx]Income - Adjusted!R8C15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8" s="2"/>
      </tp>
      <tp>
        <v>4987.5438000000004</v>
        <stp/>
        <stp>##V3_BDHV12</stp>
        <stp>RMS FP Equity</stp>
        <stp>IS_SALES_AND_SERVICES_REVENUES</stp>
        <stp>FY 2013</stp>
        <stp>FY 2013</stp>
        <stp>[FA1_ididqeuc.xlsx]Income - Adjusted!R8C25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8" s="2"/>
      </tp>
      <tp>
        <v>896.52380000000005</v>
        <stp/>
        <stp>##V3_BDHV12</stp>
        <stp>RMS FP Equity</stp>
        <stp>IS_GENERAL_AND_ADMINISTRATIVE</stp>
        <stp>FY 2010</stp>
        <stp>FY 2010</stp>
        <stp>[FA1_ididqeuc.xlsx]Income - Adjusted!R25C22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25" s="2"/>
      </tp>
      <tp t="s">
        <v>—</v>
        <stp/>
        <stp>##V3_BDHV12</stp>
        <stp>RMS FP Equity</stp>
        <stp>IS_GENERAL_AND_ADMINISTRATIVE</stp>
        <stp>FY 2000</stp>
        <stp>FY 2000</stp>
        <stp>[FA1_ididqeuc.xlsx]Income - Adjusted!R25C12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25" s="2"/>
      </tp>
      <tp t="s">
        <v>—</v>
        <stp/>
        <stp>##V3_BDHV12</stp>
        <stp>RMS FP Equity</stp>
        <stp>IS_PROVISION_DOUBTFUL_ACCOUNTS</stp>
        <stp>FY 1999</stp>
        <stp>FY 1999</stp>
        <stp>[FA1_ididqeuc.xlsx]Income - Adjusted!R30C11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30" s="2"/>
      </tp>
      <tp>
        <v>14.3627</v>
        <stp/>
        <stp>##V3_BDHV12</stp>
        <stp>RMS FP Equity</stp>
        <stp>IS_PROVISION_DOUBTFUL_ACCOUNTS</stp>
        <stp>FY 2009</stp>
        <stp>FY 2009</stp>
        <stp>[FA1_ididqeuc.xlsx]Income - Adjusted!R30C21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30" s="2"/>
      </tp>
      <tp>
        <v>384.35660000000001</v>
        <stp/>
        <stp>##V3_BDHV12</stp>
        <stp>RMS FP Equity</stp>
        <stp>PRETAX_INC</stp>
        <stp>FY 2003</stp>
        <stp>FY 2003</stp>
        <stp>[FA1_ididqeuc.xlsx]Income - Adjusted!R63C15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63" s="2"/>
      </tp>
      <tp>
        <v>1586.8008</v>
        <stp/>
        <stp>##V3_BDHV12</stp>
        <stp>RMS FP Equity</stp>
        <stp>PRETAX_INC</stp>
        <stp>FY 2013</stp>
        <stp>FY 2013</stp>
        <stp>[FA1_ididqeuc.xlsx]Income - Adjusted!R63C25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63" s="2"/>
      </tp>
      <tp>
        <v>276.98050000000001</v>
        <stp/>
        <stp>##V3_BDHV12</stp>
        <stp>RMS FP Equity</stp>
        <stp>GROSS_PROFIT</stp>
        <stp>FY 1993</stp>
        <stp>FY 1993</stp>
        <stp>[FA1_ididqeuc.xlsx]Income - Adjusted!R16C5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6" s="2"/>
      </tp>
      <tp>
        <v>5.5281000000000002</v>
        <stp/>
        <stp>##V3_BDHV12</stp>
        <stp>RMS FP Equity</stp>
        <stp>MIN_NONCONTROL_INTEREST_CREDITS</stp>
        <stp>FY 2006</stp>
        <stp>FY 2006</stp>
        <stp>[FA1_ididqeuc.xlsx]Income - Adjusted!R80C18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80" s="2"/>
      </tp>
      <tp>
        <v>4.3166000000000002</v>
        <stp/>
        <stp>##V3_BDHV12</stp>
        <stp>RMS FP Equity</stp>
        <stp>MIN_NONCONTROL_INTEREST_CREDITS</stp>
        <stp>FY 2016</stp>
        <stp>FY 2016</stp>
        <stp>[FA1_ididqeuc.xlsx]Income - Adjusted!R80C28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80" s="2"/>
      </tp>
      <tp>
        <v>167.8989</v>
        <stp/>
        <stp>##V3_BDHV12</stp>
        <stp>RMS FP Equity</stp>
        <stp>NI_INCLUDING_MINORITY_INT_RATIO</stp>
        <stp>FY 2000</stp>
        <stp>FY 2000</stp>
        <stp>[FA1_ididqeuc.xlsx]Income - Adjusted!R78C12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78" s="2"/>
      </tp>
      <tp>
        <v>572.69799999999998</v>
        <stp/>
        <stp>##V3_BDHV12</stp>
        <stp>RMS FP Equity</stp>
        <stp>NI_INCLUDING_MINORITY_INT_RATIO</stp>
        <stp>FY 2010</stp>
        <stp>FY 2010</stp>
        <stp>[FA1_ididqeuc.xlsx]Income - Adjusted!R78C22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78" s="2"/>
      </tp>
      <tp t="s">
        <v>—</v>
        <stp/>
        <stp>##V3_BDHV12</stp>
        <stp>RMS FP Equity</stp>
        <stp>IS_SALES_AND_SERVICES_REVENUES</stp>
        <stp>FY 2004</stp>
        <stp>FY 2004</stp>
        <stp>[FA1_ididqeuc.xlsx]Income - Adjusted!R8C16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8" s="2"/>
      </tp>
      <tp>
        <v>5471.5015999999996</v>
        <stp/>
        <stp>##V3_BDHV12</stp>
        <stp>RMS FP Equity</stp>
        <stp>IS_SALES_AND_SERVICES_REVENUES</stp>
        <stp>FY 2014</stp>
        <stp>FY 2014</stp>
        <stp>[FA1_ididqeuc.xlsx]Income - Adjusted!R8C26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8" s="2"/>
      </tp>
      <tp>
        <v>175.03630000000001</v>
        <stp/>
        <stp>##V3_BDHV12</stp>
        <stp>RMS FP Equity</stp>
        <stp>PRETAX_INC</stp>
        <stp>FY 1997</stp>
        <stp>FY 1997</stp>
        <stp>[FA1_ididqeuc.xlsx]Income - Adjusted!R63C9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I63" s="2"/>
      </tp>
      <tp>
        <v>793.71339999999998</v>
        <stp/>
        <stp>##V3_BDHV12</stp>
        <stp>RMS FP Equity</stp>
        <stp>IS_GENERAL_AND_ADMINISTRATIVE</stp>
        <stp>FY 2009</stp>
        <stp>FY 2009</stp>
        <stp>[FA1_ididqeuc.xlsx]Income - Adjusted!R25C21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25" s="2"/>
      </tp>
      <tp t="s">
        <v>—</v>
        <stp/>
        <stp>##V3_BDHV12</stp>
        <stp>RMS FP Equity</stp>
        <stp>IS_GENERAL_AND_ADMINISTRATIVE</stp>
        <stp>FY 1999</stp>
        <stp>FY 1999</stp>
        <stp>[FA1_ididqeuc.xlsx]Income - Adjusted!R25C11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25" s="2"/>
      </tp>
      <tp t="s">
        <v>—</v>
        <stp/>
        <stp>##V3_BDHV12</stp>
        <stp>RMS FP Equity</stp>
        <stp>IS_PROVISION_DOUBTFUL_ACCOUNTS</stp>
        <stp>FY 2000</stp>
        <stp>FY 2000</stp>
        <stp>[FA1_ididqeuc.xlsx]Income - Adjusted!R30C12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30" s="2"/>
      </tp>
      <tp>
        <v>30.7774</v>
        <stp/>
        <stp>##V3_BDHV12</stp>
        <stp>RMS FP Equity</stp>
        <stp>IS_PROVISION_DOUBTFUL_ACCOUNTS</stp>
        <stp>FY 2010</stp>
        <stp>FY 2010</stp>
        <stp>[FA1_ididqeuc.xlsx]Income - Adjusted!R30C22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30" s="2"/>
      </tp>
      <tp>
        <v>427.51299999999998</v>
        <stp/>
        <stp>##V3_BDHV12</stp>
        <stp>RMS FP Equity</stp>
        <stp>PRETAX_INC</stp>
        <stp>FY 2004</stp>
        <stp>FY 2004</stp>
        <stp>[FA1_ididqeuc.xlsx]Income - Adjusted!R63C16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63" s="2"/>
      </tp>
      <tp>
        <v>1693.288</v>
        <stp/>
        <stp>##V3_BDHV12</stp>
        <stp>RMS FP Equity</stp>
        <stp>PRETAX_INC</stp>
        <stp>FY 2014</stp>
        <stp>FY 2014</stp>
        <stp>[FA1_ididqeuc.xlsx]Income - Adjusted!R63C26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63" s="2"/>
      </tp>
      <tp>
        <v>360.34249999999997</v>
        <stp/>
        <stp>##V3_BDHV12</stp>
        <stp>RMS FP Equity</stp>
        <stp>GROSS_PROFIT</stp>
        <stp>FY 1994</stp>
        <stp>FY 1994</stp>
        <stp>[FA1_ididqeuc.xlsx]Income - Adjusted!R16C6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6" s="2"/>
      </tp>
      <tp>
        <v>129.43369999999999</v>
        <stp/>
        <stp>##V3_BDHV12</stp>
        <stp>RMS FP Equity</stp>
        <stp>NI_INCLUDING_MINORITY_INT_RATIO</stp>
        <stp>FY 1999</stp>
        <stp>FY 1999</stp>
        <stp>[FA1_ididqeuc.xlsx]Income - Adjusted!R78C11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78" s="2"/>
      </tp>
      <tp>
        <v>412.05599999999998</v>
        <stp/>
        <stp>##V3_BDHV12</stp>
        <stp>RMS FP Equity</stp>
        <stp>NI_INCLUDING_MINORITY_INT_RATIO</stp>
        <stp>FY 2009</stp>
        <stp>FY 2009</stp>
        <stp>[FA1_ididqeuc.xlsx]Income - Adjusted!R78C21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78" s="2"/>
      </tp>
      <tp t="s">
        <v>—</v>
        <stp/>
        <stp>##V3_BDHV12</stp>
        <stp>RMS FP Equity</stp>
        <stp>IS_SALES_AND_SERVICES_REVENUES</stp>
        <stp>FY 2005</stp>
        <stp>FY 2005</stp>
        <stp>[FA1_ididqeuc.xlsx]Income - Adjusted!R8C17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8" s="2"/>
      </tp>
      <tp>
        <v>5373.5131000000001</v>
        <stp/>
        <stp>##V3_BDHV12</stp>
        <stp>RMS FP Equity</stp>
        <stp>IS_SALES_AND_SERVICES_REVENUES</stp>
        <stp>FY 2015</stp>
        <stp>FY 2015</stp>
        <stp>[FA1_ididqeuc.xlsx]Income - Adjusted!R8C27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8" s="2"/>
      </tp>
      <tp>
        <v>157.5941</v>
        <stp/>
        <stp>##V3_BDHV12</stp>
        <stp>RMS FP Equity</stp>
        <stp>PRETAX_INC</stp>
        <stp>FY 1996</stp>
        <stp>FY 1996</stp>
        <stp>[FA1_ididqeuc.xlsx]Income - Adjusted!R63C8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H63" s="2"/>
      </tp>
      <tp t="s">
        <v>—</v>
        <stp/>
        <stp>##V3_BDHV12</stp>
        <stp>RMS FP Equity</stp>
        <stp>IS_GENERAL_AND_ADMINISTRATIVE</stp>
        <stp>FY 2008</stp>
        <stp>FY 2008</stp>
        <stp>[FA1_ididqeuc.xlsx]Income - Adjusted!R25C20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25" s="2"/>
      </tp>
      <tp t="s">
        <v>—</v>
        <stp/>
        <stp>##V3_BDHV12</stp>
        <stp>RMS FP Equity</stp>
        <stp>IS_GENERAL_AND_ADMINISTRATIVE</stp>
        <stp>FY 1998</stp>
        <stp>FY 1998</stp>
        <stp>[FA1_ididqeuc.xlsx]Income - Adjusted!R25C10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25" s="2"/>
      </tp>
      <tp t="s">
        <v>—</v>
        <stp/>
        <stp>##V3_BDHV12</stp>
        <stp>RMS FP Equity</stp>
        <stp>IS_PROVISION_DOUBTFUL_ACCOUNTS</stp>
        <stp>FY 2001</stp>
        <stp>FY 2001</stp>
        <stp>[FA1_ididqeuc.xlsx]Income - Adjusted!R30C13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30" s="2"/>
      </tp>
      <tp>
        <v>19.075900000000001</v>
        <stp/>
        <stp>##V3_BDHV12</stp>
        <stp>RMS FP Equity</stp>
        <stp>IS_PROVISION_DOUBTFUL_ACCOUNTS</stp>
        <stp>FY 2011</stp>
        <stp>FY 2011</stp>
        <stp>[FA1_ididqeuc.xlsx]Income - Adjusted!R30C23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30" s="2"/>
      </tp>
      <tp>
        <v>482.25869999999998</v>
        <stp/>
        <stp>##V3_BDHV12</stp>
        <stp>RMS FP Equity</stp>
        <stp>PRETAX_INC</stp>
        <stp>FY 2005</stp>
        <stp>FY 2005</stp>
        <stp>[FA1_ididqeuc.xlsx]Income - Adjusted!R63C17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63" s="2"/>
      </tp>
      <tp>
        <v>1659.5618999999999</v>
        <stp/>
        <stp>##V3_BDHV12</stp>
        <stp>RMS FP Equity</stp>
        <stp>PRETAX_INC</stp>
        <stp>FY 2015</stp>
        <stp>FY 2015</stp>
        <stp>[FA1_ididqeuc.xlsx]Income - Adjusted!R63C27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63" s="2"/>
      </tp>
      <tp>
        <v>454.25209999999998</v>
        <stp/>
        <stp>##V3_BDHV12</stp>
        <stp>RMS FP Equity</stp>
        <stp>GROSS_PROFIT</stp>
        <stp>FY 1995</stp>
        <stp>FY 1995</stp>
        <stp>[FA1_ididqeuc.xlsx]Income - Adjusted!R16C7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6" s="2"/>
      </tp>
      <tp>
        <v>102.5796</v>
        <stp/>
        <stp>##V3_BDHV12</stp>
        <stp>RMS FP Equity</stp>
        <stp>NI_INCLUDING_MINORITY_INT_RATIO</stp>
        <stp>FY 1998</stp>
        <stp>FY 1998</stp>
        <stp>[FA1_ididqeuc.xlsx]Income - Adjusted!R78C10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78" s="2"/>
      </tp>
      <tp>
        <v>434.20659999999998</v>
        <stp/>
        <stp>##V3_BDHV12</stp>
        <stp>RMS FP Equity</stp>
        <stp>NI_INCLUDING_MINORITY_INT_RATIO</stp>
        <stp>FY 2008</stp>
        <stp>FY 2008</stp>
        <stp>[FA1_ididqeuc.xlsx]Income - Adjusted!R78C20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78" s="2"/>
      </tp>
      <tp t="s">
        <v>—</v>
        <stp/>
        <stp>##V3_BDHV12</stp>
        <stp>RMS FP Equity</stp>
        <stp>IS_SALES_AND_SERVICES_REVENUES</stp>
        <stp>FY 1998</stp>
        <stp>FY 1998</stp>
        <stp>[FA1_ididqeuc.xlsx]Income - Adjusted!R8C10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8" s="2"/>
      </tp>
      <tp t="s">
        <v>—</v>
        <stp/>
        <stp>##V3_BDHV12</stp>
        <stp>RMS FP Equity</stp>
        <stp>IS_SALES_AND_SERVICES_REVENUES</stp>
        <stp>FY 2008</stp>
        <stp>FY 2008</stp>
        <stp>[FA1_ididqeuc.xlsx]Income - Adjusted!R8C20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8" s="2"/>
      </tp>
      <tp>
        <v>1336.7737999999999</v>
        <stp/>
        <stp>##V3_BDHV12</stp>
        <stp>RMS FP Equity</stp>
        <stp>IS_GENERAL_AND_ADMINISTRATIVE</stp>
        <stp>FY 2015</stp>
        <stp>FY 2015</stp>
        <stp>[FA1_ididqeuc.xlsx]Income - Adjusted!R25C27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25" s="2"/>
      </tp>
      <tp t="s">
        <v>—</v>
        <stp/>
        <stp>##V3_BDHV12</stp>
        <stp>RMS FP Equity</stp>
        <stp>IS_GENERAL_AND_ADMINISTRATIVE</stp>
        <stp>FY 2005</stp>
        <stp>FY 2005</stp>
        <stp>[FA1_ididqeuc.xlsx]Income - Adjusted!R25C17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25" s="2"/>
      </tp>
      <tp t="s">
        <v>—</v>
        <stp/>
        <stp>##V3_BDHV12</stp>
        <stp>RMS FP Equity</stp>
        <stp>IS_DIL_EPS_CONT_OPS</stp>
        <stp>FY 1995</stp>
        <stp>FY 1995</stp>
        <stp>[FA1_ididqeuc.xlsx]Income - Adjusted!R110C7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G110" s="2"/>
      </tp>
      <tp>
        <v>394.78989999999999</v>
        <stp/>
        <stp>##V3_BDHV12</stp>
        <stp>RMS FP Equity</stp>
        <stp>NET_INCOME</stp>
        <stp>FY 2007</stp>
        <stp>FY 2007</stp>
        <stp>[FA1_ididqeuc.xlsx]Income - Adjusted!R82C19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S82" s="2"/>
      </tp>
      <tp>
        <v>1379.9546</v>
        <stp/>
        <stp>##V3_BDHV12</stp>
        <stp>RMS FP Equity</stp>
        <stp>NET_INCOME</stp>
        <stp>FY 2017</stp>
        <stp>FY 2017</stp>
        <stp>[FA1_ididqeuc.xlsx]Income - Adjusted!R82C29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C82" s="2"/>
      </tp>
      <tp t="s">
        <v>—</v>
        <stp/>
        <stp>##V3_BDHV12</stp>
        <stp>RMS FP Equity</stp>
        <stp>IS_PROVISION_DOUBTFUL_ACCOUNTS</stp>
        <stp>FY 2002</stp>
        <stp>FY 2002</stp>
        <stp>[FA1_ididqeuc.xlsx]Income - Adjusted!R30C14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30" s="2"/>
      </tp>
      <tp>
        <v>20.573899999999998</v>
        <stp/>
        <stp>##V3_BDHV12</stp>
        <stp>RMS FP Equity</stp>
        <stp>IS_PROVISION_DOUBTFUL_ACCOUNTS</stp>
        <stp>FY 2012</stp>
        <stp>FY 2012</stp>
        <stp>[FA1_ididqeuc.xlsx]Income - Adjusted!R30C24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30" s="2"/>
      </tp>
      <tp>
        <v>179.8879</v>
        <stp/>
        <stp>##V3_BDHV12</stp>
        <stp>RMS FP Equity</stp>
        <stp>PRETAX_INC</stp>
        <stp>FY 1998</stp>
        <stp>FY 1998</stp>
        <stp>[FA1_ididqeuc.xlsx]Income - Adjusted!R63C10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J63" s="2"/>
      </tp>
      <tp>
        <v>686.61120000000005</v>
        <stp/>
        <stp>##V3_BDHV12</stp>
        <stp>RMS FP Equity</stp>
        <stp>PRETAX_INC</stp>
        <stp>FY 2008</stp>
        <stp>FY 2008</stp>
        <stp>[FA1_ididqeuc.xlsx]Income - Adjusted!R63C20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T63" s="2"/>
      </tp>
      <tp>
        <v>-0.313</v>
        <stp/>
        <stp>##V3_BDHV12</stp>
        <stp>RMS FP Equity</stp>
        <stp>IS_FOREIGN_EXCH_LOSS</stp>
        <stp>FY 1996</stp>
        <stp>FY 1996</stp>
        <stp>[FA1_ididqeuc.xlsx]Income - Adjusted!R44C8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44" s="2"/>
      </tp>
      <tp>
        <v>313.29390000000001</v>
        <stp/>
        <stp>##V3_BDHV12</stp>
        <stp>RMS FP Equity</stp>
        <stp>NI_INCLUDING_MINORITY_INT_RATIO</stp>
        <stp>FY 2005</stp>
        <stp>FY 2005</stp>
        <stp>[FA1_ididqeuc.xlsx]Income - Adjusted!R78C17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Q78" s="2"/>
      </tp>
      <tp>
        <v>1084.6926000000001</v>
        <stp/>
        <stp>##V3_BDHV12</stp>
        <stp>RMS FP Equity</stp>
        <stp>NI_INCLUDING_MINORITY_INT_RATIO</stp>
        <stp>FY 2015</stp>
        <stp>FY 2015</stp>
        <stp>[FA1_ididqeuc.xlsx]Income - Adjusted!R78C27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A78" s="2"/>
      </tp>
      <tp t="s">
        <v>—</v>
        <stp/>
        <stp>##V3_BDHV12</stp>
        <stp>RMS FP Equity</stp>
        <stp>IS_SALES_AND_SERVICES_REVENUES</stp>
        <stp>FY 1999</stp>
        <stp>FY 1999</stp>
        <stp>[FA1_ididqeuc.xlsx]Income - Adjusted!R8C11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8" s="2"/>
      </tp>
      <tp>
        <v>2669.3701999999998</v>
        <stp/>
        <stp>##V3_BDHV12</stp>
        <stp>RMS FP Equity</stp>
        <stp>IS_SALES_AND_SERVICES_REVENUES</stp>
        <stp>FY 2009</stp>
        <stp>FY 2009</stp>
        <stp>[FA1_ididqeuc.xlsx]Income - Adjusted!R8C21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8" s="2"/>
      </tp>
      <tp>
        <v>1440.4772</v>
        <stp/>
        <stp>##V3_BDHV12</stp>
        <stp>RMS FP Equity</stp>
        <stp>IS_GENERAL_AND_ADMINISTRATIVE</stp>
        <stp>FY 2014</stp>
        <stp>FY 2014</stp>
        <stp>[FA1_ididqeuc.xlsx]Income - Adjusted!R25C26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25" s="2"/>
      </tp>
      <tp t="s">
        <v>—</v>
        <stp/>
        <stp>##V3_BDHV12</stp>
        <stp>RMS FP Equity</stp>
        <stp>IS_GENERAL_AND_ADMINISTRATIVE</stp>
        <stp>FY 2004</stp>
        <stp>FY 2004</stp>
        <stp>[FA1_ididqeuc.xlsx]Income - Adjusted!R25C16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25" s="2"/>
      </tp>
      <tp t="s">
        <v>—</v>
        <stp/>
        <stp>##V3_BDHV12</stp>
        <stp>RMS FP Equity</stp>
        <stp>IS_DIL_EPS_CONT_OPS</stp>
        <stp>FY 1994</stp>
        <stp>FY 1994</stp>
        <stp>[FA1_ididqeuc.xlsx]Income - Adjusted!R110C6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F110" s="2"/>
      </tp>
      <tp>
        <v>337.21460000000002</v>
        <stp/>
        <stp>##V3_BDHV12</stp>
        <stp>RMS FP Equity</stp>
        <stp>NET_INCOME</stp>
        <stp>FY 2006</stp>
        <stp>FY 2006</stp>
        <stp>[FA1_ididqeuc.xlsx]Income - Adjusted!R82C18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R82" s="2"/>
      </tp>
      <tp>
        <v>1217.8435999999999</v>
        <stp/>
        <stp>##V3_BDHV12</stp>
        <stp>RMS FP Equity</stp>
        <stp>NET_INCOME</stp>
        <stp>FY 2016</stp>
        <stp>FY 2016</stp>
        <stp>[FA1_ididqeuc.xlsx]Income - Adjusted!R82C28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AB82" s="2"/>
      </tp>
      <tp t="s">
        <v>—</v>
        <stp/>
        <stp>##V3_BDHV12</stp>
        <stp>RMS FP Equity</stp>
        <stp>IS_PROVISION_DOUBTFUL_ACCOUNTS</stp>
        <stp>FY 2003</stp>
        <stp>FY 2003</stp>
        <stp>[FA1_ididqeuc.xlsx]Income - Adjusted!R30C15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30" s="2"/>
      </tp>
      <tp>
        <v>3.1879</v>
        <stp/>
        <stp>##V3_BDHV12</stp>
        <stp>RMS FP Equity</stp>
        <stp>IS_PROVISION_DOUBTFUL_ACCOUNTS</stp>
        <stp>FY 2013</stp>
        <stp>FY 2013</stp>
        <stp>[FA1_ididqeuc.xlsx]Income - Adjusted!R30C25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30" s="2"/>
      </tp>
      <tp>
        <v>208.0266</v>
        <stp/>
        <stp>##V3_BDHV12</stp>
        <stp>RMS FP Equity</stp>
        <stp>PRETAX_INC</stp>
        <stp>FY 1999</stp>
        <stp>FY 1999</stp>
        <stp>[FA1_ididqeuc.xlsx]Income - Adjusted!R63C11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K63" s="2"/>
      </tp>
      <tp>
        <v>627.77539999999999</v>
        <stp/>
        <stp>##V3_BDHV12</stp>
        <stp>RMS FP Equity</stp>
        <stp>PRETAX_INC</stp>
        <stp>FY 2009</stp>
        <stp>FY 2009</stp>
        <stp>[FA1_ididqeuc.xlsx]Income - Adjusted!R63C21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U63" s="2"/>
      </tp>
      <tp>
        <v>0.29170000000000001</v>
        <stp/>
        <stp>##V3_BDHV12</stp>
        <stp>RMS FP Equity</stp>
        <stp>IS_FOREIGN_EXCH_LOSS</stp>
        <stp>FY 1997</stp>
        <stp>FY 1997</stp>
        <stp>[FA1_ididqeuc.xlsx]Income - Adjusted!R44C9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44" s="2"/>
      </tp>
      <tp>
        <v>271.73700000000002</v>
        <stp/>
        <stp>##V3_BDHV12</stp>
        <stp>RMS FP Equity</stp>
        <stp>NI_INCLUDING_MINORITY_INT_RATIO</stp>
        <stp>FY 2004</stp>
        <stp>FY 2004</stp>
        <stp>[FA1_ididqeuc.xlsx]Income - Adjusted!R78C16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P78" s="2"/>
      </tp>
      <tp>
        <v>1146.8818000000001</v>
        <stp/>
        <stp>##V3_BDHV12</stp>
        <stp>RMS FP Equity</stp>
        <stp>NI_INCLUDING_MINORITY_INT_RATIO</stp>
        <stp>FY 2014</stp>
        <stp>FY 2014</stp>
        <stp>[FA1_ididqeuc.xlsx]Income - Adjusted!R78C26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Z78" s="2"/>
      </tp>
      <tp>
        <v>818.15120000000002</v>
        <stp/>
        <stp>##V3_BDHV12</stp>
        <stp>RMS FP Equity</stp>
        <stp>SALES_REV_TURN</stp>
        <stp>FY 1996</stp>
        <stp>FY 1996</stp>
        <stp>[FA1_ididqeuc.xlsx]Income - Adjusted!R6C8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2"/>
      </tp>
      <tp t="s">
        <v>—</v>
        <stp/>
        <stp>##V3_BDHV12</stp>
        <stp>RMS FP Equity</stp>
        <stp>IS_SALES_AND_SERVICES_REVENUES</stp>
        <stp>FY 2000</stp>
        <stp>FY 2000</stp>
        <stp>[FA1_ididqeuc.xlsx]Income - Adjusted!R8C12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8" s="2"/>
      </tp>
      <tp>
        <v>3184.9279999999999</v>
        <stp/>
        <stp>##V3_BDHV12</stp>
        <stp>RMS FP Equity</stp>
        <stp>IS_SALES_AND_SERVICES_REVENUES</stp>
        <stp>FY 2010</stp>
        <stp>FY 2010</stp>
        <stp>[FA1_ididqeuc.xlsx]Income - Adjusted!R8C22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8" s="2"/>
      </tp>
      <tp>
        <v>1333.7574999999999</v>
        <stp/>
        <stp>##V3_BDHV12</stp>
        <stp>RMS FP Equity</stp>
        <stp>IS_GENERAL_AND_ADMINISTRATIVE</stp>
        <stp>FY 2013</stp>
        <stp>FY 2013</stp>
        <stp>[FA1_ididqeuc.xlsx]Income - Adjusted!R25C25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25" s="2"/>
      </tp>
      <tp t="s">
        <v>—</v>
        <stp/>
        <stp>##V3_BDHV12</stp>
        <stp>RMS FP Equity</stp>
        <stp>IS_GENERAL_AND_ADMINISTRATIVE</stp>
        <stp>FY 2003</stp>
        <stp>FY 2003</stp>
        <stp>[FA1_ididqeuc.xlsx]Income - Adjusted!R25C15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25" s="2"/>
      </tp>
      <tp t="s">
        <v>—</v>
        <stp/>
        <stp>##V3_BDHV12</stp>
        <stp>RMS FP Equity</stp>
        <stp>IS_DIL_EPS_CONT_OPS</stp>
        <stp>FY 1993</stp>
        <stp>FY 1993</stp>
        <stp>[FA1_ididqeuc.xlsx]Income - Adjusted!R110C5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E110" s="2"/>
      </tp>
      <tp>
        <v>188.7764</v>
        <stp/>
        <stp>##V3_BDHV12</stp>
        <stp>RMS FP Equity</stp>
        <stp>IS_DEPRECIATION_AND_AMORTIZATION</stp>
        <stp>FY 2017</stp>
        <stp>FY 2017</stp>
        <stp>[FA1_ididqeuc.xlsx]Income - Adjusted!R28C29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28" s="2"/>
      </tp>
      <tp t="s">
        <v>—</v>
        <stp/>
        <stp>##V3_BDHV12</stp>
        <stp>RMS FP Equity</stp>
        <stp>IS_DEPRECIATION_AND_AMORTIZATION</stp>
        <stp>FY 2007</stp>
        <stp>FY 2007</stp>
        <stp>[FA1_ididqeuc.xlsx]Income - Adjusted!R28C19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28" s="2"/>
      </tp>
      <tp t="s">
        <v>—</v>
        <stp/>
        <stp>##V3_BDHV12</stp>
        <stp>RMS FP Equity</stp>
        <stp>IS_PROVISION_DOUBTFUL_ACCOUNTS</stp>
        <stp>FY 2004</stp>
        <stp>FY 2004</stp>
        <stp>[FA1_ididqeuc.xlsx]Income - Adjusted!R30C16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30" s="2"/>
      </tp>
      <tp>
        <v>14.613300000000001</v>
        <stp/>
        <stp>##V3_BDHV12</stp>
        <stp>RMS FP Equity</stp>
        <stp>IS_PROVISION_DOUBTFUL_ACCOUNTS</stp>
        <stp>FY 2014</stp>
        <stp>FY 2014</stp>
        <stp>[FA1_ididqeuc.xlsx]Income - Adjusted!R30C26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30" s="2"/>
      </tp>
      <tp>
        <v>274.5145</v>
        <stp/>
        <stp>##V3_BDHV12</stp>
        <stp>RMS FP Equity</stp>
        <stp>PRETAX_INC</stp>
        <stp>FY 2000</stp>
        <stp>FY 2000</stp>
        <stp>[FA1_ididqeuc.xlsx]Income - Adjusted!R63C12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L63" s="2"/>
      </tp>
      <tp>
        <v>869.85889999999995</v>
        <stp/>
        <stp>##V3_BDHV12</stp>
        <stp>RMS FP Equity</stp>
        <stp>PRETAX_INC</stp>
        <stp>FY 2010</stp>
        <stp>FY 2010</stp>
        <stp>[FA1_ididqeuc.xlsx]Income - Adjusted!R63C22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V63" s="2"/>
      </tp>
      <tp>
        <v>521.65250000000003</v>
        <stp/>
        <stp>##V3_BDHV12</stp>
        <stp>RMS FP Equity</stp>
        <stp>IS_OPER_INC</stp>
        <stp>FY 2006</stp>
        <stp>FY 2006</stp>
        <stp>[FA1_ididqeuc.xlsx]Income - Adjusted!R34C18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34" s="2"/>
      </tp>
      <tp>
        <v>1887.9177</v>
        <stp/>
        <stp>##V3_BDHV12</stp>
        <stp>RMS FP Equity</stp>
        <stp>IS_OPER_INC</stp>
        <stp>FY 2016</stp>
        <stp>FY 2016</stp>
        <stp>[FA1_ididqeuc.xlsx]Income - Adjusted!R34C28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34" s="2"/>
      </tp>
      <tp>
        <v>249.93369999999999</v>
        <stp/>
        <stp>##V3_BDHV12</stp>
        <stp>RMS FP Equity</stp>
        <stp>NI_INCLUDING_MINORITY_INT_RATIO</stp>
        <stp>FY 2003</stp>
        <stp>FY 2003</stp>
        <stp>[FA1_ididqeuc.xlsx]Income - Adjusted!R78C15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O78" s="2"/>
      </tp>
      <tp>
        <v>1061.3208</v>
        <stp/>
        <stp>##V3_BDHV12</stp>
        <stp>RMS FP Equity</stp>
        <stp>NI_INCLUDING_MINORITY_INT_RATIO</stp>
        <stp>FY 2013</stp>
        <stp>FY 2013</stp>
        <stp>[FA1_ididqeuc.xlsx]Income - Adjusted!R78C25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Y78" s="2"/>
      </tp>
      <tp>
        <v>833.64009999999996</v>
        <stp/>
        <stp>##V3_BDHV12</stp>
        <stp>RMS FP Equity</stp>
        <stp>SALES_REV_TURN</stp>
        <stp>FY 1997</stp>
        <stp>FY 1997</stp>
        <stp>[FA1_ididqeuc.xlsx]Income - Adjusted!R6C9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2"/>
      </tp>
      <tp t="s">
        <v>—</v>
        <stp/>
        <stp>##V3_BDHV12</stp>
        <stp>RMS FP Equity</stp>
        <stp>IS_SALES_AND_SERVICES_REVENUES</stp>
        <stp>FY 2001</stp>
        <stp>FY 2001</stp>
        <stp>[FA1_ididqeuc.xlsx]Income - Adjusted!R8C13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8" s="2"/>
      </tp>
      <tp>
        <v>3956.0929000000001</v>
        <stp/>
        <stp>##V3_BDHV12</stp>
        <stp>RMS FP Equity</stp>
        <stp>IS_SALES_AND_SERVICES_REVENUES</stp>
        <stp>FY 2011</stp>
        <stp>FY 2011</stp>
        <stp>[FA1_ididqeuc.xlsx]Income - Adjusted!R8C23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8" s="2"/>
      </tp>
      <tp>
        <v>1220.1631</v>
        <stp/>
        <stp>##V3_BDHV12</stp>
        <stp>RMS FP Equity</stp>
        <stp>IS_GENERAL_AND_ADMINISTRATIVE</stp>
        <stp>FY 2012</stp>
        <stp>FY 2012</stp>
        <stp>[FA1_ididqeuc.xlsx]Income - Adjusted!R25C24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25" s="2"/>
      </tp>
      <tp t="s">
        <v>—</v>
        <stp/>
        <stp>##V3_BDHV12</stp>
        <stp>RMS FP Equity</stp>
        <stp>IS_GENERAL_AND_ADMINISTRATIVE</stp>
        <stp>FY 2002</stp>
        <stp>FY 2002</stp>
        <stp>[FA1_ididqeuc.xlsx]Income - Adjusted!R25C14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25" s="2"/>
      </tp>
      <tp t="s">
        <v>—</v>
        <stp/>
        <stp>##V3_BDHV12</stp>
        <stp>RMS FP Equity</stp>
        <stp>IS_DIL_EPS_CONT_OPS</stp>
        <stp>FY 1992</stp>
        <stp>FY 1992</stp>
        <stp>[FA1_ididqeuc.xlsx]Income - Adjusted!R110C4</stp>
        <stp>Currency=USD</stp>
        <stp>Period=FY</stp>
        <stp>BEST_FPERIOD_OVERRIDE=FY</stp>
        <stp>FILING_STATUS=MR</stp>
        <stp>Sort=A</stp>
        <stp>Dates=H</stp>
        <stp>DateFormat=P</stp>
        <stp>Fill=—</stp>
        <stp>Direction=H</stp>
        <stp>UseDPDF=Y</stp>
        <tr r="D110" s="2"/>
      </tp>
      <tp>
        <v>186.05789999999999</v>
        <stp/>
        <stp>##V3_BDHV12</stp>
        <stp>RMS FP Equity</stp>
        <stp>IS_DEPRECIATION_AND_AMORTIZATION</stp>
        <stp>FY 2016</stp>
        <stp>FY 2016</stp>
        <stp>[FA1_ididqeuc.xlsx]Income - Adjusted!R28C28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28" s="2"/>
      </tp>
      <tp t="s">
        <v>—</v>
        <stp/>
        <stp>##V3_BDHV12</stp>
        <stp>RMS FP Equity</stp>
        <stp>IS_DEPRECIATION_AND_AMORTIZATION</stp>
        <stp>FY 2006</stp>
        <stp>FY 2006</stp>
        <stp>[FA1_ididqeuc.xlsx]Income - Adjusted!R28C18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28" s="2"/>
      </tp>
      <tp t="s">
        <v>—</v>
        <stp/>
        <stp>##V3_BDHV12</stp>
        <stp>RMS FP Equity</stp>
        <stp>IS_PROVISION_DOUBTFUL_ACCOUNTS</stp>
        <stp>FY 2005</stp>
        <stp>FY 2005</stp>
        <stp>[FA1_ididqeuc.xlsx]Income - Adjusted!R30C17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30" s="2"/>
      </tp>
      <tp>
        <v>24.198</v>
        <stp/>
        <stp>##V3_BDHV12</stp>
        <stp>RMS FP Equity</stp>
        <stp>IS_PROVISION_DOUBTFUL_ACCOUNTS</stp>
        <stp>FY 2015</stp>
        <stp>FY 2015</stp>
        <stp>[FA1_ididqeuc.xlsx]Income - Adjusted!R30C27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30" s="2"/>
      </tp>
      <tp>
        <v>282.661</v>
        <stp/>
        <stp>##V3_BDHV12</stp>
        <stp>RMS FP Equity</stp>
        <stp>PRETAX_INC</stp>
        <stp>FY 2001</stp>
        <stp>FY 2001</stp>
        <stp>[FA1_ididqeuc.xlsx]Income - Adjusted!R63C13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M63" s="2"/>
      </tp>
      <tp>
        <v>1249.9594</v>
        <stp/>
        <stp>##V3_BDHV12</stp>
        <stp>RMS FP Equity</stp>
        <stp>PRETAX_INC</stp>
        <stp>FY 2011</stp>
        <stp>FY 2011</stp>
        <stp>[FA1_ididqeuc.xlsx]Income - Adjusted!R63C23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W63" s="2"/>
      </tp>
      <tp>
        <v>218.54650000000001</v>
        <stp/>
        <stp>##V3_BDHV12</stp>
        <stp>RMS FP Equity</stp>
        <stp>GROSS_PROFIT</stp>
        <stp>FY 1991</stp>
        <stp>FY 1991</stp>
        <stp>[FA1_ididqeuc.xlsx]Income - Adjusted!R16C3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6" s="2"/>
      </tp>
      <tp>
        <v>568.19590000000005</v>
        <stp/>
        <stp>##V3_BDHV12</stp>
        <stp>RMS FP Equity</stp>
        <stp>IS_OPER_INC</stp>
        <stp>FY 2007</stp>
        <stp>FY 2007</stp>
        <stp>[FA1_ididqeuc.xlsx]Income - Adjusted!R34C19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34" s="2"/>
      </tp>
      <tp>
        <v>2218.6596</v>
        <stp/>
        <stp>##V3_BDHV12</stp>
        <stp>RMS FP Equity</stp>
        <stp>IS_OPER_INC</stp>
        <stp>FY 2017</stp>
        <stp>FY 2017</stp>
        <stp>[FA1_ididqeuc.xlsx]Income - Adjusted!R34C29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34" s="2"/>
      </tp>
      <tp>
        <v>208.4487</v>
        <stp/>
        <stp>##V3_BDHV12</stp>
        <stp>RMS FP Equity</stp>
        <stp>NI_INCLUDING_MINORITY_INT_RATIO</stp>
        <stp>FY 2002</stp>
        <stp>FY 2002</stp>
        <stp>[FA1_ididqeuc.xlsx]Income - Adjusted!R78C14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N78" s="2"/>
      </tp>
      <tp>
        <v>965.04629999999997</v>
        <stp/>
        <stp>##V3_BDHV12</stp>
        <stp>RMS FP Equity</stp>
        <stp>NI_INCLUDING_MINORITY_INT_RATIO</stp>
        <stp>FY 2012</stp>
        <stp>FY 2012</stp>
        <stp>[FA1_ididqeuc.xlsx]Income - Adjusted!R78C24</stp>
        <stp>Currency=USD</stp>
        <stp>Period=FY</stp>
        <stp>BEST_FPERIOD_OVERRIDE=FY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X78" s="2"/>
      </tp>
      <tp>
        <v>193.75630000000001</v>
        <stp/>
        <stp>##V3_BDHV12</stp>
        <stp>RMS FP Equity</stp>
        <stp>IS_OPERATING_EXPN</stp>
        <stp>FY 1992</stp>
        <stp>FY 1992</stp>
        <stp>[FA1_ididqeuc.xlsx]Income - Adjusted!R19C4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9" s="2"/>
      </tp>
      <tp t="s">
        <v>—</v>
        <stp/>
        <stp>##V3_BDHV12</stp>
        <stp>RMS FP Equity</stp>
        <stp>IS_COG_AND_SERVICES_SOLD</stp>
        <stp>FY 2005</stp>
        <stp>FY 2005</stp>
        <stp>[FA1_ididqeuc.xlsx]Income - Adjusted!R12C17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Q12" s="2"/>
      </tp>
      <tp>
        <v>1788.433</v>
        <stp/>
        <stp>##V3_BDHV12</stp>
        <stp>RMS FP Equity</stp>
        <stp>IS_COG_AND_SERVICES_SOLD</stp>
        <stp>FY 2015</stp>
        <stp>FY 2015</stp>
        <stp>[FA1_ididqeuc.xlsx]Income - Adjusted!R12C27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A12" s="2"/>
      </tp>
      <tp>
        <v>214.43199999999999</v>
        <stp/>
        <stp>##V3_BDHV12</stp>
        <stp>RMS FP Equity</stp>
        <stp>IS_OPERATING_EXPN</stp>
        <stp>FY 1993</stp>
        <stp>FY 1993</stp>
        <stp>[FA1_ididqeuc.xlsx]Income - Adjusted!R19C5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9" s="2"/>
      </tp>
      <tp t="s">
        <v>—</v>
        <stp/>
        <stp>##V3_BDHV12</stp>
        <stp>RMS FP Equity</stp>
        <stp>IS_COG_AND_SERVICES_SOLD</stp>
        <stp>FY 2004</stp>
        <stp>FY 2004</stp>
        <stp>[FA1_ididqeuc.xlsx]Income - Adjusted!R12C16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P12" s="2"/>
      </tp>
      <tp>
        <v>1777.6469</v>
        <stp/>
        <stp>##V3_BDHV12</stp>
        <stp>RMS FP Equity</stp>
        <stp>IS_COG_AND_SERVICES_SOLD</stp>
        <stp>FY 2014</stp>
        <stp>FY 2014</stp>
        <stp>[FA1_ididqeuc.xlsx]Income - Adjusted!R12C26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Z12" s="2"/>
      </tp>
      <tp>
        <v>257.16039999999998</v>
        <stp/>
        <stp>##V3_BDHV12</stp>
        <stp>RMS FP Equity</stp>
        <stp>IS_OPERATING_EXPN</stp>
        <stp>FY 1994</stp>
        <stp>FY 1994</stp>
        <stp>[FA1_ididqeuc.xlsx]Income - Adjusted!R19C6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9" s="2"/>
      </tp>
      <tp t="s">
        <v>—</v>
        <stp/>
        <stp>##V3_BDHV12</stp>
        <stp>RMS FP Equity</stp>
        <stp>IS_OTHER_OPER_INC</stp>
        <stp>FY 1997</stp>
        <stp>FY 1997</stp>
        <stp>[FA1_ididqeuc.xlsx]Income - Adjusted!R18C9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8" s="2"/>
      </tp>
      <tp t="s">
        <v>—</v>
        <stp/>
        <stp>##V3_BDHV12</stp>
        <stp>RMS FP Equity</stp>
        <stp>IS_COG_AND_SERVICES_SOLD</stp>
        <stp>FY 2003</stp>
        <stp>FY 2003</stp>
        <stp>[FA1_ididqeuc.xlsx]Income - Adjusted!R12C15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O12" s="2"/>
      </tp>
      <tp>
        <v>1527.8237999999999</v>
        <stp/>
        <stp>##V3_BDHV12</stp>
        <stp>RMS FP Equity</stp>
        <stp>IS_COG_AND_SERVICES_SOLD</stp>
        <stp>FY 2013</stp>
        <stp>FY 2013</stp>
        <stp>[FA1_ididqeuc.xlsx]Income - Adjusted!R12C25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Y12" s="2"/>
      </tp>
      <tp>
        <v>316.87670000000003</v>
        <stp/>
        <stp>##V3_BDHV12</stp>
        <stp>RMS FP Equity</stp>
        <stp>IS_OPERATING_EXPN</stp>
        <stp>FY 1995</stp>
        <stp>FY 1995</stp>
        <stp>[FA1_ididqeuc.xlsx]Income - Adjusted!R19C7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9" s="2"/>
      </tp>
      <tp t="s">
        <v>—</v>
        <stp/>
        <stp>##V3_BDHV12</stp>
        <stp>RMS FP Equity</stp>
        <stp>IS_OTHER_OPER_INC</stp>
        <stp>FY 1996</stp>
        <stp>FY 1996</stp>
        <stp>[FA1_ididqeuc.xlsx]Income - Adjusted!R18C8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8" s="2"/>
      </tp>
      <tp t="s">
        <v>—</v>
        <stp/>
        <stp>##V3_BDHV12</stp>
        <stp>RMS FP Equity</stp>
        <stp>IS_COG_AND_SERVICES_SOLD</stp>
        <stp>FY 2002</stp>
        <stp>FY 2002</stp>
        <stp>[FA1_ididqeuc.xlsx]Income - Adjusted!R12C14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N12" s="2"/>
      </tp>
      <tp>
        <v>1408.0288</v>
        <stp/>
        <stp>##V3_BDHV12</stp>
        <stp>RMS FP Equity</stp>
        <stp>IS_COG_AND_SERVICES_SOLD</stp>
        <stp>FY 2012</stp>
        <stp>FY 2012</stp>
        <stp>[FA1_ididqeuc.xlsx]Income - Adjusted!R12C24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X12" s="2"/>
      </tp>
      <tp t="s">
        <v>—</v>
        <stp/>
        <stp>##V3_BDHV12</stp>
        <stp>RMS FP Equity</stp>
        <stp>IS_COG_AND_SERVICES_SOLD</stp>
        <stp>FY 2001</stp>
        <stp>FY 2001</stp>
        <stp>[FA1_ididqeuc.xlsx]Income - Adjusted!R12C13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M12" s="2"/>
      </tp>
      <tp>
        <v>1214.0354</v>
        <stp/>
        <stp>##V3_BDHV12</stp>
        <stp>RMS FP Equity</stp>
        <stp>IS_COG_AND_SERVICES_SOLD</stp>
        <stp>FY 2011</stp>
        <stp>FY 2011</stp>
        <stp>[FA1_ididqeuc.xlsx]Income - Adjusted!R12C23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W12" s="2"/>
      </tp>
      <tp t="s">
        <v>—</v>
        <stp/>
        <stp>##V3_BDHV12</stp>
        <stp>RMS FP Equity</stp>
        <stp>IS_CURRENT_INCOME_TAX_BENEFIT</stp>
        <stp>FY 2000</stp>
        <stp>FY 2000</stp>
        <stp>[FA1_ididqeuc.xlsx]Income - Adjusted!R67C12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67" s="2"/>
      </tp>
      <tp t="s">
        <v>—</v>
        <stp/>
        <stp>##V3_BDHV12</stp>
        <stp>RMS FP Equity</stp>
        <stp>IS_CURRENT_INCOME_TAX_BENEFIT</stp>
        <stp>FY 2001</stp>
        <stp>FY 2001</stp>
        <stp>[FA1_ididqeuc.xlsx]Income - Adjusted!R67C13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67" s="2"/>
      </tp>
      <tp t="s">
        <v>—</v>
        <stp/>
        <stp>##V3_BDHV12</stp>
        <stp>RMS FP Equity</stp>
        <stp>IS_CURRENT_INCOME_TAX_BENEFIT</stp>
        <stp>FY 1998</stp>
        <stp>FY 1998</stp>
        <stp>[FA1_ididqeuc.xlsx]Income - Adjusted!R67C10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67" s="2"/>
      </tp>
      <tp t="s">
        <v>—</v>
        <stp/>
        <stp>##V3_BDHV12</stp>
        <stp>RMS FP Equity</stp>
        <stp>IS_CURRENT_INCOME_TAX_BENEFIT</stp>
        <stp>FY 1999</stp>
        <stp>FY 1999</stp>
        <stp>[FA1_ididqeuc.xlsx]Income - Adjusted!R67C11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67" s="2"/>
      </tp>
      <tp t="s">
        <v>—</v>
        <stp/>
        <stp>##V3_BDHV12</stp>
        <stp>RMS FP Equity</stp>
        <stp>IS_CURRENT_INCOME_TAX_BENEFIT</stp>
        <stp>FY 2004</stp>
        <stp>FY 2004</stp>
        <stp>[FA1_ididqeuc.xlsx]Income - Adjusted!R67C16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67" s="2"/>
      </tp>
      <tp t="s">
        <v>—</v>
        <stp/>
        <stp>##V3_BDHV12</stp>
        <stp>RMS FP Equity</stp>
        <stp>IS_CURRENT_INCOME_TAX_BENEFIT</stp>
        <stp>FY 2005</stp>
        <stp>FY 2005</stp>
        <stp>[FA1_ididqeuc.xlsx]Income - Adjusted!R67C17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67" s="2"/>
      </tp>
      <tp t="s">
        <v>—</v>
        <stp/>
        <stp>##V3_BDHV12</stp>
        <stp>RMS FP Equity</stp>
        <stp>IS_CURRENT_INCOME_TAX_BENEFIT</stp>
        <stp>FY 2002</stp>
        <stp>FY 2002</stp>
        <stp>[FA1_ididqeuc.xlsx]Income - Adjusted!R67C14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67" s="2"/>
      </tp>
      <tp t="s">
        <v>—</v>
        <stp/>
        <stp>##V3_BDHV12</stp>
        <stp>RMS FP Equity</stp>
        <stp>IS_CURRENT_INCOME_TAX_BENEFIT</stp>
        <stp>FY 2003</stp>
        <stp>FY 2003</stp>
        <stp>[FA1_ididqeuc.xlsx]Income - Adjusted!R67C15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67" s="2"/>
      </tp>
      <tp t="s">
        <v>—</v>
        <stp/>
        <stp>##V3_BDHV12</stp>
        <stp>RMS FP Equity</stp>
        <stp>IS_CURRENT_INCOME_TAX_BENEFIT</stp>
        <stp>FY 2006</stp>
        <stp>FY 2006</stp>
        <stp>[FA1_ididqeuc.xlsx]Income - Adjusted!R67C18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67" s="2"/>
      </tp>
      <tp t="s">
        <v>—</v>
        <stp/>
        <stp>##V3_BDHV12</stp>
        <stp>RMS FP Equity</stp>
        <stp>IS_CURRENT_INCOME_TAX_BENEFIT</stp>
        <stp>FY 2007</stp>
        <stp>FY 2007</stp>
        <stp>[FA1_ididqeuc.xlsx]Income - Adjusted!R67C19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67" s="2"/>
      </tp>
      <tp t="s">
        <v>—</v>
        <stp/>
        <stp>##V3_BDHV12</stp>
        <stp>RMS FP Equity</stp>
        <stp>IS_COG_AND_SERVICES_SOLD</stp>
        <stp>FY 2000</stp>
        <stp>FY 2000</stp>
        <stp>[FA1_ididqeuc.xlsx]Income - Adjusted!R12C12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L12" s="2"/>
      </tp>
      <tp>
        <v>1064.4728</v>
        <stp/>
        <stp>##V3_BDHV12</stp>
        <stp>RMS FP Equity</stp>
        <stp>IS_COG_AND_SERVICES_SOLD</stp>
        <stp>FY 2010</stp>
        <stp>FY 2010</stp>
        <stp>[FA1_ididqeuc.xlsx]Income - Adjusted!R12C22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V12" s="2"/>
      </tp>
      <tp>
        <v>6.1250999999999998</v>
        <stp/>
        <stp>##V3_BDHV12</stp>
        <stp>RMS FP Equity</stp>
        <stp>IS_DILUTED_EPS</stp>
        <stp>FY 1991</stp>
        <stp>FY 1991</stp>
        <stp>[FA1_ididqeuc.xlsx]Income - Adjusted!R106C3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C106" s="2"/>
      </tp>
      <tp>
        <v>0.4798</v>
        <stp/>
        <stp>##V3_BDHV12</stp>
        <stp>RMS FP Equity</stp>
        <stp>IS_DILUTED_EPS</stp>
        <stp>FY 1994</stp>
        <stp>FY 1994</stp>
        <stp>[FA1_ididqeuc.xlsx]Income - Adjusted!R106C6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F106" s="2"/>
      </tp>
      <tp>
        <v>0.73899999999999999</v>
        <stp/>
        <stp>##V3_BDHV12</stp>
        <stp>RMS FP Equity</stp>
        <stp>IS_DILUTED_EPS</stp>
        <stp>FY 1995</stp>
        <stp>FY 1995</stp>
        <stp>[FA1_ididqeuc.xlsx]Income - Adjusted!R106C7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G106" s="2"/>
      </tp>
      <tp>
        <v>9.5050000000000008</v>
        <stp/>
        <stp>##V3_BDHV12</stp>
        <stp>RMS FP Equity</stp>
        <stp>IS_DILUTED_EPS</stp>
        <stp>FY 1992</stp>
        <stp>FY 1992</stp>
        <stp>[FA1_ididqeuc.xlsx]Income - Adjusted!R106C4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D106" s="2"/>
      </tp>
      <tp>
        <v>0.65749999999999997</v>
        <stp/>
        <stp>##V3_BDHV12</stp>
        <stp>RMS FP Equity</stp>
        <stp>IS_DILUTED_EPS</stp>
        <stp>FY 1993</stp>
        <stp>FY 1993</stp>
        <stp>[FA1_ididqeuc.xlsx]Income - Adjusted!R106C5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E106" s="2"/>
      </tp>
      <tp>
        <v>0.81289999999999996</v>
        <stp/>
        <stp>##V3_BDHV12</stp>
        <stp>RMS FP Equity</stp>
        <stp>IS_DILUTED_EPS</stp>
        <stp>FY 1996</stp>
        <stp>FY 1996</stp>
        <stp>[FA1_ididqeuc.xlsx]Income - Adjusted!R106C8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H106" s="2"/>
      </tp>
      <tp>
        <v>0.82709999999999995</v>
        <stp/>
        <stp>##V3_BDHV12</stp>
        <stp>RMS FP Equity</stp>
        <stp>IS_DILUTED_EPS</stp>
        <stp>FY 1997</stp>
        <stp>FY 1997</stp>
        <stp>[FA1_ididqeuc.xlsx]Income - Adjusted!R106C9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I106" s="2"/>
      </tp>
      <tp t="s">
        <v>—</v>
        <stp/>
        <stp>##V3_BDHV12</stp>
        <stp>RMS FP Equity</stp>
        <stp>IS_COG_AND_SERVICES_SOLD</stp>
        <stp>FY 1999</stp>
        <stp>FY 1999</stp>
        <stp>[FA1_ididqeuc.xlsx]Income - Adjusted!R12C11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K12" s="2"/>
      </tp>
      <tp>
        <v>963.13739999999996</v>
        <stp/>
        <stp>##V3_BDHV12</stp>
        <stp>RMS FP Equity</stp>
        <stp>IS_COG_AND_SERVICES_SOLD</stp>
        <stp>FY 2009</stp>
        <stp>FY 2009</stp>
        <stp>[FA1_ididqeuc.xlsx]Income - Adjusted!R12C21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U12" s="2"/>
      </tp>
      <tp>
        <v>166.21270000000001</v>
        <stp/>
        <stp>##V3_BDHV12</stp>
        <stp>RMS FP Equity</stp>
        <stp>IS_OPERATING_EXPN</stp>
        <stp>FY 1991</stp>
        <stp>FY 1991</stp>
        <stp>[FA1_ididqeuc.xlsx]Income - Adjusted!R19C3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9" s="2"/>
      </tp>
      <tp t="s">
        <v>—</v>
        <stp/>
        <stp>##V3_BDHV12</stp>
        <stp>RMS FP Equity</stp>
        <stp>IS_COG_AND_SERVICES_SOLD</stp>
        <stp>FY 1998</stp>
        <stp>FY 1998</stp>
        <stp>[FA1_ididqeuc.xlsx]Income - Adjusted!R12C10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J12" s="2"/>
      </tp>
      <tp t="s">
        <v>—</v>
        <stp/>
        <stp>##V3_BDHV12</stp>
        <stp>RMS FP Equity</stp>
        <stp>IS_COG_AND_SERVICES_SOLD</stp>
        <stp>FY 2008</stp>
        <stp>FY 2008</stp>
        <stp>[FA1_ididqeuc.xlsx]Income - Adjusted!R12C20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T12" s="2"/>
      </tp>
      <tp>
        <v>300.47739999999999</v>
        <stp/>
        <stp>##V3_BDHV12</stp>
        <stp>RMS FP Equity</stp>
        <stp>IS_CURRENT_INCOME_TAX_BENEFIT</stp>
        <stp>FY 2010</stp>
        <stp>FY 2010</stp>
        <stp>[FA1_ididqeuc.xlsx]Income - Adjusted!R67C22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67" s="2"/>
      </tp>
      <tp>
        <v>399.75869999999998</v>
        <stp/>
        <stp>##V3_BDHV12</stp>
        <stp>RMS FP Equity</stp>
        <stp>IS_CURRENT_INCOME_TAX_BENEFIT</stp>
        <stp>FY 2011</stp>
        <stp>FY 2011</stp>
        <stp>[FA1_ididqeuc.xlsx]Income - Adjusted!R67C23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67" s="2"/>
      </tp>
      <tp>
        <v>240.78460000000001</v>
        <stp/>
        <stp>##V3_BDHV12</stp>
        <stp>RMS FP Equity</stp>
        <stp>IS_CURRENT_INCOME_TAX_BENEFIT</stp>
        <stp>FY 2008</stp>
        <stp>FY 2008</stp>
        <stp>[FA1_ididqeuc.xlsx]Income - Adjusted!R67C20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67" s="2"/>
      </tp>
      <tp>
        <v>224.78319999999999</v>
        <stp/>
        <stp>##V3_BDHV12</stp>
        <stp>RMS FP Equity</stp>
        <stp>IS_CURRENT_INCOME_TAX_BENEFIT</stp>
        <stp>FY 2009</stp>
        <stp>FY 2009</stp>
        <stp>[FA1_ididqeuc.xlsx]Income - Adjusted!R67C21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67" s="2"/>
      </tp>
      <tp>
        <v>611.50199999999995</v>
        <stp/>
        <stp>##V3_BDHV12</stp>
        <stp>RMS FP Equity</stp>
        <stp>IS_CURRENT_INCOME_TAX_BENEFIT</stp>
        <stp>FY 2014</stp>
        <stp>FY 2014</stp>
        <stp>[FA1_ididqeuc.xlsx]Income - Adjusted!R67C26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67" s="2"/>
      </tp>
      <tp>
        <v>598.84529999999995</v>
        <stp/>
        <stp>##V3_BDHV12</stp>
        <stp>RMS FP Equity</stp>
        <stp>IS_CURRENT_INCOME_TAX_BENEFIT</stp>
        <stp>FY 2015</stp>
        <stp>FY 2015</stp>
        <stp>[FA1_ididqeuc.xlsx]Income - Adjusted!R67C27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67" s="2"/>
      </tp>
      <tp>
        <v>511.90530000000001</v>
        <stp/>
        <stp>##V3_BDHV12</stp>
        <stp>RMS FP Equity</stp>
        <stp>IS_CURRENT_INCOME_TAX_BENEFIT</stp>
        <stp>FY 2012</stp>
        <stp>FY 2012</stp>
        <stp>[FA1_ididqeuc.xlsx]Income - Adjusted!R67C24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67" s="2"/>
      </tp>
      <tp>
        <v>570.64260000000002</v>
        <stp/>
        <stp>##V3_BDHV12</stp>
        <stp>RMS FP Equity</stp>
        <stp>IS_CURRENT_INCOME_TAX_BENEFIT</stp>
        <stp>FY 2013</stp>
        <stp>FY 2013</stp>
        <stp>[FA1_ididqeuc.xlsx]Income - Adjusted!R67C25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67" s="2"/>
      </tp>
      <tp>
        <v>677.93259999999998</v>
        <stp/>
        <stp>##V3_BDHV12</stp>
        <stp>RMS FP Equity</stp>
        <stp>IS_CURRENT_INCOME_TAX_BENEFIT</stp>
        <stp>FY 2016</stp>
        <stp>FY 2016</stp>
        <stp>[FA1_ididqeuc.xlsx]Income - Adjusted!R67C28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67" s="2"/>
      </tp>
      <tp>
        <v>779.16880000000003</v>
        <stp/>
        <stp>##V3_BDHV12</stp>
        <stp>RMS FP Equity</stp>
        <stp>IS_CURRENT_INCOME_TAX_BENEFIT</stp>
        <stp>FY 2017</stp>
        <stp>FY 2017</stp>
        <stp>[FA1_ididqeuc.xlsx]Income - Adjusted!R67C29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67" s="2"/>
      </tp>
      <tp>
        <v>1.4670000000000001</v>
        <stp/>
        <stp>##V3_BDHV12</stp>
        <stp>RMS FP Equity</stp>
        <stp>IS_EPS</stp>
        <stp>FY 2000</stp>
        <stp>FY 2000</stp>
        <stp>[FA1_ididqeuc.xlsx]Income - Adjusted!R97C12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L97" s="2"/>
      </tp>
      <tp>
        <v>1.645</v>
        <stp/>
        <stp>##V3_BDHV12</stp>
        <stp>RMS FP Equity</stp>
        <stp>IS_EPS</stp>
        <stp>FY 2001</stp>
        <stp>FY 2001</stp>
        <stp>[FA1_ididqeuc.xlsx]Income - Adjusted!R97C13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M97" s="2"/>
      </tp>
      <tp>
        <v>0.90069999999999995</v>
        <stp/>
        <stp>##V3_BDHV12</stp>
        <stp>RMS FP Equity</stp>
        <stp>IS_EPS</stp>
        <stp>FY 1998</stp>
        <stp>FY 1998</stp>
        <stp>[FA1_ididqeuc.xlsx]Income - Adjusted!R97C10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J97" s="2"/>
      </tp>
      <tp>
        <v>1.1504000000000001</v>
        <stp/>
        <stp>##V3_BDHV12</stp>
        <stp>RMS FP Equity</stp>
        <stp>IS_EPS</stp>
        <stp>FY 1999</stp>
        <stp>FY 1999</stp>
        <stp>[FA1_ididqeuc.xlsx]Income - Adjusted!R97C11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K97" s="2"/>
      </tp>
      <tp>
        <v>2.4178999999999999</v>
        <stp/>
        <stp>##V3_BDHV12</stp>
        <stp>RMS FP Equity</stp>
        <stp>IS_EPS</stp>
        <stp>FY 2004</stp>
        <stp>FY 2004</stp>
        <stp>[FA1_ididqeuc.xlsx]Income - Adjusted!R97C16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P97" s="2"/>
      </tp>
      <tp>
        <v>2.8201999999999998</v>
        <stp/>
        <stp>##V3_BDHV12</stp>
        <stp>RMS FP Equity</stp>
        <stp>IS_EPS</stp>
        <stp>FY 2005</stp>
        <stp>FY 2005</stp>
        <stp>[FA1_ididqeuc.xlsx]Income - Adjusted!R97C17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Q97" s="2"/>
      </tp>
      <tp>
        <v>1.8536999999999999</v>
        <stp/>
        <stp>##V3_BDHV12</stp>
        <stp>RMS FP Equity</stp>
        <stp>IS_EPS</stp>
        <stp>FY 2002</stp>
        <stp>FY 2002</stp>
        <stp>[FA1_ididqeuc.xlsx]Income - Adjusted!R97C14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N97" s="2"/>
      </tp>
      <tp>
        <v>2.2347000000000001</v>
        <stp/>
        <stp>##V3_BDHV12</stp>
        <stp>RMS FP Equity</stp>
        <stp>IS_EPS</stp>
        <stp>FY 2003</stp>
        <stp>FY 2003</stp>
        <stp>[FA1_ididqeuc.xlsx]Income - Adjusted!R97C15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O97" s="2"/>
      </tp>
      <tp>
        <v>3.1535000000000002</v>
        <stp/>
        <stp>##V3_BDHV12</stp>
        <stp>RMS FP Equity</stp>
        <stp>IS_EPS</stp>
        <stp>FY 2006</stp>
        <stp>FY 2006</stp>
        <stp>[FA1_ididqeuc.xlsx]Income - Adjusted!R97C18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R97" s="2"/>
      </tp>
      <tp>
        <v>3.7149000000000001</v>
        <stp/>
        <stp>##V3_BDHV12</stp>
        <stp>RMS FP Equity</stp>
        <stp>IS_EPS</stp>
        <stp>FY 2007</stp>
        <stp>FY 2007</stp>
        <stp>[FA1_ididqeuc.xlsx]Income - Adjusted!R97C19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S97" s="2"/>
      </tp>
      <tp>
        <v>5.3197000000000001</v>
        <stp/>
        <stp>##V3_BDHV12</stp>
        <stp>RMS FP Equity</stp>
        <stp>IS_EPS</stp>
        <stp>FY 2010</stp>
        <stp>FY 2010</stp>
        <stp>[FA1_ididqeuc.xlsx]Income - Adjusted!R97C22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V97" s="2"/>
      </tp>
      <tp>
        <v>7.9088000000000003</v>
        <stp/>
        <stp>##V3_BDHV12</stp>
        <stp>RMS FP Equity</stp>
        <stp>IS_EPS</stp>
        <stp>FY 2011</stp>
        <stp>FY 2011</stp>
        <stp>[FA1_ididqeuc.xlsx]Income - Adjusted!R97C23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W97" s="2"/>
      </tp>
      <tp>
        <v>4.0597000000000003</v>
        <stp/>
        <stp>##V3_BDHV12</stp>
        <stp>RMS FP Equity</stp>
        <stp>IS_EPS</stp>
        <stp>FY 2008</stp>
        <stp>FY 2008</stp>
        <stp>[FA1_ididqeuc.xlsx]Income - Adjusted!R97C20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T97" s="2"/>
      </tp>
      <tp>
        <v>3.8346999999999998</v>
        <stp/>
        <stp>##V3_BDHV12</stp>
        <stp>RMS FP Equity</stp>
        <stp>IS_EPS</stp>
        <stp>FY 2009</stp>
        <stp>FY 2009</stp>
        <stp>[FA1_ididqeuc.xlsx]Income - Adjusted!R97C21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U97" s="2"/>
      </tp>
      <tp>
        <v>10.9467</v>
        <stp/>
        <stp>##V3_BDHV12</stp>
        <stp>RMS FP Equity</stp>
        <stp>IS_EPS</stp>
        <stp>FY 2014</stp>
        <stp>FY 2014</stp>
        <stp>[FA1_ididqeuc.xlsx]Income - Adjusted!R97C26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Z97" s="2"/>
      </tp>
      <tp>
        <v>10.3452</v>
        <stp/>
        <stp>##V3_BDHV12</stp>
        <stp>RMS FP Equity</stp>
        <stp>IS_EPS</stp>
        <stp>FY 2015</stp>
        <stp>FY 2015</stp>
        <stp>[FA1_ididqeuc.xlsx]Income - Adjusted!R97C27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AA97" s="2"/>
      </tp>
      <tp>
        <v>9.1425000000000001</v>
        <stp/>
        <stp>##V3_BDHV12</stp>
        <stp>RMS FP Equity</stp>
        <stp>IS_EPS</stp>
        <stp>FY 2012</stp>
        <stp>FY 2012</stp>
        <stp>[FA1_ididqeuc.xlsx]Income - Adjusted!R97C24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X97" s="2"/>
      </tp>
      <tp>
        <v>10.081899999999999</v>
        <stp/>
        <stp>##V3_BDHV12</stp>
        <stp>RMS FP Equity</stp>
        <stp>IS_EPS</stp>
        <stp>FY 2013</stp>
        <stp>FY 2013</stp>
        <stp>[FA1_ididqeuc.xlsx]Income - Adjusted!R97C25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Y97" s="2"/>
      </tp>
      <tp>
        <v>11.6549</v>
        <stp/>
        <stp>##V3_BDHV12</stp>
        <stp>RMS FP Equity</stp>
        <stp>IS_EPS</stp>
        <stp>FY 2016</stp>
        <stp>FY 2016</stp>
        <stp>[FA1_ididqeuc.xlsx]Income - Adjusted!R97C28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AB97" s="2"/>
      </tp>
      <tp>
        <v>13.217700000000001</v>
        <stp/>
        <stp>##V3_BDHV12</stp>
        <stp>RMS FP Equity</stp>
        <stp>IS_EPS</stp>
        <stp>FY 2017</stp>
        <stp>FY 2017</stp>
        <stp>[FA1_ididqeuc.xlsx]Income - Adjusted!R97C29</stp>
        <stp>Currency=USD</stp>
        <stp>Period=FY</stp>
        <stp>BEST_FPERIOD_OVERRIDE=FY</stp>
        <stp>FILING_STATUS=MR</stp>
        <stp>FA_ADJUSTED=GAAP</stp>
        <stp>Sort=A</stp>
        <stp>Dates=H</stp>
        <stp>DateFormat=P</stp>
        <stp>Fill=—</stp>
        <stp>Direction=H</stp>
        <stp>UseDPDF=Y</stp>
        <tr r="AC97" s="2"/>
      </tp>
      <tp t="s">
        <v>—</v>
        <stp/>
        <stp>##V3_BDHV12</stp>
        <stp>RMS FP Equity</stp>
        <stp>IS_OTHER_OPER_INC</stp>
        <stp>FY 1991</stp>
        <stp>FY 1991</stp>
        <stp>[FA1_ididqeuc.xlsx]Income - Adjusted!R18C3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C18" s="2"/>
      </tp>
      <tp>
        <v>341.35930000000002</v>
        <stp/>
        <stp>##V3_BDHV12</stp>
        <stp>RMS FP Equity</stp>
        <stp>IS_OPERATING_EXPN</stp>
        <stp>FY 1996</stp>
        <stp>FY 1996</stp>
        <stp>[FA1_ididqeuc.xlsx]Income - Adjusted!R19C8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H19" s="2"/>
      </tp>
      <tp t="s">
        <v>—</v>
        <stp/>
        <stp>##V3_BDHV12</stp>
        <stp>RMS FP Equity</stp>
        <stp>IS_OTHER_OPER_INC</stp>
        <stp>FY 1995</stp>
        <stp>FY 1995</stp>
        <stp>[FA1_ididqeuc.xlsx]Income - Adjusted!R18C7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G18" s="2"/>
      </tp>
      <tp t="s">
        <v>—</v>
        <stp/>
        <stp>##V3_BDHV12</stp>
        <stp>RMS FP Equity</stp>
        <stp>IS_NET_ABNORMAL_ITEMS</stp>
        <stp>FY 2007</stp>
        <stp>FY 2007</stp>
        <stp>[FA1_ididqeuc.xlsx]Income - Adjusted!R91C19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S91" s="2"/>
      </tp>
      <tp t="s">
        <v>—</v>
        <stp/>
        <stp>##V3_BDHV12</stp>
        <stp>RMS FP Equity</stp>
        <stp>IS_NET_ABNORMAL_ITEMS</stp>
        <stp>FY 2006</stp>
        <stp>FY 2006</stp>
        <stp>[FA1_ididqeuc.xlsx]Income - Adjusted!R91C18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R91" s="2"/>
      </tp>
      <tp t="s">
        <v>—</v>
        <stp/>
        <stp>##V3_BDHV12</stp>
        <stp>RMS FP Equity</stp>
        <stp>IS_NET_ABNORMAL_ITEMS</stp>
        <stp>FY 2005</stp>
        <stp>FY 2005</stp>
        <stp>[FA1_ididqeuc.xlsx]Income - Adjusted!R91C17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Q91" s="2"/>
      </tp>
      <tp t="s">
        <v>—</v>
        <stp/>
        <stp>##V3_BDHV12</stp>
        <stp>RMS FP Equity</stp>
        <stp>IS_NET_ABNORMAL_ITEMS</stp>
        <stp>FY 2004</stp>
        <stp>FY 2004</stp>
        <stp>[FA1_ididqeuc.xlsx]Income - Adjusted!R91C16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P91" s="2"/>
      </tp>
      <tp t="s">
        <v>—</v>
        <stp/>
        <stp>##V3_BDHV12</stp>
        <stp>RMS FP Equity</stp>
        <stp>IS_NET_ABNORMAL_ITEMS</stp>
        <stp>FY 2003</stp>
        <stp>FY 2003</stp>
        <stp>[FA1_ididqeuc.xlsx]Income - Adjusted!R91C15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O91" s="2"/>
      </tp>
      <tp t="s">
        <v>—</v>
        <stp/>
        <stp>##V3_BDHV12</stp>
        <stp>RMS FP Equity</stp>
        <stp>IS_NET_ABNORMAL_ITEMS</stp>
        <stp>FY 2002</stp>
        <stp>FY 2002</stp>
        <stp>[FA1_ididqeuc.xlsx]Income - Adjusted!R91C14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N91" s="2"/>
      </tp>
      <tp t="s">
        <v>—</v>
        <stp/>
        <stp>##V3_BDHV12</stp>
        <stp>RMS FP Equity</stp>
        <stp>IS_NET_ABNORMAL_ITEMS</stp>
        <stp>FY 2001</stp>
        <stp>FY 2001</stp>
        <stp>[FA1_ididqeuc.xlsx]Income - Adjusted!R91C13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M91" s="2"/>
      </tp>
      <tp t="s">
        <v>—</v>
        <stp/>
        <stp>##V3_BDHV12</stp>
        <stp>RMS FP Equity</stp>
        <stp>IS_NET_ABNORMAL_ITEMS</stp>
        <stp>FY 2000</stp>
        <stp>FY 2000</stp>
        <stp>[FA1_ididqeuc.xlsx]Income - Adjusted!R91C12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L91" s="2"/>
      </tp>
      <tp t="s">
        <v>—</v>
        <stp/>
        <stp>##V3_BDHV12</stp>
        <stp>RMS FP Equity</stp>
        <stp>IS_NET_ABNORMAL_ITEMS</stp>
        <stp>FY 1999</stp>
        <stp>FY 1999</stp>
        <stp>[FA1_ididqeuc.xlsx]Income - Adjusted!R91C11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K91" s="2"/>
      </tp>
      <tp t="s">
        <v>—</v>
        <stp/>
        <stp>##V3_BDHV12</stp>
        <stp>RMS FP Equity</stp>
        <stp>IS_NET_ABNORMAL_ITEMS</stp>
        <stp>FY 1998</stp>
        <stp>FY 1998</stp>
        <stp>[FA1_ididqeuc.xlsx]Income - Adjusted!R91C10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J91" s="2"/>
      </tp>
      <tp>
        <v>325.87869999999998</v>
        <stp/>
        <stp>##V3_BDHV12</stp>
        <stp>RMS FP Equity</stp>
        <stp>IS_OPERATING_EXPN</stp>
        <stp>FY 1997</stp>
        <stp>FY 1997</stp>
        <stp>[FA1_ididqeuc.xlsx]Income - Adjusted!R19C9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I19" s="2"/>
      </tp>
      <tp t="s">
        <v>—</v>
        <stp/>
        <stp>##V3_BDHV12</stp>
        <stp>RMS FP Equity</stp>
        <stp>IS_OTHER_OPER_INC</stp>
        <stp>FY 1994</stp>
        <stp>FY 1994</stp>
        <stp>[FA1_ididqeuc.xlsx]Income - Adjusted!R18C6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F18" s="2"/>
      </tp>
      <tp t="s">
        <v>—</v>
        <stp/>
        <stp>##V3_BDHV12</stp>
        <stp>RMS FP Equity</stp>
        <stp>IS_DEFERRED_INCOME_TAX_BENEFIT</stp>
        <stp>FY 1997</stp>
        <stp>FY 1997</stp>
        <stp>[FA1_ididqeuc.xlsx]Income - Adjusted!R69C9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69" s="2"/>
      </tp>
      <tp t="s">
        <v>—</v>
        <stp/>
        <stp>##V3_BDHV12</stp>
        <stp>RMS FP Equity</stp>
        <stp>IS_DEFERRED_INCOME_TAX_BENEFIT</stp>
        <stp>FY 1996</stp>
        <stp>FY 1996</stp>
        <stp>[FA1_ididqeuc.xlsx]Income - Adjusted!R69C8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69" s="2"/>
      </tp>
      <tp t="s">
        <v>—</v>
        <stp/>
        <stp>##V3_BDHV12</stp>
        <stp>RMS FP Equity</stp>
        <stp>IS_DEFERRED_INCOME_TAX_BENEFIT</stp>
        <stp>FY 1991</stp>
        <stp>FY 1991</stp>
        <stp>[FA1_ididqeuc.xlsx]Income - Adjusted!R69C3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69" s="2"/>
      </tp>
      <tp t="s">
        <v>—</v>
        <stp/>
        <stp>##V3_BDHV12</stp>
        <stp>RMS FP Equity</stp>
        <stp>IS_DEFERRED_INCOME_TAX_BENEFIT</stp>
        <stp>FY 1993</stp>
        <stp>FY 1993</stp>
        <stp>[FA1_ididqeuc.xlsx]Income - Adjusted!R69C5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69" s="2"/>
      </tp>
      <tp t="s">
        <v>—</v>
        <stp/>
        <stp>##V3_BDHV12</stp>
        <stp>RMS FP Equity</stp>
        <stp>IS_DEFERRED_INCOME_TAX_BENEFIT</stp>
        <stp>FY 1992</stp>
        <stp>FY 1992</stp>
        <stp>[FA1_ididqeuc.xlsx]Income - Adjusted!R69C4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69" s="2"/>
      </tp>
      <tp t="s">
        <v>—</v>
        <stp/>
        <stp>##V3_BDHV12</stp>
        <stp>RMS FP Equity</stp>
        <stp>IS_DEFERRED_INCOME_TAX_BENEFIT</stp>
        <stp>FY 1995</stp>
        <stp>FY 1995</stp>
        <stp>[FA1_ididqeuc.xlsx]Income - Adjusted!R69C7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69" s="2"/>
      </tp>
      <tp t="s">
        <v>—</v>
        <stp/>
        <stp>##V3_BDHV12</stp>
        <stp>RMS FP Equity</stp>
        <stp>IS_DEFERRED_INCOME_TAX_BENEFIT</stp>
        <stp>FY 1994</stp>
        <stp>FY 1994</stp>
        <stp>[FA1_ididqeuc.xlsx]Income - Adjusted!R69C6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69" s="2"/>
      </tp>
      <tp t="s">
        <v>—</v>
        <stp/>
        <stp>##V3_BDHV12</stp>
        <stp>RMS FP Equity</stp>
        <stp>IS_OTHER_OPER_INC</stp>
        <stp>FY 1993</stp>
        <stp>FY 1993</stp>
        <stp>[FA1_ididqeuc.xlsx]Income - Adjusted!R18C5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E18" s="2"/>
      </tp>
      <tp t="s">
        <v>—</v>
        <stp/>
        <stp>##V3_BDHV12</stp>
        <stp>RMS FP Equity</stp>
        <stp>IS_COG_AND_SERVICES_SOLD</stp>
        <stp>FY 2007</stp>
        <stp>FY 2007</stp>
        <stp>[FA1_ididqeuc.xlsx]Income - Adjusted!R12C19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S12" s="2"/>
      </tp>
      <tp>
        <v>1836.136</v>
        <stp/>
        <stp>##V3_BDHV12</stp>
        <stp>RMS FP Equity</stp>
        <stp>IS_COG_AND_SERVICES_SOLD</stp>
        <stp>FY 2017</stp>
        <stp>FY 2017</stp>
        <stp>[FA1_ididqeuc.xlsx]Income - Adjusted!R12C29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C12" s="2"/>
      </tp>
      <tp t="s">
        <v>—</v>
        <stp/>
        <stp>##V3_BDHV12</stp>
        <stp>RMS FP Equity</stp>
        <stp>IS_EXTRAORD_ITEMS_&amp;_ACCTG_CHNG</stp>
        <stp>FY 1991</stp>
        <stp>FY 1991</stp>
        <stp>[FA1_ididqeuc.xlsx]Income - Adjusted!R77C3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C77" s="2"/>
      </tp>
      <tp t="s">
        <v>—</v>
        <stp/>
        <stp>##V3_BDHV12</stp>
        <stp>RMS FP Equity</stp>
        <stp>IS_EXTRAORD_ITEMS_&amp;_ACCTG_CHNG</stp>
        <stp>FY 1994</stp>
        <stp>FY 1994</stp>
        <stp>[FA1_ididqeuc.xlsx]Income - Adjusted!R77C6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F77" s="2"/>
      </tp>
      <tp t="s">
        <v>—</v>
        <stp/>
        <stp>##V3_BDHV12</stp>
        <stp>RMS FP Equity</stp>
        <stp>IS_EXTRAORD_ITEMS_&amp;_ACCTG_CHNG</stp>
        <stp>FY 1995</stp>
        <stp>FY 1995</stp>
        <stp>[FA1_ididqeuc.xlsx]Income - Adjusted!R77C7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G77" s="2"/>
      </tp>
      <tp t="s">
        <v>—</v>
        <stp/>
        <stp>##V3_BDHV12</stp>
        <stp>RMS FP Equity</stp>
        <stp>IS_EXTRAORD_ITEMS_&amp;_ACCTG_CHNG</stp>
        <stp>FY 1992</stp>
        <stp>FY 1992</stp>
        <stp>[FA1_ididqeuc.xlsx]Income - Adjusted!R77C4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D77" s="2"/>
      </tp>
      <tp t="s">
        <v>—</v>
        <stp/>
        <stp>##V3_BDHV12</stp>
        <stp>RMS FP Equity</stp>
        <stp>IS_EXTRAORD_ITEMS_&amp;_ACCTG_CHNG</stp>
        <stp>FY 1993</stp>
        <stp>FY 1993</stp>
        <stp>[FA1_ididqeuc.xlsx]Income - Adjusted!R77C5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E77" s="2"/>
      </tp>
      <tp t="s">
        <v>—</v>
        <stp/>
        <stp>##V3_BDHV12</stp>
        <stp>RMS FP Equity</stp>
        <stp>IS_EXTRAORD_ITEMS_&amp;_ACCTG_CHNG</stp>
        <stp>FY 1996</stp>
        <stp>FY 1996</stp>
        <stp>[FA1_ididqeuc.xlsx]Income - Adjusted!R77C8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H77" s="2"/>
      </tp>
      <tp t="s">
        <v>—</v>
        <stp/>
        <stp>##V3_BDHV12</stp>
        <stp>RMS FP Equity</stp>
        <stp>IS_EXTRAORD_ITEMS_&amp;_ACCTG_CHNG</stp>
        <stp>FY 1997</stp>
        <stp>FY 1997</stp>
        <stp>[FA1_ididqeuc.xlsx]Income - Adjusted!R77C9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I77" s="2"/>
      </tp>
      <tp t="s">
        <v>—</v>
        <stp/>
        <stp>##V3_BDHV12</stp>
        <stp>RMS FP Equity</stp>
        <stp>IS_OTHER_OPER_INC</stp>
        <stp>FY 1992</stp>
        <stp>FY 1992</stp>
        <stp>[FA1_ididqeuc.xlsx]Income - Adjusted!R18C4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D18" s="2"/>
      </tp>
      <tp t="s">
        <v>—</v>
        <stp/>
        <stp>##V3_BDHV12</stp>
        <stp>RMS FP Equity</stp>
        <stp>IS_COG_AND_SERVICES_SOLD</stp>
        <stp>FY 2006</stp>
        <stp>FY 2006</stp>
        <stp>[FA1_ididqeuc.xlsx]Income - Adjusted!R12C18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R12" s="2"/>
      </tp>
      <tp>
        <v>1824.2750000000001</v>
        <stp/>
        <stp>##V3_BDHV12</stp>
        <stp>RMS FP Equity</stp>
        <stp>IS_COG_AND_SERVICES_SOLD</stp>
        <stp>FY 2016</stp>
        <stp>FY 2016</stp>
        <stp>[FA1_ididqeuc.xlsx]Income - Adjusted!R12C28</stp>
        <stp>Currency=USD</stp>
        <stp>Period=FY</stp>
        <stp>BEST_FPERIOD_OVERRIDE=FY</stp>
        <stp>FILING_STATUS=MR</stp>
        <stp>SCALING_FORMAT=MLN</stp>
        <stp>FA_ADJUSTED=Adjusted</stp>
        <stp>Sort=A</stp>
        <stp>Dates=H</stp>
        <stp>DateFormat=P</stp>
        <stp>Fill=—</stp>
        <stp>Direction=H</stp>
        <stp>UseDPDF=Y</stp>
        <tr r="AB12" s="2"/>
      </tp>
      <tp>
        <v>31.052</v>
        <stp/>
        <stp>##V3_BDHV12</stp>
        <stp>RMS FP Equity</stp>
        <stp>IS_NET_ABNORMAL_ITEMS</stp>
        <stp>FY 2017</stp>
        <stp>FY 2017</stp>
        <stp>[FA1_ididqeuc.xlsx]Income - Adjusted!R91C29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C91" s="2"/>
      </tp>
      <tp>
        <v>6.6798999999999999</v>
        <stp/>
        <stp>##V3_BDHV12</stp>
        <stp>RMS FP Equity</stp>
        <stp>IS_NET_ABNORMAL_ITEMS</stp>
        <stp>FY 2016</stp>
        <stp>FY 2016</stp>
        <stp>[FA1_ididqeuc.xlsx]Income - Adjusted!R91C28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B91" s="2"/>
      </tp>
      <tp>
        <v>20.552800000000001</v>
        <stp/>
        <stp>##V3_BDHV12</stp>
        <stp>RMS FP Equity</stp>
        <stp>IS_NET_ABNORMAL_ITEMS</stp>
        <stp>FY 2015</stp>
        <stp>FY 2015</stp>
        <stp>[FA1_ididqeuc.xlsx]Income - Adjusted!R91C27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AA91" s="2"/>
      </tp>
      <tp>
        <v>27.935400000000001</v>
        <stp/>
        <stp>##V3_BDHV12</stp>
        <stp>RMS FP Equity</stp>
        <stp>IS_NET_ABNORMAL_ITEMS</stp>
        <stp>FY 2014</stp>
        <stp>FY 2014</stp>
        <stp>[FA1_ididqeuc.xlsx]Income - Adjusted!R91C26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Z91" s="2"/>
      </tp>
      <tp>
        <v>25.349499999999999</v>
        <stp/>
        <stp>##V3_BDHV12</stp>
        <stp>RMS FP Equity</stp>
        <stp>IS_NET_ABNORMAL_ITEMS</stp>
        <stp>FY 2013</stp>
        <stp>FY 2013</stp>
        <stp>[FA1_ididqeuc.xlsx]Income - Adjusted!R91C25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Y91" s="2"/>
      </tp>
      <tp>
        <v>8.7291000000000007</v>
        <stp/>
        <stp>##V3_BDHV12</stp>
        <stp>RMS FP Equity</stp>
        <stp>IS_NET_ABNORMAL_ITEMS</stp>
        <stp>FY 2012</stp>
        <stp>FY 2012</stp>
        <stp>[FA1_ididqeuc.xlsx]Income - Adjusted!R91C24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X91" s="2"/>
      </tp>
      <tp>
        <v>1.8685</v>
        <stp/>
        <stp>##V3_BDHV12</stp>
        <stp>RMS FP Equity</stp>
        <stp>IS_NET_ABNORMAL_ITEMS</stp>
        <stp>FY 2011</stp>
        <stp>FY 2011</stp>
        <stp>[FA1_ididqeuc.xlsx]Income - Adjusted!R91C23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W91" s="2"/>
      </tp>
      <tp>
        <v>3.3069999999999999</v>
        <stp/>
        <stp>##V3_BDHV12</stp>
        <stp>RMS FP Equity</stp>
        <stp>IS_NET_ABNORMAL_ITEMS</stp>
        <stp>FY 2010</stp>
        <stp>FY 2010</stp>
        <stp>[FA1_ididqeuc.xlsx]Income - Adjusted!R91C22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V91" s="2"/>
      </tp>
      <tp>
        <v>2.5613000000000001</v>
        <stp/>
        <stp>##V3_BDHV12</stp>
        <stp>RMS FP Equity</stp>
        <stp>IS_NET_ABNORMAL_ITEMS</stp>
        <stp>FY 2009</stp>
        <stp>FY 2009</stp>
        <stp>[FA1_ididqeuc.xlsx]Income - Adjusted!R91C21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U91" s="2"/>
      </tp>
      <tp>
        <v>28.991599999999998</v>
        <stp/>
        <stp>##V3_BDHV12</stp>
        <stp>RMS FP Equity</stp>
        <stp>IS_NET_ABNORMAL_ITEMS</stp>
        <stp>FY 2008</stp>
        <stp>FY 2008</stp>
        <stp>[FA1_ididqeuc.xlsx]Income - Adjusted!R91C20</stp>
        <stp>Currency=USD</stp>
        <stp>Period=FY</stp>
        <stp>BEST_FPERIOD_OVERRIDE=FY</stp>
        <stp>FILING_STATUS=MR</stp>
        <stp>SCALING_FORMAT=MLN</stp>
        <stp>Sort=A</stp>
        <stp>Dates=H</stp>
        <stp>DateFormat=P</stp>
        <stp>Fill=—</stp>
        <stp>Direction=H</stp>
        <stp>UseDPDF=Y</stp>
        <tr r="T9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topLeftCell="A4" workbookViewId="0">
      <selection activeCell="A4" sqref="A1:XFD1048576"/>
    </sheetView>
  </sheetViews>
  <sheetFormatPr defaultRowHeight="15" x14ac:dyDescent="0.25"/>
  <cols>
    <col min="1" max="1" width="35.140625" customWidth="1"/>
    <col min="2" max="2" width="0" hidden="1" customWidth="1"/>
    <col min="3" max="31" width="11.85546875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0.25" x14ac:dyDescent="0.25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3" t="s">
        <v>5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3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</row>
    <row r="5" spans="1:31" x14ac:dyDescent="0.25">
      <c r="A5" s="9" t="s">
        <v>34</v>
      </c>
      <c r="B5" s="9"/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  <c r="AB5" s="5" t="s">
        <v>60</v>
      </c>
      <c r="AC5" s="5" t="s">
        <v>61</v>
      </c>
      <c r="AD5" s="5" t="s">
        <v>62</v>
      </c>
      <c r="AE5" s="5" t="s">
        <v>63</v>
      </c>
    </row>
    <row r="6" spans="1:31" x14ac:dyDescent="0.25">
      <c r="A6" s="6" t="s">
        <v>0</v>
      </c>
      <c r="B6" s="6" t="s">
        <v>64</v>
      </c>
      <c r="C6" s="14">
        <f>_xll.BDH("RMS FP Equity","SALES_REV_TURN","FY 1991","FY 1991","Currency=USD","Period=FY","BEST_FPERIOD_OVERRIDE=FY","FILING_STATUS=MR","SCALING_FORMAT=MLN","FA_ADJUSTED=Adjusted","Sort=A","Dates=H","DateFormat=P","Fill=—","Direction=H","UseDPDF=Y")</f>
        <v>425.97899999999998</v>
      </c>
      <c r="D6" s="14">
        <f>_xll.BDH("RMS FP Equity","SALES_REV_TURN","FY 1992","FY 1992","Currency=USD","Period=FY","BEST_FPERIOD_OVERRIDE=FY","FILING_STATUS=MR","SCALING_FORMAT=MLN","FA_ADJUSTED=Adjusted","Sort=A","Dates=H","DateFormat=P","Fill=—","Direction=H","UseDPDF=Y")</f>
        <v>465.04930000000002</v>
      </c>
      <c r="E6" s="14">
        <f>_xll.BDH("RMS FP Equity","SALES_REV_TURN","FY 1993","FY 1993","Currency=USD","Period=FY","BEST_FPERIOD_OVERRIDE=FY","FILING_STATUS=MR","SCALING_FORMAT=MLN","FA_ADJUSTED=Adjusted","Sort=A","Dates=H","DateFormat=P","Fill=—","Direction=H","UseDPDF=Y")</f>
        <v>503.79849999999999</v>
      </c>
      <c r="F6" s="14">
        <f>_xll.BDH("RMS FP Equity","SALES_REV_TURN","FY 1994","FY 1994","Currency=USD","Period=FY","BEST_FPERIOD_OVERRIDE=FY","FILING_STATUS=MR","SCALING_FORMAT=MLN","FA_ADJUSTED=Adjusted","Sort=A","Dates=H","DateFormat=P","Fill=—","Direction=H","UseDPDF=Y")</f>
        <v>619.18299999999999</v>
      </c>
      <c r="G6" s="14">
        <f>_xll.BDH("RMS FP Equity","SALES_REV_TURN","FY 1995","FY 1995","Currency=USD","Period=FY","BEST_FPERIOD_OVERRIDE=FY","FILING_STATUS=MR","SCALING_FORMAT=MLN","FA_ADJUSTED=Adjusted","Sort=A","Dates=H","DateFormat=P","Fill=—","Direction=H","UseDPDF=Y")</f>
        <v>767.85739999999998</v>
      </c>
      <c r="H6" s="14">
        <f>_xll.BDH("RMS FP Equity","SALES_REV_TURN","FY 1996","FY 1996","Currency=USD","Period=FY","BEST_FPERIOD_OVERRIDE=FY","FILING_STATUS=MR","SCALING_FORMAT=MLN","FA_ADJUSTED=Adjusted","Sort=A","Dates=H","DateFormat=P","Fill=—","Direction=H","UseDPDF=Y")</f>
        <v>818.15120000000002</v>
      </c>
      <c r="I6" s="14">
        <f>_xll.BDH("RMS FP Equity","SALES_REV_TURN","FY 1997","FY 1997","Currency=USD","Period=FY","BEST_FPERIOD_OVERRIDE=FY","FILING_STATUS=MR","SCALING_FORMAT=MLN","FA_ADJUSTED=Adjusted","Sort=A","Dates=H","DateFormat=P","Fill=—","Direction=H","UseDPDF=Y")</f>
        <v>833.64009999999996</v>
      </c>
      <c r="J6" s="14">
        <f>_xll.BDH("RMS FP Equity","SALES_REV_TURN","FY 1998","FY 1998","Currency=USD","Period=FY","BEST_FPERIOD_OVERRIDE=FY","FILING_STATUS=MR","SCALING_FORMAT=MLN","FA_ADJUSTED=Adjusted","Sort=A","Dates=H","DateFormat=P","Fill=—","Direction=H","UseDPDF=Y")</f>
        <v>854.94299999999998</v>
      </c>
      <c r="K6" s="14">
        <f>_xll.BDH("RMS FP Equity","SALES_REV_TURN","FY 1999","FY 1999","Currency=USD","Period=FY","BEST_FPERIOD_OVERRIDE=FY","FILING_STATUS=MR","SCALING_FORMAT=MLN","FA_ADJUSTED=Adjusted","Sort=A","Dates=H","DateFormat=P","Fill=—","Direction=H","UseDPDF=Y")</f>
        <v>988.38229999999999</v>
      </c>
      <c r="L6" s="14">
        <f>_xll.BDH("RMS FP Equity","SALES_REV_TURN","FY 2000","FY 2000","Currency=USD","Period=FY","BEST_FPERIOD_OVERRIDE=FY","FILING_STATUS=MR","SCALING_FORMAT=MLN","FA_ADJUSTED=Adjusted","Sort=A","Dates=H","DateFormat=P","Fill=—","Direction=H","UseDPDF=Y")</f>
        <v>1070.2392</v>
      </c>
      <c r="M6" s="14">
        <f>_xll.BDH("RMS FP Equity","SALES_REV_TURN","FY 2001","FY 2001","Currency=USD","Period=FY","BEST_FPERIOD_OVERRIDE=FY","FILING_STATUS=MR","SCALING_FORMAT=MLN","FA_ADJUSTED=Adjusted","Sort=A","Dates=H","DateFormat=P","Fill=—","Direction=H","UseDPDF=Y")</f>
        <v>1098.8493000000001</v>
      </c>
      <c r="N6" s="14">
        <f>_xll.BDH("RMS FP Equity","SALES_REV_TURN","FY 2002","FY 2002","Currency=USD","Period=FY","BEST_FPERIOD_OVERRIDE=FY","FILING_STATUS=MR","SCALING_FORMAT=MLN","FA_ADJUSTED=Adjusted","Sort=A","Dates=H","DateFormat=P","Fill=—","Direction=H","UseDPDF=Y")</f>
        <v>1174.9357</v>
      </c>
      <c r="O6" s="14">
        <f>_xll.BDH("RMS FP Equity","SALES_REV_TURN","FY 2003","FY 2003","Currency=USD","Period=FY","BEST_FPERIOD_OVERRIDE=FY","FILING_STATUS=MR","SCALING_FORMAT=MLN","FA_ADJUSTED=Adjusted","Sort=A","Dates=H","DateFormat=P","Fill=—","Direction=H","UseDPDF=Y")</f>
        <v>1392.9246000000001</v>
      </c>
      <c r="P6" s="14">
        <f>_xll.BDH("RMS FP Equity","SALES_REV_TURN","FY 2004","FY 2004","Currency=USD","Period=FY","BEST_FPERIOD_OVERRIDE=FY","FILING_STATUS=MR","SCALING_FORMAT=MLN","FA_ADJUSTED=Adjusted","Sort=A","Dates=H","DateFormat=P","Fill=—","Direction=H","UseDPDF=Y")</f>
        <v>1656.5505000000001</v>
      </c>
      <c r="Q6" s="14">
        <f>_xll.BDH("RMS FP Equity","SALES_REV_TURN","FY 2005","FY 2005","Currency=USD","Period=FY","BEST_FPERIOD_OVERRIDE=FY","FILING_STATUS=MR","SCALING_FORMAT=MLN","FA_ADJUSTED=Adjusted","Sort=A","Dates=H","DateFormat=P","Fill=—","Direction=H","UseDPDF=Y")</f>
        <v>1775.9960000000001</v>
      </c>
      <c r="R6" s="14">
        <f>_xll.BDH("RMS FP Equity","SALES_REV_TURN","FY 2006","FY 2006","Currency=USD","Period=FY","BEST_FPERIOD_OVERRIDE=FY","FILING_STATUS=MR","SCALING_FORMAT=MLN","FA_ADJUSTED=Adjusted","Sort=A","Dates=H","DateFormat=P","Fill=—","Direction=H","UseDPDF=Y")</f>
        <v>1903.3027999999999</v>
      </c>
      <c r="S6" s="14">
        <f>_xll.BDH("RMS FP Equity","SALES_REV_TURN","FY 2007","FY 2007","Currency=USD","Period=FY","BEST_FPERIOD_OVERRIDE=FY","FILING_STATUS=MR","SCALING_FORMAT=MLN","FA_ADJUSTED=Adjusted","Sort=A","Dates=H","DateFormat=P","Fill=—","Direction=H","UseDPDF=Y")</f>
        <v>2227.6844999999998</v>
      </c>
      <c r="T6" s="14">
        <f>_xll.BDH("RMS FP Equity","SALES_REV_TURN","FY 2008","FY 2008","Currency=USD","Period=FY","BEST_FPERIOD_OVERRIDE=FY","FILING_STATUS=MR","SCALING_FORMAT=MLN","FA_ADJUSTED=Adjusted","Sort=A","Dates=H","DateFormat=P","Fill=—","Direction=H","UseDPDF=Y")</f>
        <v>2595.5315000000001</v>
      </c>
      <c r="U6" s="14">
        <f>_xll.BDH("RMS FP Equity","SALES_REV_TURN","FY 2009","FY 2009","Currency=USD","Period=FY","BEST_FPERIOD_OVERRIDE=FY","FILING_STATUS=MR","SCALING_FORMAT=MLN","FA_ADJUSTED=Adjusted","Sort=A","Dates=H","DateFormat=P","Fill=—","Direction=H","UseDPDF=Y")</f>
        <v>2669.3701999999998</v>
      </c>
      <c r="V6" s="14">
        <f>_xll.BDH("RMS FP Equity","SALES_REV_TURN","FY 2010","FY 2010","Currency=USD","Period=FY","BEST_FPERIOD_OVERRIDE=FY","FILING_STATUS=MR","SCALING_FORMAT=MLN","FA_ADJUSTED=Adjusted","Sort=A","Dates=H","DateFormat=P","Fill=—","Direction=H","UseDPDF=Y")</f>
        <v>3184.9279999999999</v>
      </c>
      <c r="W6" s="14">
        <f>_xll.BDH("RMS FP Equity","SALES_REV_TURN","FY 2011","FY 2011","Currency=USD","Period=FY","BEST_FPERIOD_OVERRIDE=FY","FILING_STATUS=MR","SCALING_FORMAT=MLN","FA_ADJUSTED=Adjusted","Sort=A","Dates=H","DateFormat=P","Fill=—","Direction=H","UseDPDF=Y")</f>
        <v>3956.0929000000001</v>
      </c>
      <c r="X6" s="14">
        <f>_xll.BDH("RMS FP Equity","SALES_REV_TURN","FY 2012","FY 2012","Currency=USD","Period=FY","BEST_FPERIOD_OVERRIDE=FY","FILING_STATUS=MR","SCALING_FORMAT=MLN","FA_ADJUSTED=Adjusted","Sort=A","Dates=H","DateFormat=P","Fill=—","Direction=H","UseDPDF=Y")</f>
        <v>4480.1035000000002</v>
      </c>
      <c r="Y6" s="14">
        <f>_xll.BDH("RMS FP Equity","SALES_REV_TURN","FY 2013","FY 2013","Currency=USD","Period=FY","BEST_FPERIOD_OVERRIDE=FY","FILING_STATUS=MR","SCALING_FORMAT=MLN","FA_ADJUSTED=Adjusted","Sort=A","Dates=H","DateFormat=P","Fill=—","Direction=H","UseDPDF=Y")</f>
        <v>4987.5438000000004</v>
      </c>
      <c r="Z6" s="14">
        <f>_xll.BDH("RMS FP Equity","SALES_REV_TURN","FY 2014","FY 2014","Currency=USD","Period=FY","BEST_FPERIOD_OVERRIDE=FY","FILING_STATUS=MR","SCALING_FORMAT=MLN","FA_ADJUSTED=Adjusted","Sort=A","Dates=H","DateFormat=P","Fill=—","Direction=H","UseDPDF=Y")</f>
        <v>5471.5015999999996</v>
      </c>
      <c r="AA6" s="14">
        <f>_xll.BDH("RMS FP Equity","SALES_REV_TURN","FY 2015","FY 2015","Currency=USD","Period=FY","BEST_FPERIOD_OVERRIDE=FY","FILING_STATUS=MR","SCALING_FORMAT=MLN","FA_ADJUSTED=Adjusted","Sort=A","Dates=H","DateFormat=P","Fill=—","Direction=H","UseDPDF=Y")</f>
        <v>5373.5131000000001</v>
      </c>
      <c r="AB6" s="14">
        <f>_xll.BDH("RMS FP Equity","SALES_REV_TURN","FY 2016","FY 2016","Currency=USD","Period=FY","BEST_FPERIOD_OVERRIDE=FY","FILING_STATUS=MR","SCALING_FORMAT=MLN","FA_ADJUSTED=Adjusted","Sort=A","Dates=H","DateFormat=P","Fill=—","Direction=H","UseDPDF=Y")</f>
        <v>5757.9441999999999</v>
      </c>
      <c r="AC6" s="14">
        <f>_xll.BDH("RMS FP Equity","SALES_REV_TURN","FY 2017","FY 2017","Currency=USD","Period=FY","BEST_FPERIOD_OVERRIDE=FY","FILING_STATUS=MR","SCALING_FORMAT=MLN","FA_ADJUSTED=Adjusted","Sort=A","Dates=H","DateFormat=P","Fill=—","Direction=H","UseDPDF=Y")</f>
        <v>6269.0493999999999</v>
      </c>
      <c r="AD6" s="14">
        <v>6860.415</v>
      </c>
      <c r="AE6" s="14">
        <v>7421.3760000000002</v>
      </c>
    </row>
    <row r="7" spans="1:31" x14ac:dyDescent="0.25">
      <c r="A7" s="11" t="s">
        <v>65</v>
      </c>
      <c r="B7" s="11" t="s">
        <v>64</v>
      </c>
      <c r="C7" s="16" t="s">
        <v>66</v>
      </c>
      <c r="D7" s="16">
        <v>2.529747</v>
      </c>
      <c r="E7" s="16">
        <v>16.090547000000001</v>
      </c>
      <c r="F7" s="16">
        <v>20.215337000000002</v>
      </c>
      <c r="G7" s="16">
        <v>11.620037999999999</v>
      </c>
      <c r="H7" s="16">
        <v>9.3256610000000002</v>
      </c>
      <c r="I7" s="16">
        <v>16.151862999999999</v>
      </c>
      <c r="J7" s="16">
        <v>3.6143610000000002</v>
      </c>
      <c r="K7" s="16">
        <v>20.8383</v>
      </c>
      <c r="L7" s="16">
        <v>24.971231</v>
      </c>
      <c r="M7" s="16">
        <v>5.8660430000000003</v>
      </c>
      <c r="N7" s="16">
        <v>1.2551939999999999</v>
      </c>
      <c r="O7" s="16">
        <v>-0.99009899999999995</v>
      </c>
      <c r="P7" s="16">
        <v>8.2439040000000006</v>
      </c>
      <c r="Q7" s="16">
        <v>7.2104549999999996</v>
      </c>
      <c r="R7" s="16">
        <v>6.1300249999999998</v>
      </c>
      <c r="S7" s="16">
        <v>7.2744080000000002</v>
      </c>
      <c r="T7" s="16">
        <v>8.5840870000000002</v>
      </c>
      <c r="U7" s="16">
        <v>8.4835089999999997</v>
      </c>
      <c r="V7" s="16">
        <v>25.413989000000001</v>
      </c>
      <c r="W7" s="16">
        <v>18.343885</v>
      </c>
      <c r="X7" s="16">
        <v>22.627763000000002</v>
      </c>
      <c r="Y7" s="16">
        <v>7.7695819999999998</v>
      </c>
      <c r="Z7" s="16">
        <v>9.6889319999999994</v>
      </c>
      <c r="AA7" s="16">
        <v>17.539940999999999</v>
      </c>
      <c r="AB7" s="16">
        <v>7.4612679999999996</v>
      </c>
      <c r="AC7" s="16">
        <v>6.670255</v>
      </c>
      <c r="AD7" s="16">
        <v>9.4326646568961294</v>
      </c>
      <c r="AE7" s="16">
        <v>8.1767793930833701</v>
      </c>
    </row>
    <row r="8" spans="1:31" x14ac:dyDescent="0.25">
      <c r="A8" s="10" t="s">
        <v>67</v>
      </c>
      <c r="B8" s="10" t="s">
        <v>68</v>
      </c>
      <c r="C8" s="12" t="str">
        <f>_xll.BDH("RMS FP Equity","IS_SALES_AND_SERVICES_REVENUES","FY 1991","FY 1991","Currency=USD","Period=FY","BEST_FPERIOD_OVERRIDE=FY","FILING_STATUS=MR","SCALING_FORMAT=MLN","FA_ADJUSTED=Adjusted","Sort=A","Dates=H","DateFormat=P","Fill=—","Direction=H","UseDPDF=Y")</f>
        <v>—</v>
      </c>
      <c r="D8" s="12" t="str">
        <f>_xll.BDH("RMS FP Equity","IS_SALES_AND_SERVICES_REVENUES","FY 1992","FY 1992","Currency=USD","Period=FY","BEST_FPERIOD_OVERRIDE=FY","FILING_STATUS=MR","SCALING_FORMAT=MLN","FA_ADJUSTED=Adjusted","Sort=A","Dates=H","DateFormat=P","Fill=—","Direction=H","UseDPDF=Y")</f>
        <v>—</v>
      </c>
      <c r="E8" s="12" t="str">
        <f>_xll.BDH("RMS FP Equity","IS_SALES_AND_SERVICES_REVENUES","FY 1993","FY 1993","Currency=USD","Period=FY","BEST_FPERIOD_OVERRIDE=FY","FILING_STATUS=MR","SCALING_FORMAT=MLN","FA_ADJUSTED=Adjusted","Sort=A","Dates=H","DateFormat=P","Fill=—","Direction=H","UseDPDF=Y")</f>
        <v>—</v>
      </c>
      <c r="F8" s="12" t="str">
        <f>_xll.BDH("RMS FP Equity","IS_SALES_AND_SERVICES_REVENUES","FY 1994","FY 1994","Currency=USD","Period=FY","BEST_FPERIOD_OVERRIDE=FY","FILING_STATUS=MR","SCALING_FORMAT=MLN","FA_ADJUSTED=Adjusted","Sort=A","Dates=H","DateFormat=P","Fill=—","Direction=H","UseDPDF=Y")</f>
        <v>—</v>
      </c>
      <c r="G8" s="12" t="str">
        <f>_xll.BDH("RMS FP Equity","IS_SALES_AND_SERVICES_REVENUES","FY 1995","FY 1995","Currency=USD","Period=FY","BEST_FPERIOD_OVERRIDE=FY","FILING_STATUS=MR","SCALING_FORMAT=MLN","FA_ADJUSTED=Adjusted","Sort=A","Dates=H","DateFormat=P","Fill=—","Direction=H","UseDPDF=Y")</f>
        <v>—</v>
      </c>
      <c r="H8" s="12" t="str">
        <f>_xll.BDH("RMS FP Equity","IS_SALES_AND_SERVICES_REVENUES","FY 1996","FY 1996","Currency=USD","Period=FY","BEST_FPERIOD_OVERRIDE=FY","FILING_STATUS=MR","SCALING_FORMAT=MLN","FA_ADJUSTED=Adjusted","Sort=A","Dates=H","DateFormat=P","Fill=—","Direction=H","UseDPDF=Y")</f>
        <v>—</v>
      </c>
      <c r="I8" s="12" t="str">
        <f>_xll.BDH("RMS FP Equity","IS_SALES_AND_SERVICES_REVENUES","FY 1997","FY 1997","Currency=USD","Period=FY","BEST_FPERIOD_OVERRIDE=FY","FILING_STATUS=MR","SCALING_FORMAT=MLN","FA_ADJUSTED=Adjusted","Sort=A","Dates=H","DateFormat=P","Fill=—","Direction=H","UseDPDF=Y")</f>
        <v>—</v>
      </c>
      <c r="J8" s="12" t="str">
        <f>_xll.BDH("RMS FP Equity","IS_SALES_AND_SERVICES_REVENUES","FY 1998","FY 1998","Currency=USD","Period=FY","BEST_FPERIOD_OVERRIDE=FY","FILING_STATUS=MR","SCALING_FORMAT=MLN","FA_ADJUSTED=Adjusted","Sort=A","Dates=H","DateFormat=P","Fill=—","Direction=H","UseDPDF=Y")</f>
        <v>—</v>
      </c>
      <c r="K8" s="12" t="str">
        <f>_xll.BDH("RMS FP Equity","IS_SALES_AND_SERVICES_REVENUES","FY 1999","FY 1999","Currency=USD","Period=FY","BEST_FPERIOD_OVERRIDE=FY","FILING_STATUS=MR","SCALING_FORMAT=MLN","FA_ADJUSTED=Adjusted","Sort=A","Dates=H","DateFormat=P","Fill=—","Direction=H","UseDPDF=Y")</f>
        <v>—</v>
      </c>
      <c r="L8" s="12" t="str">
        <f>_xll.BDH("RMS FP Equity","IS_SALES_AND_SERVICES_REVENUES","FY 2000","FY 2000","Currency=USD","Period=FY","BEST_FPERIOD_OVERRIDE=FY","FILING_STATUS=MR","SCALING_FORMAT=MLN","FA_ADJUSTED=Adjusted","Sort=A","Dates=H","DateFormat=P","Fill=—","Direction=H","UseDPDF=Y")</f>
        <v>—</v>
      </c>
      <c r="M8" s="12" t="str">
        <f>_xll.BDH("RMS FP Equity","IS_SALES_AND_SERVICES_REVENUES","FY 2001","FY 2001","Currency=USD","Period=FY","BEST_FPERIOD_OVERRIDE=FY","FILING_STATUS=MR","SCALING_FORMAT=MLN","FA_ADJUSTED=Adjusted","Sort=A","Dates=H","DateFormat=P","Fill=—","Direction=H","UseDPDF=Y")</f>
        <v>—</v>
      </c>
      <c r="N8" s="12" t="str">
        <f>_xll.BDH("RMS FP Equity","IS_SALES_AND_SERVICES_REVENUES","FY 2002","FY 2002","Currency=USD","Period=FY","BEST_FPERIOD_OVERRIDE=FY","FILING_STATUS=MR","SCALING_FORMAT=MLN","FA_ADJUSTED=Adjusted","Sort=A","Dates=H","DateFormat=P","Fill=—","Direction=H","UseDPDF=Y")</f>
        <v>—</v>
      </c>
      <c r="O8" s="12" t="str">
        <f>_xll.BDH("RMS FP Equity","IS_SALES_AND_SERVICES_REVENUES","FY 2003","FY 2003","Currency=USD","Period=FY","BEST_FPERIOD_OVERRIDE=FY","FILING_STATUS=MR","SCALING_FORMAT=MLN","FA_ADJUSTED=Adjusted","Sort=A","Dates=H","DateFormat=P","Fill=—","Direction=H","UseDPDF=Y")</f>
        <v>—</v>
      </c>
      <c r="P8" s="12" t="str">
        <f>_xll.BDH("RMS FP Equity","IS_SALES_AND_SERVICES_REVENUES","FY 2004","FY 2004","Currency=USD","Period=FY","BEST_FPERIOD_OVERRIDE=FY","FILING_STATUS=MR","SCALING_FORMAT=MLN","FA_ADJUSTED=Adjusted","Sort=A","Dates=H","DateFormat=P","Fill=—","Direction=H","UseDPDF=Y")</f>
        <v>—</v>
      </c>
      <c r="Q8" s="12" t="str">
        <f>_xll.BDH("RMS FP Equity","IS_SALES_AND_SERVICES_REVENUES","FY 2005","FY 2005","Currency=USD","Period=FY","BEST_FPERIOD_OVERRIDE=FY","FILING_STATUS=MR","SCALING_FORMAT=MLN","FA_ADJUSTED=Adjusted","Sort=A","Dates=H","DateFormat=P","Fill=—","Direction=H","UseDPDF=Y")</f>
        <v>—</v>
      </c>
      <c r="R8" s="12" t="str">
        <f>_xll.BDH("RMS FP Equity","IS_SALES_AND_SERVICES_REVENUES","FY 2006","FY 2006","Currency=USD","Period=FY","BEST_FPERIOD_OVERRIDE=FY","FILING_STATUS=MR","SCALING_FORMAT=MLN","FA_ADJUSTED=Adjusted","Sort=A","Dates=H","DateFormat=P","Fill=—","Direction=H","UseDPDF=Y")</f>
        <v>—</v>
      </c>
      <c r="S8" s="12" t="str">
        <f>_xll.BDH("RMS FP Equity","IS_SALES_AND_SERVICES_REVENUES","FY 2007","FY 2007","Currency=USD","Period=FY","BEST_FPERIOD_OVERRIDE=FY","FILING_STATUS=MR","SCALING_FORMAT=MLN","FA_ADJUSTED=Adjusted","Sort=A","Dates=H","DateFormat=P","Fill=—","Direction=H","UseDPDF=Y")</f>
        <v>—</v>
      </c>
      <c r="T8" s="12" t="str">
        <f>_xll.BDH("RMS FP Equity","IS_SALES_AND_SERVICES_REVENUES","FY 2008","FY 2008","Currency=USD","Period=FY","BEST_FPERIOD_OVERRIDE=FY","FILING_STATUS=MR","SCALING_FORMAT=MLN","FA_ADJUSTED=Adjusted","Sort=A","Dates=H","DateFormat=P","Fill=—","Direction=H","UseDPDF=Y")</f>
        <v>—</v>
      </c>
      <c r="U8" s="12">
        <f>_xll.BDH("RMS FP Equity","IS_SALES_AND_SERVICES_REVENUES","FY 2009","FY 2009","Currency=USD","Period=FY","BEST_FPERIOD_OVERRIDE=FY","FILING_STATUS=MR","SCALING_FORMAT=MLN","FA_ADJUSTED=Adjusted","Sort=A","Dates=H","DateFormat=P","Fill=—","Direction=H","UseDPDF=Y")</f>
        <v>2669.3701999999998</v>
      </c>
      <c r="V8" s="12">
        <f>_xll.BDH("RMS FP Equity","IS_SALES_AND_SERVICES_REVENUES","FY 2010","FY 2010","Currency=USD","Period=FY","BEST_FPERIOD_OVERRIDE=FY","FILING_STATUS=MR","SCALING_FORMAT=MLN","FA_ADJUSTED=Adjusted","Sort=A","Dates=H","DateFormat=P","Fill=—","Direction=H","UseDPDF=Y")</f>
        <v>3184.9279999999999</v>
      </c>
      <c r="W8" s="12">
        <f>_xll.BDH("RMS FP Equity","IS_SALES_AND_SERVICES_REVENUES","FY 2011","FY 2011","Currency=USD","Period=FY","BEST_FPERIOD_OVERRIDE=FY","FILING_STATUS=MR","SCALING_FORMAT=MLN","FA_ADJUSTED=Adjusted","Sort=A","Dates=H","DateFormat=P","Fill=—","Direction=H","UseDPDF=Y")</f>
        <v>3956.0929000000001</v>
      </c>
      <c r="X8" s="12">
        <f>_xll.BDH("RMS FP Equity","IS_SALES_AND_SERVICES_REVENUES","FY 2012","FY 2012","Currency=USD","Period=FY","BEST_FPERIOD_OVERRIDE=FY","FILING_STATUS=MR","SCALING_FORMAT=MLN","FA_ADJUSTED=Adjusted","Sort=A","Dates=H","DateFormat=P","Fill=—","Direction=H","UseDPDF=Y")</f>
        <v>4480.1035000000002</v>
      </c>
      <c r="Y8" s="12">
        <f>_xll.BDH("RMS FP Equity","IS_SALES_AND_SERVICES_REVENUES","FY 2013","FY 2013","Currency=USD","Period=FY","BEST_FPERIOD_OVERRIDE=FY","FILING_STATUS=MR","SCALING_FORMAT=MLN","FA_ADJUSTED=Adjusted","Sort=A","Dates=H","DateFormat=P","Fill=—","Direction=H","UseDPDF=Y")</f>
        <v>4987.5438000000004</v>
      </c>
      <c r="Z8" s="12">
        <f>_xll.BDH("RMS FP Equity","IS_SALES_AND_SERVICES_REVENUES","FY 2014","FY 2014","Currency=USD","Period=FY","BEST_FPERIOD_OVERRIDE=FY","FILING_STATUS=MR","SCALING_FORMAT=MLN","FA_ADJUSTED=Adjusted","Sort=A","Dates=H","DateFormat=P","Fill=—","Direction=H","UseDPDF=Y")</f>
        <v>5471.5015999999996</v>
      </c>
      <c r="AA8" s="12">
        <f>_xll.BDH("RMS FP Equity","IS_SALES_AND_SERVICES_REVENUES","FY 2015","FY 2015","Currency=USD","Period=FY","BEST_FPERIOD_OVERRIDE=FY","FILING_STATUS=MR","SCALING_FORMAT=MLN","FA_ADJUSTED=Adjusted","Sort=A","Dates=H","DateFormat=P","Fill=—","Direction=H","UseDPDF=Y")</f>
        <v>5373.5131000000001</v>
      </c>
      <c r="AB8" s="12">
        <f>_xll.BDH("RMS FP Equity","IS_SALES_AND_SERVICES_REVENUES","FY 2016","FY 2016","Currency=USD","Period=FY","BEST_FPERIOD_OVERRIDE=FY","FILING_STATUS=MR","SCALING_FORMAT=MLN","FA_ADJUSTED=Adjusted","Sort=A","Dates=H","DateFormat=P","Fill=—","Direction=H","UseDPDF=Y")</f>
        <v>5757.9441999999999</v>
      </c>
      <c r="AC8" s="12">
        <f>_xll.BDH("RMS FP Equity","IS_SALES_AND_SERVICES_REVENUES","FY 2017","FY 2017","Currency=USD","Period=FY","BEST_FPERIOD_OVERRIDE=FY","FILING_STATUS=MR","SCALING_FORMAT=MLN","FA_ADJUSTED=Adjusted","Sort=A","Dates=H","DateFormat=P","Fill=—","Direction=H","UseDPDF=Y")</f>
        <v>6269.0493999999999</v>
      </c>
      <c r="AD8" s="12"/>
      <c r="AE8" s="12"/>
    </row>
    <row r="9" spans="1:31" x14ac:dyDescent="0.25">
      <c r="A9" s="11" t="s">
        <v>65</v>
      </c>
      <c r="B9" s="11" t="s">
        <v>68</v>
      </c>
      <c r="C9" s="16" t="s">
        <v>66</v>
      </c>
      <c r="D9" s="16" t="s">
        <v>66</v>
      </c>
      <c r="E9" s="16" t="s">
        <v>66</v>
      </c>
      <c r="F9" s="16" t="s">
        <v>66</v>
      </c>
      <c r="G9" s="16" t="s">
        <v>66</v>
      </c>
      <c r="H9" s="16" t="s">
        <v>66</v>
      </c>
      <c r="I9" s="16" t="s">
        <v>66</v>
      </c>
      <c r="J9" s="16" t="s">
        <v>66</v>
      </c>
      <c r="K9" s="16" t="s">
        <v>66</v>
      </c>
      <c r="L9" s="16" t="s">
        <v>66</v>
      </c>
      <c r="M9" s="16" t="s">
        <v>66</v>
      </c>
      <c r="N9" s="16" t="s">
        <v>66</v>
      </c>
      <c r="O9" s="16" t="s">
        <v>66</v>
      </c>
      <c r="P9" s="16" t="s">
        <v>66</v>
      </c>
      <c r="Q9" s="16" t="s">
        <v>66</v>
      </c>
      <c r="R9" s="16" t="s">
        <v>66</v>
      </c>
      <c r="S9" s="16" t="s">
        <v>66</v>
      </c>
      <c r="T9" s="16" t="s">
        <v>66</v>
      </c>
      <c r="U9" s="16" t="s">
        <v>66</v>
      </c>
      <c r="V9" s="16">
        <v>19.3138391794588</v>
      </c>
      <c r="W9" s="16">
        <v>24.2129465694446</v>
      </c>
      <c r="X9" s="16">
        <v>13.2456573648531</v>
      </c>
      <c r="Y9" s="16">
        <v>11.3266613789272</v>
      </c>
      <c r="Z9" s="16">
        <v>9.7033938773226502</v>
      </c>
      <c r="AA9" s="16">
        <v>-1.79037157439878</v>
      </c>
      <c r="AB9" s="16">
        <v>7.1538466240838501</v>
      </c>
      <c r="AC9" s="16">
        <v>8.8765342550045805</v>
      </c>
      <c r="AD9" s="16"/>
      <c r="AE9" s="16"/>
    </row>
    <row r="10" spans="1:31" x14ac:dyDescent="0.25">
      <c r="A10" s="10" t="s">
        <v>69</v>
      </c>
      <c r="B10" s="10" t="s">
        <v>70</v>
      </c>
      <c r="C10" s="12">
        <f>_xll.BDH("RMS FP Equity","IS_COGS_TO_FE_AND_PP_AND_G","FY 1991","FY 1991","Currency=USD","Period=FY","BEST_FPERIOD_OVERRIDE=FY","FILING_STATUS=MR","SCALING_FORMAT=MLN","FA_ADJUSTED=Adjusted","Sort=A","Dates=H","DateFormat=P","Fill=—","Direction=H","UseDPDF=Y")</f>
        <v>207.4325</v>
      </c>
      <c r="D10" s="12">
        <f>_xll.BDH("RMS FP Equity","IS_COGS_TO_FE_AND_PP_AND_G","FY 1992","FY 1992","Currency=USD","Period=FY","BEST_FPERIOD_OVERRIDE=FY","FILING_STATUS=MR","SCALING_FORMAT=MLN","FA_ADJUSTED=Adjusted","Sort=A","Dates=H","DateFormat=P","Fill=—","Direction=H","UseDPDF=Y")</f>
        <v>210.2482</v>
      </c>
      <c r="E10" s="12">
        <f>_xll.BDH("RMS FP Equity","IS_COGS_TO_FE_AND_PP_AND_G","FY 1993","FY 1993","Currency=USD","Period=FY","BEST_FPERIOD_OVERRIDE=FY","FILING_STATUS=MR","SCALING_FORMAT=MLN","FA_ADJUSTED=Adjusted","Sort=A","Dates=H","DateFormat=P","Fill=—","Direction=H","UseDPDF=Y")</f>
        <v>226.81800000000001</v>
      </c>
      <c r="F10" s="12">
        <f>_xll.BDH("RMS FP Equity","IS_COGS_TO_FE_AND_PP_AND_G","FY 1994","FY 1994","Currency=USD","Period=FY","BEST_FPERIOD_OVERRIDE=FY","FILING_STATUS=MR","SCALING_FORMAT=MLN","FA_ADJUSTED=Adjusted","Sort=A","Dates=H","DateFormat=P","Fill=—","Direction=H","UseDPDF=Y")</f>
        <v>258.84039999999999</v>
      </c>
      <c r="G10" s="12">
        <f>_xll.BDH("RMS FP Equity","IS_COGS_TO_FE_AND_PP_AND_G","FY 1995","FY 1995","Currency=USD","Period=FY","BEST_FPERIOD_OVERRIDE=FY","FILING_STATUS=MR","SCALING_FORMAT=MLN","FA_ADJUSTED=Adjusted","Sort=A","Dates=H","DateFormat=P","Fill=—","Direction=H","UseDPDF=Y")</f>
        <v>313.6053</v>
      </c>
      <c r="H10" s="12">
        <f>_xll.BDH("RMS FP Equity","IS_COGS_TO_FE_AND_PP_AND_G","FY 1996","FY 1996","Currency=USD","Period=FY","BEST_FPERIOD_OVERRIDE=FY","FILING_STATUS=MR","SCALING_FORMAT=MLN","FA_ADJUSTED=Adjusted","Sort=A","Dates=H","DateFormat=P","Fill=—","Direction=H","UseDPDF=Y")</f>
        <v>329.44729999999998</v>
      </c>
      <c r="I10" s="12">
        <f>_xll.BDH("RMS FP Equity","IS_COGS_TO_FE_AND_PP_AND_G","FY 1997","FY 1997","Currency=USD","Period=FY","BEST_FPERIOD_OVERRIDE=FY","FILING_STATUS=MR","SCALING_FORMAT=MLN","FA_ADJUSTED=Adjusted","Sort=A","Dates=H","DateFormat=P","Fill=—","Direction=H","UseDPDF=Y")</f>
        <v>335.62490000000003</v>
      </c>
      <c r="J10" s="12">
        <f>_xll.BDH("RMS FP Equity","IS_COGS_TO_FE_AND_PP_AND_G","FY 1998","FY 1998","Currency=USD","Period=FY","BEST_FPERIOD_OVERRIDE=FY","FILING_STATUS=MR","SCALING_FORMAT=MLN","FA_ADJUSTED=Adjusted","Sort=A","Dates=H","DateFormat=P","Fill=—","Direction=H","UseDPDF=Y")</f>
        <v>348.22710000000001</v>
      </c>
      <c r="K10" s="12">
        <f>_xll.BDH("RMS FP Equity","IS_COGS_TO_FE_AND_PP_AND_G","FY 1999","FY 1999","Currency=USD","Period=FY","BEST_FPERIOD_OVERRIDE=FY","FILING_STATUS=MR","SCALING_FORMAT=MLN","FA_ADJUSTED=Adjusted","Sort=A","Dates=H","DateFormat=P","Fill=—","Direction=H","UseDPDF=Y")</f>
        <v>410.57749999999999</v>
      </c>
      <c r="L10" s="12">
        <f>_xll.BDH("RMS FP Equity","IS_COGS_TO_FE_AND_PP_AND_G","FY 2000","FY 2000","Currency=USD","Period=FY","BEST_FPERIOD_OVERRIDE=FY","FILING_STATUS=MR","SCALING_FORMAT=MLN","FA_ADJUSTED=Adjusted","Sort=A","Dates=H","DateFormat=P","Fill=—","Direction=H","UseDPDF=Y")</f>
        <v>408.47039999999998</v>
      </c>
      <c r="M10" s="12">
        <f>_xll.BDH("RMS FP Equity","IS_COGS_TO_FE_AND_PP_AND_G","FY 2001","FY 2001","Currency=USD","Period=FY","BEST_FPERIOD_OVERRIDE=FY","FILING_STATUS=MR","SCALING_FORMAT=MLN","FA_ADJUSTED=Adjusted","Sort=A","Dates=H","DateFormat=P","Fill=—","Direction=H","UseDPDF=Y")</f>
        <v>402.6755</v>
      </c>
      <c r="N10" s="12">
        <f>_xll.BDH("RMS FP Equity","IS_COGS_TO_FE_AND_PP_AND_G","FY 2002","FY 2002","Currency=USD","Period=FY","BEST_FPERIOD_OVERRIDE=FY","FILING_STATUS=MR","SCALING_FORMAT=MLN","FA_ADJUSTED=Adjusted","Sort=A","Dates=H","DateFormat=P","Fill=—","Direction=H","UseDPDF=Y")</f>
        <v>413.68180000000001</v>
      </c>
      <c r="O10" s="12">
        <f>_xll.BDH("RMS FP Equity","IS_COGS_TO_FE_AND_PP_AND_G","FY 2003","FY 2003","Currency=USD","Period=FY","BEST_FPERIOD_OVERRIDE=FY","FILING_STATUS=MR","SCALING_FORMAT=MLN","FA_ADJUSTED=Adjusted","Sort=A","Dates=H","DateFormat=P","Fill=—","Direction=H","UseDPDF=Y")</f>
        <v>483.78649999999999</v>
      </c>
      <c r="P10" s="12">
        <f>_xll.BDH("RMS FP Equity","IS_COGS_TO_FE_AND_PP_AND_G","FY 2004","FY 2004","Currency=USD","Period=FY","BEST_FPERIOD_OVERRIDE=FY","FILING_STATUS=MR","SCALING_FORMAT=MLN","FA_ADJUSTED=Adjusted","Sort=A","Dates=H","DateFormat=P","Fill=—","Direction=H","UseDPDF=Y")</f>
        <v>576.57010000000002</v>
      </c>
      <c r="Q10" s="12">
        <f>_xll.BDH("RMS FP Equity","IS_COGS_TO_FE_AND_PP_AND_G","FY 2005","FY 2005","Currency=USD","Period=FY","BEST_FPERIOD_OVERRIDE=FY","FILING_STATUS=MR","SCALING_FORMAT=MLN","FA_ADJUSTED=Adjusted","Sort=A","Dates=H","DateFormat=P","Fill=—","Direction=H","UseDPDF=Y")</f>
        <v>620.36680000000001</v>
      </c>
      <c r="R10" s="12">
        <f>_xll.BDH("RMS FP Equity","IS_COGS_TO_FE_AND_PP_AND_G","FY 2006","FY 2006","Currency=USD","Period=FY","BEST_FPERIOD_OVERRIDE=FY","FILING_STATUS=MR","SCALING_FORMAT=MLN","FA_ADJUSTED=Adjusted","Sort=A","Dates=H","DateFormat=P","Fill=—","Direction=H","UseDPDF=Y")</f>
        <v>659.47829999999999</v>
      </c>
      <c r="S10" s="12">
        <f>_xll.BDH("RMS FP Equity","IS_COGS_TO_FE_AND_PP_AND_G","FY 2007","FY 2007","Currency=USD","Period=FY","BEST_FPERIOD_OVERRIDE=FY","FILING_STATUS=MR","SCALING_FORMAT=MLN","FA_ADJUSTED=Adjusted","Sort=A","Dates=H","DateFormat=P","Fill=—","Direction=H","UseDPDF=Y")</f>
        <v>782.17759999999998</v>
      </c>
      <c r="T10" s="12">
        <f>_xll.BDH("RMS FP Equity","IS_COGS_TO_FE_AND_PP_AND_G","FY 2008","FY 2008","Currency=USD","Period=FY","BEST_FPERIOD_OVERRIDE=FY","FILING_STATUS=MR","SCALING_FORMAT=MLN","FA_ADJUSTED=Adjusted","Sort=A","Dates=H","DateFormat=P","Fill=—","Direction=H","UseDPDF=Y")</f>
        <v>918.57039999999995</v>
      </c>
      <c r="U10" s="12">
        <f>_xll.BDH("RMS FP Equity","IS_COGS_TO_FE_AND_PP_AND_G","FY 2009","FY 2009","Currency=USD","Period=FY","BEST_FPERIOD_OVERRIDE=FY","FILING_STATUS=MR","SCALING_FORMAT=MLN","FA_ADJUSTED=Adjusted","Sort=A","Dates=H","DateFormat=P","Fill=—","Direction=H","UseDPDF=Y")</f>
        <v>978.47619999999995</v>
      </c>
      <c r="V10" s="12">
        <f>_xll.BDH("RMS FP Equity","IS_COGS_TO_FE_AND_PP_AND_G","FY 2010","FY 2010","Currency=USD","Period=FY","BEST_FPERIOD_OVERRIDE=FY","FILING_STATUS=MR","SCALING_FORMAT=MLN","FA_ADJUSTED=Adjusted","Sort=A","Dates=H","DateFormat=P","Fill=—","Direction=H","UseDPDF=Y")</f>
        <v>1081.1881000000001</v>
      </c>
      <c r="W10" s="12">
        <f>_xll.BDH("RMS FP Equity","IS_COGS_TO_FE_AND_PP_AND_G","FY 2011","FY 2011","Currency=USD","Period=FY","BEST_FPERIOD_OVERRIDE=FY","FILING_STATUS=MR","SCALING_FORMAT=MLN","FA_ADJUSTED=Adjusted","Sort=A","Dates=H","DateFormat=P","Fill=—","Direction=H","UseDPDF=Y")</f>
        <v>1234.2253000000001</v>
      </c>
      <c r="X10" s="12">
        <f>_xll.BDH("RMS FP Equity","IS_COGS_TO_FE_AND_PP_AND_G","FY 2012","FY 2012","Currency=USD","Period=FY","BEST_FPERIOD_OVERRIDE=FY","FILING_STATUS=MR","SCALING_FORMAT=MLN","FA_ADJUSTED=Adjusted","Sort=A","Dates=H","DateFormat=P","Fill=—","Direction=H","UseDPDF=Y")</f>
        <v>1428.3456000000001</v>
      </c>
      <c r="Y10" s="12">
        <f>_xll.BDH("RMS FP Equity","IS_COGS_TO_FE_AND_PP_AND_G","FY 2013","FY 2013","Currency=USD","Period=FY","BEST_FPERIOD_OVERRIDE=FY","FILING_STATUS=MR","SCALING_FORMAT=MLN","FA_ADJUSTED=Adjusted","Sort=A","Dates=H","DateFormat=P","Fill=—","Direction=H","UseDPDF=Y")</f>
        <v>1554.5228999999999</v>
      </c>
      <c r="Z10" s="12">
        <f>_xll.BDH("RMS FP Equity","IS_COGS_TO_FE_AND_PP_AND_G","FY 2014","FY 2014","Currency=USD","Period=FY","BEST_FPERIOD_OVERRIDE=FY","FILING_STATUS=MR","SCALING_FORMAT=MLN","FA_ADJUSTED=Adjusted","Sort=A","Dates=H","DateFormat=P","Fill=—","Direction=H","UseDPDF=Y")</f>
        <v>1814.1802</v>
      </c>
      <c r="AA10" s="12">
        <f>_xll.BDH("RMS FP Equity","IS_COGS_TO_FE_AND_PP_AND_G","FY 2015","FY 2015","Currency=USD","Period=FY","BEST_FPERIOD_OVERRIDE=FY","FILING_STATUS=MR","SCALING_FORMAT=MLN","FA_ADJUSTED=Adjusted","Sort=A","Dates=H","DateFormat=P","Fill=—","Direction=H","UseDPDF=Y")</f>
        <v>1823.1759999999999</v>
      </c>
      <c r="AB10" s="12">
        <f>_xll.BDH("RMS FP Equity","IS_COGS_TO_FE_AND_PP_AND_G","FY 2016","FY 2016","Currency=USD","Period=FY","BEST_FPERIOD_OVERRIDE=FY","FILING_STATUS=MR","SCALING_FORMAT=MLN","FA_ADJUSTED=Adjusted","Sort=A","Dates=H","DateFormat=P","Fill=—","Direction=H","UseDPDF=Y")</f>
        <v>1861.5752</v>
      </c>
      <c r="AC10" s="12">
        <f>_xll.BDH("RMS FP Equity","IS_COGS_TO_FE_AND_PP_AND_G","FY 2017","FY 2017","Currency=USD","Period=FY","BEST_FPERIOD_OVERRIDE=FY","FILING_STATUS=MR","SCALING_FORMAT=MLN","FA_ADJUSTED=Adjusted","Sort=A","Dates=H","DateFormat=P","Fill=—","Direction=H","UseDPDF=Y")</f>
        <v>1874.5464999999999</v>
      </c>
      <c r="AD10" s="12"/>
      <c r="AE10" s="12"/>
    </row>
    <row r="11" spans="1:31" x14ac:dyDescent="0.25">
      <c r="A11" s="11" t="s">
        <v>65</v>
      </c>
      <c r="B11" s="11" t="s">
        <v>70</v>
      </c>
      <c r="C11" s="16" t="s">
        <v>66</v>
      </c>
      <c r="D11" s="16">
        <v>-4.8092560000000004</v>
      </c>
      <c r="E11" s="16">
        <v>15.606982</v>
      </c>
      <c r="F11" s="16">
        <v>11.622659000000001</v>
      </c>
      <c r="G11" s="16">
        <v>9.0515699999999999</v>
      </c>
      <c r="H11" s="16">
        <v>7.7883060000000004</v>
      </c>
      <c r="I11" s="16">
        <v>16.131326999999999</v>
      </c>
      <c r="J11" s="16">
        <v>4.8261710000000004</v>
      </c>
      <c r="K11" s="16">
        <v>23.239369</v>
      </c>
      <c r="L11" s="16">
        <v>14.820532</v>
      </c>
      <c r="M11" s="16">
        <v>1.6468879999999999</v>
      </c>
      <c r="N11" s="16">
        <v>-2.713524</v>
      </c>
      <c r="O11" s="16">
        <v>-2.3319619999999999</v>
      </c>
      <c r="P11" s="16">
        <v>8.4737810000000007</v>
      </c>
      <c r="Q11" s="16">
        <v>7.5960320000000001</v>
      </c>
      <c r="R11" s="16">
        <v>5.2747679999999999</v>
      </c>
      <c r="S11" s="16">
        <v>8.7064199999999996</v>
      </c>
      <c r="T11" s="16">
        <v>9.4461969999999997</v>
      </c>
      <c r="U11" s="16">
        <v>12.361890000000001</v>
      </c>
      <c r="V11" s="16">
        <v>16.146501000000001</v>
      </c>
      <c r="W11" s="16">
        <v>8.7607359999999996</v>
      </c>
      <c r="X11" s="16">
        <v>25.315884</v>
      </c>
      <c r="Y11" s="16">
        <v>5.3564999999999996</v>
      </c>
      <c r="Z11" s="16">
        <v>16.688029</v>
      </c>
      <c r="AA11" s="16">
        <v>20.276800999999999</v>
      </c>
      <c r="AB11" s="16">
        <v>2.3987820000000002</v>
      </c>
      <c r="AC11" s="16">
        <v>-1.343718</v>
      </c>
      <c r="AD11" s="16"/>
      <c r="AE11" s="16"/>
    </row>
    <row r="12" spans="1:31" x14ac:dyDescent="0.25">
      <c r="A12" s="10" t="s">
        <v>71</v>
      </c>
      <c r="B12" s="10" t="s">
        <v>72</v>
      </c>
      <c r="C12" s="12" t="str">
        <f>_xll.BDH("RMS FP Equity","IS_COG_AND_SERVICES_SOLD","FY 1991","FY 1991","Currency=USD","Period=FY","BEST_FPERIOD_OVERRIDE=FY","FILING_STATUS=MR","SCALING_FORMAT=MLN","FA_ADJUSTED=Adjusted","Sort=A","Dates=H","DateFormat=P","Fill=—","Direction=H","UseDPDF=Y")</f>
        <v>—</v>
      </c>
      <c r="D12" s="12" t="str">
        <f>_xll.BDH("RMS FP Equity","IS_COG_AND_SERVICES_SOLD","FY 1992","FY 1992","Currency=USD","Period=FY","BEST_FPERIOD_OVERRIDE=FY","FILING_STATUS=MR","SCALING_FORMAT=MLN","FA_ADJUSTED=Adjusted","Sort=A","Dates=H","DateFormat=P","Fill=—","Direction=H","UseDPDF=Y")</f>
        <v>—</v>
      </c>
      <c r="E12" s="12" t="str">
        <f>_xll.BDH("RMS FP Equity","IS_COG_AND_SERVICES_SOLD","FY 1993","FY 1993","Currency=USD","Period=FY","BEST_FPERIOD_OVERRIDE=FY","FILING_STATUS=MR","SCALING_FORMAT=MLN","FA_ADJUSTED=Adjusted","Sort=A","Dates=H","DateFormat=P","Fill=—","Direction=H","UseDPDF=Y")</f>
        <v>—</v>
      </c>
      <c r="F12" s="12" t="str">
        <f>_xll.BDH("RMS FP Equity","IS_COG_AND_SERVICES_SOLD","FY 1994","FY 1994","Currency=USD","Period=FY","BEST_FPERIOD_OVERRIDE=FY","FILING_STATUS=MR","SCALING_FORMAT=MLN","FA_ADJUSTED=Adjusted","Sort=A","Dates=H","DateFormat=P","Fill=—","Direction=H","UseDPDF=Y")</f>
        <v>—</v>
      </c>
      <c r="G12" s="12" t="str">
        <f>_xll.BDH("RMS FP Equity","IS_COG_AND_SERVICES_SOLD","FY 1995","FY 1995","Currency=USD","Period=FY","BEST_FPERIOD_OVERRIDE=FY","FILING_STATUS=MR","SCALING_FORMAT=MLN","FA_ADJUSTED=Adjusted","Sort=A","Dates=H","DateFormat=P","Fill=—","Direction=H","UseDPDF=Y")</f>
        <v>—</v>
      </c>
      <c r="H12" s="12" t="str">
        <f>_xll.BDH("RMS FP Equity","IS_COG_AND_SERVICES_SOLD","FY 1996","FY 1996","Currency=USD","Period=FY","BEST_FPERIOD_OVERRIDE=FY","FILING_STATUS=MR","SCALING_FORMAT=MLN","FA_ADJUSTED=Adjusted","Sort=A","Dates=H","DateFormat=P","Fill=—","Direction=H","UseDPDF=Y")</f>
        <v>—</v>
      </c>
      <c r="I12" s="12" t="str">
        <f>_xll.BDH("RMS FP Equity","IS_COG_AND_SERVICES_SOLD","FY 1997","FY 1997","Currency=USD","Period=FY","BEST_FPERIOD_OVERRIDE=FY","FILING_STATUS=MR","SCALING_FORMAT=MLN","FA_ADJUSTED=Adjusted","Sort=A","Dates=H","DateFormat=P","Fill=—","Direction=H","UseDPDF=Y")</f>
        <v>—</v>
      </c>
      <c r="J12" s="12" t="str">
        <f>_xll.BDH("RMS FP Equity","IS_COG_AND_SERVICES_SOLD","FY 1998","FY 1998","Currency=USD","Period=FY","BEST_FPERIOD_OVERRIDE=FY","FILING_STATUS=MR","SCALING_FORMAT=MLN","FA_ADJUSTED=Adjusted","Sort=A","Dates=H","DateFormat=P","Fill=—","Direction=H","UseDPDF=Y")</f>
        <v>—</v>
      </c>
      <c r="K12" s="12" t="str">
        <f>_xll.BDH("RMS FP Equity","IS_COG_AND_SERVICES_SOLD","FY 1999","FY 1999","Currency=USD","Period=FY","BEST_FPERIOD_OVERRIDE=FY","FILING_STATUS=MR","SCALING_FORMAT=MLN","FA_ADJUSTED=Adjusted","Sort=A","Dates=H","DateFormat=P","Fill=—","Direction=H","UseDPDF=Y")</f>
        <v>—</v>
      </c>
      <c r="L12" s="12" t="str">
        <f>_xll.BDH("RMS FP Equity","IS_COG_AND_SERVICES_SOLD","FY 2000","FY 2000","Currency=USD","Period=FY","BEST_FPERIOD_OVERRIDE=FY","FILING_STATUS=MR","SCALING_FORMAT=MLN","FA_ADJUSTED=Adjusted","Sort=A","Dates=H","DateFormat=P","Fill=—","Direction=H","UseDPDF=Y")</f>
        <v>—</v>
      </c>
      <c r="M12" s="12" t="str">
        <f>_xll.BDH("RMS FP Equity","IS_COG_AND_SERVICES_SOLD","FY 2001","FY 2001","Currency=USD","Period=FY","BEST_FPERIOD_OVERRIDE=FY","FILING_STATUS=MR","SCALING_FORMAT=MLN","FA_ADJUSTED=Adjusted","Sort=A","Dates=H","DateFormat=P","Fill=—","Direction=H","UseDPDF=Y")</f>
        <v>—</v>
      </c>
      <c r="N12" s="12" t="str">
        <f>_xll.BDH("RMS FP Equity","IS_COG_AND_SERVICES_SOLD","FY 2002","FY 2002","Currency=USD","Period=FY","BEST_FPERIOD_OVERRIDE=FY","FILING_STATUS=MR","SCALING_FORMAT=MLN","FA_ADJUSTED=Adjusted","Sort=A","Dates=H","DateFormat=P","Fill=—","Direction=H","UseDPDF=Y")</f>
        <v>—</v>
      </c>
      <c r="O12" s="12" t="str">
        <f>_xll.BDH("RMS FP Equity","IS_COG_AND_SERVICES_SOLD","FY 2003","FY 2003","Currency=USD","Period=FY","BEST_FPERIOD_OVERRIDE=FY","FILING_STATUS=MR","SCALING_FORMAT=MLN","FA_ADJUSTED=Adjusted","Sort=A","Dates=H","DateFormat=P","Fill=—","Direction=H","UseDPDF=Y")</f>
        <v>—</v>
      </c>
      <c r="P12" s="12" t="str">
        <f>_xll.BDH("RMS FP Equity","IS_COG_AND_SERVICES_SOLD","FY 2004","FY 2004","Currency=USD","Period=FY","BEST_FPERIOD_OVERRIDE=FY","FILING_STATUS=MR","SCALING_FORMAT=MLN","FA_ADJUSTED=Adjusted","Sort=A","Dates=H","DateFormat=P","Fill=—","Direction=H","UseDPDF=Y")</f>
        <v>—</v>
      </c>
      <c r="Q12" s="12" t="str">
        <f>_xll.BDH("RMS FP Equity","IS_COG_AND_SERVICES_SOLD","FY 2005","FY 2005","Currency=USD","Period=FY","BEST_FPERIOD_OVERRIDE=FY","FILING_STATUS=MR","SCALING_FORMAT=MLN","FA_ADJUSTED=Adjusted","Sort=A","Dates=H","DateFormat=P","Fill=—","Direction=H","UseDPDF=Y")</f>
        <v>—</v>
      </c>
      <c r="R12" s="12" t="str">
        <f>_xll.BDH("RMS FP Equity","IS_COG_AND_SERVICES_SOLD","FY 2006","FY 2006","Currency=USD","Period=FY","BEST_FPERIOD_OVERRIDE=FY","FILING_STATUS=MR","SCALING_FORMAT=MLN","FA_ADJUSTED=Adjusted","Sort=A","Dates=H","DateFormat=P","Fill=—","Direction=H","UseDPDF=Y")</f>
        <v>—</v>
      </c>
      <c r="S12" s="12" t="str">
        <f>_xll.BDH("RMS FP Equity","IS_COG_AND_SERVICES_SOLD","FY 2007","FY 2007","Currency=USD","Period=FY","BEST_FPERIOD_OVERRIDE=FY","FILING_STATUS=MR","SCALING_FORMAT=MLN","FA_ADJUSTED=Adjusted","Sort=A","Dates=H","DateFormat=P","Fill=—","Direction=H","UseDPDF=Y")</f>
        <v>—</v>
      </c>
      <c r="T12" s="12" t="str">
        <f>_xll.BDH("RMS FP Equity","IS_COG_AND_SERVICES_SOLD","FY 2008","FY 2008","Currency=USD","Period=FY","BEST_FPERIOD_OVERRIDE=FY","FILING_STATUS=MR","SCALING_FORMAT=MLN","FA_ADJUSTED=Adjusted","Sort=A","Dates=H","DateFormat=P","Fill=—","Direction=H","UseDPDF=Y")</f>
        <v>—</v>
      </c>
      <c r="U12" s="12">
        <f>_xll.BDH("RMS FP Equity","IS_COG_AND_SERVICES_SOLD","FY 2009","FY 2009","Currency=USD","Period=FY","BEST_FPERIOD_OVERRIDE=FY","FILING_STATUS=MR","SCALING_FORMAT=MLN","FA_ADJUSTED=Adjusted","Sort=A","Dates=H","DateFormat=P","Fill=—","Direction=H","UseDPDF=Y")</f>
        <v>963.13739999999996</v>
      </c>
      <c r="V12" s="12">
        <f>_xll.BDH("RMS FP Equity","IS_COG_AND_SERVICES_SOLD","FY 2010","FY 2010","Currency=USD","Period=FY","BEST_FPERIOD_OVERRIDE=FY","FILING_STATUS=MR","SCALING_FORMAT=MLN","FA_ADJUSTED=Adjusted","Sort=A","Dates=H","DateFormat=P","Fill=—","Direction=H","UseDPDF=Y")</f>
        <v>1064.4728</v>
      </c>
      <c r="W12" s="12">
        <f>_xll.BDH("RMS FP Equity","IS_COG_AND_SERVICES_SOLD","FY 2011","FY 2011","Currency=USD","Period=FY","BEST_FPERIOD_OVERRIDE=FY","FILING_STATUS=MR","SCALING_FORMAT=MLN","FA_ADJUSTED=Adjusted","Sort=A","Dates=H","DateFormat=P","Fill=—","Direction=H","UseDPDF=Y")</f>
        <v>1214.0354</v>
      </c>
      <c r="X12" s="12">
        <f>_xll.BDH("RMS FP Equity","IS_COG_AND_SERVICES_SOLD","FY 2012","FY 2012","Currency=USD","Period=FY","BEST_FPERIOD_OVERRIDE=FY","FILING_STATUS=MR","SCALING_FORMAT=MLN","FA_ADJUSTED=Adjusted","Sort=A","Dates=H","DateFormat=P","Fill=—","Direction=H","UseDPDF=Y")</f>
        <v>1408.0288</v>
      </c>
      <c r="Y12" s="12">
        <f>_xll.BDH("RMS FP Equity","IS_COG_AND_SERVICES_SOLD","FY 2013","FY 2013","Currency=USD","Period=FY","BEST_FPERIOD_OVERRIDE=FY","FILING_STATUS=MR","SCALING_FORMAT=MLN","FA_ADJUSTED=Adjusted","Sort=A","Dates=H","DateFormat=P","Fill=—","Direction=H","UseDPDF=Y")</f>
        <v>1527.8237999999999</v>
      </c>
      <c r="Z12" s="12">
        <f>_xll.BDH("RMS FP Equity","IS_COG_AND_SERVICES_SOLD","FY 2014","FY 2014","Currency=USD","Period=FY","BEST_FPERIOD_OVERRIDE=FY","FILING_STATUS=MR","SCALING_FORMAT=MLN","FA_ADJUSTED=Adjusted","Sort=A","Dates=H","DateFormat=P","Fill=—","Direction=H","UseDPDF=Y")</f>
        <v>1777.6469</v>
      </c>
      <c r="AA12" s="12">
        <f>_xll.BDH("RMS FP Equity","IS_COG_AND_SERVICES_SOLD","FY 2015","FY 2015","Currency=USD","Period=FY","BEST_FPERIOD_OVERRIDE=FY","FILING_STATUS=MR","SCALING_FORMAT=MLN","FA_ADJUSTED=Adjusted","Sort=A","Dates=H","DateFormat=P","Fill=—","Direction=H","UseDPDF=Y")</f>
        <v>1788.433</v>
      </c>
      <c r="AB12" s="12">
        <f>_xll.BDH("RMS FP Equity","IS_COG_AND_SERVICES_SOLD","FY 2016","FY 2016","Currency=USD","Period=FY","BEST_FPERIOD_OVERRIDE=FY","FILING_STATUS=MR","SCALING_FORMAT=MLN","FA_ADJUSTED=Adjusted","Sort=A","Dates=H","DateFormat=P","Fill=—","Direction=H","UseDPDF=Y")</f>
        <v>1824.2750000000001</v>
      </c>
      <c r="AC12" s="12">
        <f>_xll.BDH("RMS FP Equity","IS_COG_AND_SERVICES_SOLD","FY 2017","FY 2017","Currency=USD","Period=FY","BEST_FPERIOD_OVERRIDE=FY","FILING_STATUS=MR","SCALING_FORMAT=MLN","FA_ADJUSTED=Adjusted","Sort=A","Dates=H","DateFormat=P","Fill=—","Direction=H","UseDPDF=Y")</f>
        <v>1836.136</v>
      </c>
      <c r="AD12" s="12"/>
      <c r="AE12" s="12"/>
    </row>
    <row r="13" spans="1:31" x14ac:dyDescent="0.25">
      <c r="A13" s="11" t="s">
        <v>65</v>
      </c>
      <c r="B13" s="11" t="s">
        <v>72</v>
      </c>
      <c r="C13" s="16" t="s">
        <v>66</v>
      </c>
      <c r="D13" s="16" t="s">
        <v>66</v>
      </c>
      <c r="E13" s="16" t="s">
        <v>66</v>
      </c>
      <c r="F13" s="16" t="s">
        <v>66</v>
      </c>
      <c r="G13" s="16" t="s">
        <v>66</v>
      </c>
      <c r="H13" s="16" t="s">
        <v>66</v>
      </c>
      <c r="I13" s="16" t="s">
        <v>66</v>
      </c>
      <c r="J13" s="16" t="s">
        <v>66</v>
      </c>
      <c r="K13" s="16" t="s">
        <v>66</v>
      </c>
      <c r="L13" s="16" t="s">
        <v>66</v>
      </c>
      <c r="M13" s="16" t="s">
        <v>66</v>
      </c>
      <c r="N13" s="16" t="s">
        <v>66</v>
      </c>
      <c r="O13" s="16" t="s">
        <v>66</v>
      </c>
      <c r="P13" s="16" t="s">
        <v>66</v>
      </c>
      <c r="Q13" s="16" t="s">
        <v>66</v>
      </c>
      <c r="R13" s="16" t="s">
        <v>66</v>
      </c>
      <c r="S13" s="16" t="s">
        <v>66</v>
      </c>
      <c r="T13" s="16" t="s">
        <v>66</v>
      </c>
      <c r="U13" s="16" t="s">
        <v>66</v>
      </c>
      <c r="V13" s="16">
        <v>10.5213804878586</v>
      </c>
      <c r="W13" s="16">
        <v>14.0503962366714</v>
      </c>
      <c r="X13" s="16">
        <v>15.979222500773499</v>
      </c>
      <c r="Y13" s="16">
        <v>8.5081181231286909</v>
      </c>
      <c r="Z13" s="16">
        <v>16.351628178440802</v>
      </c>
      <c r="AA13" s="16">
        <v>0.60729745726053697</v>
      </c>
      <c r="AB13" s="16">
        <v>2.0037787205090298</v>
      </c>
      <c r="AC13" s="16">
        <v>0.65018574534323903</v>
      </c>
      <c r="AD13" s="16"/>
      <c r="AE13" s="16"/>
    </row>
    <row r="14" spans="1:31" x14ac:dyDescent="0.25">
      <c r="A14" s="10" t="s">
        <v>73</v>
      </c>
      <c r="B14" s="10" t="s">
        <v>74</v>
      </c>
      <c r="C14" s="12" t="str">
        <f>_xll.BDH("RMS FP Equity","IS_D&amp;A_COST_OF_REVENUE","FY 1991","FY 1991","Currency=USD","Period=FY","BEST_FPERIOD_OVERRIDE=FY","FILING_STATUS=MR","SCALING_FORMAT=MLN","FA_ADJUSTED=Adjusted","Sort=A","Dates=H","DateFormat=P","Fill=—","Direction=H","UseDPDF=Y")</f>
        <v>—</v>
      </c>
      <c r="D14" s="12" t="str">
        <f>_xll.BDH("RMS FP Equity","IS_D&amp;A_COST_OF_REVENUE","FY 1992","FY 1992","Currency=USD","Period=FY","BEST_FPERIOD_OVERRIDE=FY","FILING_STATUS=MR","SCALING_FORMAT=MLN","FA_ADJUSTED=Adjusted","Sort=A","Dates=H","DateFormat=P","Fill=—","Direction=H","UseDPDF=Y")</f>
        <v>—</v>
      </c>
      <c r="E14" s="12" t="str">
        <f>_xll.BDH("RMS FP Equity","IS_D&amp;A_COST_OF_REVENUE","FY 1993","FY 1993","Currency=USD","Period=FY","BEST_FPERIOD_OVERRIDE=FY","FILING_STATUS=MR","SCALING_FORMAT=MLN","FA_ADJUSTED=Adjusted","Sort=A","Dates=H","DateFormat=P","Fill=—","Direction=H","UseDPDF=Y")</f>
        <v>—</v>
      </c>
      <c r="F14" s="12" t="str">
        <f>_xll.BDH("RMS FP Equity","IS_D&amp;A_COST_OF_REVENUE","FY 1994","FY 1994","Currency=USD","Period=FY","BEST_FPERIOD_OVERRIDE=FY","FILING_STATUS=MR","SCALING_FORMAT=MLN","FA_ADJUSTED=Adjusted","Sort=A","Dates=H","DateFormat=P","Fill=—","Direction=H","UseDPDF=Y")</f>
        <v>—</v>
      </c>
      <c r="G14" s="12" t="str">
        <f>_xll.BDH("RMS FP Equity","IS_D&amp;A_COST_OF_REVENUE","FY 1995","FY 1995","Currency=USD","Period=FY","BEST_FPERIOD_OVERRIDE=FY","FILING_STATUS=MR","SCALING_FORMAT=MLN","FA_ADJUSTED=Adjusted","Sort=A","Dates=H","DateFormat=P","Fill=—","Direction=H","UseDPDF=Y")</f>
        <v>—</v>
      </c>
      <c r="H14" s="12" t="str">
        <f>_xll.BDH("RMS FP Equity","IS_D&amp;A_COST_OF_REVENUE","FY 1996","FY 1996","Currency=USD","Period=FY","BEST_FPERIOD_OVERRIDE=FY","FILING_STATUS=MR","SCALING_FORMAT=MLN","FA_ADJUSTED=Adjusted","Sort=A","Dates=H","DateFormat=P","Fill=—","Direction=H","UseDPDF=Y")</f>
        <v>—</v>
      </c>
      <c r="I14" s="12" t="str">
        <f>_xll.BDH("RMS FP Equity","IS_D&amp;A_COST_OF_REVENUE","FY 1997","FY 1997","Currency=USD","Period=FY","BEST_FPERIOD_OVERRIDE=FY","FILING_STATUS=MR","SCALING_FORMAT=MLN","FA_ADJUSTED=Adjusted","Sort=A","Dates=H","DateFormat=P","Fill=—","Direction=H","UseDPDF=Y")</f>
        <v>—</v>
      </c>
      <c r="J14" s="12" t="str">
        <f>_xll.BDH("RMS FP Equity","IS_D&amp;A_COST_OF_REVENUE","FY 1998","FY 1998","Currency=USD","Period=FY","BEST_FPERIOD_OVERRIDE=FY","FILING_STATUS=MR","SCALING_FORMAT=MLN","FA_ADJUSTED=Adjusted","Sort=A","Dates=H","DateFormat=P","Fill=—","Direction=H","UseDPDF=Y")</f>
        <v>—</v>
      </c>
      <c r="K14" s="12" t="str">
        <f>_xll.BDH("RMS FP Equity","IS_D&amp;A_COST_OF_REVENUE","FY 1999","FY 1999","Currency=USD","Period=FY","BEST_FPERIOD_OVERRIDE=FY","FILING_STATUS=MR","SCALING_FORMAT=MLN","FA_ADJUSTED=Adjusted","Sort=A","Dates=H","DateFormat=P","Fill=—","Direction=H","UseDPDF=Y")</f>
        <v>—</v>
      </c>
      <c r="L14" s="12" t="str">
        <f>_xll.BDH("RMS FP Equity","IS_D&amp;A_COST_OF_REVENUE","FY 2000","FY 2000","Currency=USD","Period=FY","BEST_FPERIOD_OVERRIDE=FY","FILING_STATUS=MR","SCALING_FORMAT=MLN","FA_ADJUSTED=Adjusted","Sort=A","Dates=H","DateFormat=P","Fill=—","Direction=H","UseDPDF=Y")</f>
        <v>—</v>
      </c>
      <c r="M14" s="12" t="str">
        <f>_xll.BDH("RMS FP Equity","IS_D&amp;A_COST_OF_REVENUE","FY 2001","FY 2001","Currency=USD","Period=FY","BEST_FPERIOD_OVERRIDE=FY","FILING_STATUS=MR","SCALING_FORMAT=MLN","FA_ADJUSTED=Adjusted","Sort=A","Dates=H","DateFormat=P","Fill=—","Direction=H","UseDPDF=Y")</f>
        <v>—</v>
      </c>
      <c r="N14" s="12" t="str">
        <f>_xll.BDH("RMS FP Equity","IS_D&amp;A_COST_OF_REVENUE","FY 2002","FY 2002","Currency=USD","Period=FY","BEST_FPERIOD_OVERRIDE=FY","FILING_STATUS=MR","SCALING_FORMAT=MLN","FA_ADJUSTED=Adjusted","Sort=A","Dates=H","DateFormat=P","Fill=—","Direction=H","UseDPDF=Y")</f>
        <v>—</v>
      </c>
      <c r="O14" s="12" t="str">
        <f>_xll.BDH("RMS FP Equity","IS_D&amp;A_COST_OF_REVENUE","FY 2003","FY 2003","Currency=USD","Period=FY","BEST_FPERIOD_OVERRIDE=FY","FILING_STATUS=MR","SCALING_FORMAT=MLN","FA_ADJUSTED=Adjusted","Sort=A","Dates=H","DateFormat=P","Fill=—","Direction=H","UseDPDF=Y")</f>
        <v>—</v>
      </c>
      <c r="P14" s="12" t="str">
        <f>_xll.BDH("RMS FP Equity","IS_D&amp;A_COST_OF_REVENUE","FY 2004","FY 2004","Currency=USD","Period=FY","BEST_FPERIOD_OVERRIDE=FY","FILING_STATUS=MR","SCALING_FORMAT=MLN","FA_ADJUSTED=Adjusted","Sort=A","Dates=H","DateFormat=P","Fill=—","Direction=H","UseDPDF=Y")</f>
        <v>—</v>
      </c>
      <c r="Q14" s="12" t="str">
        <f>_xll.BDH("RMS FP Equity","IS_D&amp;A_COST_OF_REVENUE","FY 2005","FY 2005","Currency=USD","Period=FY","BEST_FPERIOD_OVERRIDE=FY","FILING_STATUS=MR","SCALING_FORMAT=MLN","FA_ADJUSTED=Adjusted","Sort=A","Dates=H","DateFormat=P","Fill=—","Direction=H","UseDPDF=Y")</f>
        <v>—</v>
      </c>
      <c r="R14" s="12" t="str">
        <f>_xll.BDH("RMS FP Equity","IS_D&amp;A_COST_OF_REVENUE","FY 2006","FY 2006","Currency=USD","Period=FY","BEST_FPERIOD_OVERRIDE=FY","FILING_STATUS=MR","SCALING_FORMAT=MLN","FA_ADJUSTED=Adjusted","Sort=A","Dates=H","DateFormat=P","Fill=—","Direction=H","UseDPDF=Y")</f>
        <v>—</v>
      </c>
      <c r="S14" s="12" t="str">
        <f>_xll.BDH("RMS FP Equity","IS_D&amp;A_COST_OF_REVENUE","FY 2007","FY 2007","Currency=USD","Period=FY","BEST_FPERIOD_OVERRIDE=FY","FILING_STATUS=MR","SCALING_FORMAT=MLN","FA_ADJUSTED=Adjusted","Sort=A","Dates=H","DateFormat=P","Fill=—","Direction=H","UseDPDF=Y")</f>
        <v>—</v>
      </c>
      <c r="T14" s="12" t="str">
        <f>_xll.BDH("RMS FP Equity","IS_D&amp;A_COST_OF_REVENUE","FY 2008","FY 2008","Currency=USD","Period=FY","BEST_FPERIOD_OVERRIDE=FY","FILING_STATUS=MR","SCALING_FORMAT=MLN","FA_ADJUSTED=Adjusted","Sort=A","Dates=H","DateFormat=P","Fill=—","Direction=H","UseDPDF=Y")</f>
        <v>—</v>
      </c>
      <c r="U14" s="12">
        <f>_xll.BDH("RMS FP Equity","IS_D&amp;A_COST_OF_REVENUE","FY 2009","FY 2009","Currency=USD","Period=FY","BEST_FPERIOD_OVERRIDE=FY","FILING_STATUS=MR","SCALING_FORMAT=MLN","FA_ADJUSTED=Adjusted","Sort=A","Dates=H","DateFormat=P","Fill=—","Direction=H","UseDPDF=Y")</f>
        <v>15.338799999999999</v>
      </c>
      <c r="V14" s="12">
        <f>_xll.BDH("RMS FP Equity","IS_D&amp;A_COST_OF_REVENUE","FY 2010","FY 2010","Currency=USD","Period=FY","BEST_FPERIOD_OVERRIDE=FY","FILING_STATUS=MR","SCALING_FORMAT=MLN","FA_ADJUSTED=Adjusted","Sort=A","Dates=H","DateFormat=P","Fill=—","Direction=H","UseDPDF=Y")</f>
        <v>16.715299999999999</v>
      </c>
      <c r="W14" s="12">
        <f>_xll.BDH("RMS FP Equity","IS_D&amp;A_COST_OF_REVENUE","FY 2011","FY 2011","Currency=USD","Period=FY","BEST_FPERIOD_OVERRIDE=FY","FILING_STATUS=MR","SCALING_FORMAT=MLN","FA_ADJUSTED=Adjusted","Sort=A","Dates=H","DateFormat=P","Fill=—","Direction=H","UseDPDF=Y")</f>
        <v>20.189800000000002</v>
      </c>
      <c r="X14" s="12">
        <f>_xll.BDH("RMS FP Equity","IS_D&amp;A_COST_OF_REVENUE","FY 2012","FY 2012","Currency=USD","Period=FY","BEST_FPERIOD_OVERRIDE=FY","FILING_STATUS=MR","SCALING_FORMAT=MLN","FA_ADJUSTED=Adjusted","Sort=A","Dates=H","DateFormat=P","Fill=—","Direction=H","UseDPDF=Y")</f>
        <v>20.316800000000001</v>
      </c>
      <c r="Y14" s="12">
        <f>_xll.BDH("RMS FP Equity","IS_D&amp;A_COST_OF_REVENUE","FY 2013","FY 2013","Currency=USD","Period=FY","BEST_FPERIOD_OVERRIDE=FY","FILING_STATUS=MR","SCALING_FORMAT=MLN","FA_ADJUSTED=Adjusted","Sort=A","Dates=H","DateFormat=P","Fill=—","Direction=H","UseDPDF=Y")</f>
        <v>26.699100000000001</v>
      </c>
      <c r="Z14" s="12">
        <f>_xll.BDH("RMS FP Equity","IS_D&amp;A_COST_OF_REVENUE","FY 2014","FY 2014","Currency=USD","Period=FY","BEST_FPERIOD_OVERRIDE=FY","FILING_STATUS=MR","SCALING_FORMAT=MLN","FA_ADJUSTED=Adjusted","Sort=A","Dates=H","DateFormat=P","Fill=—","Direction=H","UseDPDF=Y")</f>
        <v>36.5334</v>
      </c>
      <c r="AA14" s="12">
        <f>_xll.BDH("RMS FP Equity","IS_D&amp;A_COST_OF_REVENUE","FY 2015","FY 2015","Currency=USD","Period=FY","BEST_FPERIOD_OVERRIDE=FY","FILING_STATUS=MR","SCALING_FORMAT=MLN","FA_ADJUSTED=Adjusted","Sort=A","Dates=H","DateFormat=P","Fill=—","Direction=H","UseDPDF=Y")</f>
        <v>34.743000000000002</v>
      </c>
      <c r="AB14" s="12">
        <f>_xll.BDH("RMS FP Equity","IS_D&amp;A_COST_OF_REVENUE","FY 2016","FY 2016","Currency=USD","Period=FY","BEST_FPERIOD_OVERRIDE=FY","FILING_STATUS=MR","SCALING_FORMAT=MLN","FA_ADJUSTED=Adjusted","Sort=A","Dates=H","DateFormat=P","Fill=—","Direction=H","UseDPDF=Y")</f>
        <v>37.3001</v>
      </c>
      <c r="AC14" s="12">
        <f>_xll.BDH("RMS FP Equity","IS_D&amp;A_COST_OF_REVENUE","FY 2017","FY 2017","Currency=USD","Period=FY","BEST_FPERIOD_OVERRIDE=FY","FILING_STATUS=MR","SCALING_FORMAT=MLN","FA_ADJUSTED=Adjusted","Sort=A","Dates=H","DateFormat=P","Fill=—","Direction=H","UseDPDF=Y")</f>
        <v>38.410499999999999</v>
      </c>
      <c r="AD14" s="12"/>
      <c r="AE14" s="12"/>
    </row>
    <row r="15" spans="1:31" x14ac:dyDescent="0.25">
      <c r="A15" s="11" t="s">
        <v>65</v>
      </c>
      <c r="B15" s="11" t="s">
        <v>74</v>
      </c>
      <c r="C15" s="16" t="s">
        <v>66</v>
      </c>
      <c r="D15" s="16" t="s">
        <v>66</v>
      </c>
      <c r="E15" s="16" t="s">
        <v>66</v>
      </c>
      <c r="F15" s="16" t="s">
        <v>66</v>
      </c>
      <c r="G15" s="16" t="s">
        <v>66</v>
      </c>
      <c r="H15" s="16" t="s">
        <v>66</v>
      </c>
      <c r="I15" s="16" t="s">
        <v>66</v>
      </c>
      <c r="J15" s="16" t="s">
        <v>66</v>
      </c>
      <c r="K15" s="16" t="s">
        <v>66</v>
      </c>
      <c r="L15" s="16" t="s">
        <v>66</v>
      </c>
      <c r="M15" s="16" t="s">
        <v>66</v>
      </c>
      <c r="N15" s="16" t="s">
        <v>66</v>
      </c>
      <c r="O15" s="16" t="s">
        <v>66</v>
      </c>
      <c r="P15" s="16" t="s">
        <v>66</v>
      </c>
      <c r="Q15" s="16" t="s">
        <v>66</v>
      </c>
      <c r="R15" s="16" t="s">
        <v>66</v>
      </c>
      <c r="S15" s="16" t="s">
        <v>66</v>
      </c>
      <c r="T15" s="16" t="s">
        <v>66</v>
      </c>
      <c r="U15" s="16" t="s">
        <v>66</v>
      </c>
      <c r="V15" s="16">
        <v>8.9739460781948797</v>
      </c>
      <c r="W15" s="16">
        <v>20.7865309028256</v>
      </c>
      <c r="X15" s="16">
        <v>0.62869273150429095</v>
      </c>
      <c r="Y15" s="16">
        <v>31.414098791229701</v>
      </c>
      <c r="Z15" s="16">
        <v>36.833958129885403</v>
      </c>
      <c r="AA15" s="16">
        <v>-4.9000582288716696</v>
      </c>
      <c r="AB15" s="16">
        <v>7.3597201460403898</v>
      </c>
      <c r="AC15" s="16">
        <v>2.97693547588434</v>
      </c>
      <c r="AD15" s="16"/>
      <c r="AE15" s="16"/>
    </row>
    <row r="16" spans="1:31" x14ac:dyDescent="0.25">
      <c r="A16" s="6" t="s">
        <v>1</v>
      </c>
      <c r="B16" s="6" t="s">
        <v>75</v>
      </c>
      <c r="C16" s="14">
        <f>_xll.BDH("RMS FP Equity","GROSS_PROFIT","FY 1991","FY 1991","Currency=USD","Period=FY","BEST_FPERIOD_OVERRIDE=FY","FILING_STATUS=MR","SCALING_FORMAT=MLN","FA_ADJUSTED=Adjusted","Sort=A","Dates=H","DateFormat=P","Fill=—","Direction=H","UseDPDF=Y")</f>
        <v>218.54650000000001</v>
      </c>
      <c r="D16" s="14">
        <f>_xll.BDH("RMS FP Equity","GROSS_PROFIT","FY 1992","FY 1992","Currency=USD","Period=FY","BEST_FPERIOD_OVERRIDE=FY","FILING_STATUS=MR","SCALING_FORMAT=MLN","FA_ADJUSTED=Adjusted","Sort=A","Dates=H","DateFormat=P","Fill=—","Direction=H","UseDPDF=Y")</f>
        <v>254.80099999999999</v>
      </c>
      <c r="E16" s="14">
        <f>_xll.BDH("RMS FP Equity","GROSS_PROFIT","FY 1993","FY 1993","Currency=USD","Period=FY","BEST_FPERIOD_OVERRIDE=FY","FILING_STATUS=MR","SCALING_FORMAT=MLN","FA_ADJUSTED=Adjusted","Sort=A","Dates=H","DateFormat=P","Fill=—","Direction=H","UseDPDF=Y")</f>
        <v>276.98050000000001</v>
      </c>
      <c r="F16" s="14">
        <f>_xll.BDH("RMS FP Equity","GROSS_PROFIT","FY 1994","FY 1994","Currency=USD","Period=FY","BEST_FPERIOD_OVERRIDE=FY","FILING_STATUS=MR","SCALING_FORMAT=MLN","FA_ADJUSTED=Adjusted","Sort=A","Dates=H","DateFormat=P","Fill=—","Direction=H","UseDPDF=Y")</f>
        <v>360.34249999999997</v>
      </c>
      <c r="G16" s="14">
        <f>_xll.BDH("RMS FP Equity","GROSS_PROFIT","FY 1995","FY 1995","Currency=USD","Period=FY","BEST_FPERIOD_OVERRIDE=FY","FILING_STATUS=MR","SCALING_FORMAT=MLN","FA_ADJUSTED=Adjusted","Sort=A","Dates=H","DateFormat=P","Fill=—","Direction=H","UseDPDF=Y")</f>
        <v>454.25209999999998</v>
      </c>
      <c r="H16" s="14">
        <f>_xll.BDH("RMS FP Equity","GROSS_PROFIT","FY 1996","FY 1996","Currency=USD","Period=FY","BEST_FPERIOD_OVERRIDE=FY","FILING_STATUS=MR","SCALING_FORMAT=MLN","FA_ADJUSTED=Adjusted","Sort=A","Dates=H","DateFormat=P","Fill=—","Direction=H","UseDPDF=Y")</f>
        <v>488.70389999999998</v>
      </c>
      <c r="I16" s="14">
        <f>_xll.BDH("RMS FP Equity","GROSS_PROFIT","FY 1997","FY 1997","Currency=USD","Period=FY","BEST_FPERIOD_OVERRIDE=FY","FILING_STATUS=MR","SCALING_FORMAT=MLN","FA_ADJUSTED=Adjusted","Sort=A","Dates=H","DateFormat=P","Fill=—","Direction=H","UseDPDF=Y")</f>
        <v>498.01519999999999</v>
      </c>
      <c r="J16" s="14">
        <f>_xll.BDH("RMS FP Equity","GROSS_PROFIT","FY 1998","FY 1998","Currency=USD","Period=FY","BEST_FPERIOD_OVERRIDE=FY","FILING_STATUS=MR","SCALING_FORMAT=MLN","FA_ADJUSTED=Adjusted","Sort=A","Dates=H","DateFormat=P","Fill=—","Direction=H","UseDPDF=Y")</f>
        <v>506.71589999999998</v>
      </c>
      <c r="K16" s="14">
        <f>_xll.BDH("RMS FP Equity","GROSS_PROFIT","FY 1999","FY 1999","Currency=USD","Period=FY","BEST_FPERIOD_OVERRIDE=FY","FILING_STATUS=MR","SCALING_FORMAT=MLN","FA_ADJUSTED=Adjusted","Sort=A","Dates=H","DateFormat=P","Fill=—","Direction=H","UseDPDF=Y")</f>
        <v>577.8048</v>
      </c>
      <c r="L16" s="14">
        <f>_xll.BDH("RMS FP Equity","GROSS_PROFIT","FY 2000","FY 2000","Currency=USD","Period=FY","BEST_FPERIOD_OVERRIDE=FY","FILING_STATUS=MR","SCALING_FORMAT=MLN","FA_ADJUSTED=Adjusted","Sort=A","Dates=H","DateFormat=P","Fill=—","Direction=H","UseDPDF=Y")</f>
        <v>661.76880000000006</v>
      </c>
      <c r="M16" s="14">
        <f>_xll.BDH("RMS FP Equity","GROSS_PROFIT","FY 2001","FY 2001","Currency=USD","Period=FY","BEST_FPERIOD_OVERRIDE=FY","FILING_STATUS=MR","SCALING_FORMAT=MLN","FA_ADJUSTED=Adjusted","Sort=A","Dates=H","DateFormat=P","Fill=—","Direction=H","UseDPDF=Y")</f>
        <v>696.17370000000005</v>
      </c>
      <c r="N16" s="14">
        <f>_xll.BDH("RMS FP Equity","GROSS_PROFIT","FY 2002","FY 2002","Currency=USD","Period=FY","BEST_FPERIOD_OVERRIDE=FY","FILING_STATUS=MR","SCALING_FORMAT=MLN","FA_ADJUSTED=Adjusted","Sort=A","Dates=H","DateFormat=P","Fill=—","Direction=H","UseDPDF=Y")</f>
        <v>761.25390000000004</v>
      </c>
      <c r="O16" s="14">
        <f>_xll.BDH("RMS FP Equity","GROSS_PROFIT","FY 2003","FY 2003","Currency=USD","Period=FY","BEST_FPERIOD_OVERRIDE=FY","FILING_STATUS=MR","SCALING_FORMAT=MLN","FA_ADJUSTED=Adjusted","Sort=A","Dates=H","DateFormat=P","Fill=—","Direction=H","UseDPDF=Y")</f>
        <v>909.13810000000001</v>
      </c>
      <c r="P16" s="14">
        <f>_xll.BDH("RMS FP Equity","GROSS_PROFIT","FY 2004","FY 2004","Currency=USD","Period=FY","BEST_FPERIOD_OVERRIDE=FY","FILING_STATUS=MR","SCALING_FORMAT=MLN","FA_ADJUSTED=Adjusted","Sort=A","Dates=H","DateFormat=P","Fill=—","Direction=H","UseDPDF=Y")</f>
        <v>1079.9803999999999</v>
      </c>
      <c r="Q16" s="14">
        <f>_xll.BDH("RMS FP Equity","GROSS_PROFIT","FY 2005","FY 2005","Currency=USD","Period=FY","BEST_FPERIOD_OVERRIDE=FY","FILING_STATUS=MR","SCALING_FORMAT=MLN","FA_ADJUSTED=Adjusted","Sort=A","Dates=H","DateFormat=P","Fill=—","Direction=H","UseDPDF=Y")</f>
        <v>1155.6291000000001</v>
      </c>
      <c r="R16" s="14">
        <f>_xll.BDH("RMS FP Equity","GROSS_PROFIT","FY 2006","FY 2006","Currency=USD","Period=FY","BEST_FPERIOD_OVERRIDE=FY","FILING_STATUS=MR","SCALING_FORMAT=MLN","FA_ADJUSTED=Adjusted","Sort=A","Dates=H","DateFormat=P","Fill=—","Direction=H","UseDPDF=Y")</f>
        <v>1243.8244999999999</v>
      </c>
      <c r="S16" s="14">
        <f>_xll.BDH("RMS FP Equity","GROSS_PROFIT","FY 2007","FY 2007","Currency=USD","Period=FY","BEST_FPERIOD_OVERRIDE=FY","FILING_STATUS=MR","SCALING_FORMAT=MLN","FA_ADJUSTED=Adjusted","Sort=A","Dates=H","DateFormat=P","Fill=—","Direction=H","UseDPDF=Y")</f>
        <v>1445.5069000000001</v>
      </c>
      <c r="T16" s="14">
        <f>_xll.BDH("RMS FP Equity","GROSS_PROFIT","FY 2008","FY 2008","Currency=USD","Period=FY","BEST_FPERIOD_OVERRIDE=FY","FILING_STATUS=MR","SCALING_FORMAT=MLN","FA_ADJUSTED=Adjusted","Sort=A","Dates=H","DateFormat=P","Fill=—","Direction=H","UseDPDF=Y")</f>
        <v>1676.961</v>
      </c>
      <c r="U16" s="14">
        <f>_xll.BDH("RMS FP Equity","GROSS_PROFIT","FY 2009","FY 2009","Currency=USD","Period=FY","BEST_FPERIOD_OVERRIDE=FY","FILING_STATUS=MR","SCALING_FORMAT=MLN","FA_ADJUSTED=Adjusted","Sort=A","Dates=H","DateFormat=P","Fill=—","Direction=H","UseDPDF=Y")</f>
        <v>1690.8939</v>
      </c>
      <c r="V16" s="14">
        <f>_xll.BDH("RMS FP Equity","GROSS_PROFIT","FY 2010","FY 2010","Currency=USD","Period=FY","BEST_FPERIOD_OVERRIDE=FY","FILING_STATUS=MR","SCALING_FORMAT=MLN","FA_ADJUSTED=Adjusted","Sort=A","Dates=H","DateFormat=P","Fill=—","Direction=H","UseDPDF=Y")</f>
        <v>2103.7399</v>
      </c>
      <c r="W16" s="14">
        <f>_xll.BDH("RMS FP Equity","GROSS_PROFIT","FY 2011","FY 2011","Currency=USD","Period=FY","BEST_FPERIOD_OVERRIDE=FY","FILING_STATUS=MR","SCALING_FORMAT=MLN","FA_ADJUSTED=Adjusted","Sort=A","Dates=H","DateFormat=P","Fill=—","Direction=H","UseDPDF=Y")</f>
        <v>2721.8676999999998</v>
      </c>
      <c r="X16" s="14">
        <f>_xll.BDH("RMS FP Equity","GROSS_PROFIT","FY 2012","FY 2012","Currency=USD","Period=FY","BEST_FPERIOD_OVERRIDE=FY","FILING_STATUS=MR","SCALING_FORMAT=MLN","FA_ADJUSTED=Adjusted","Sort=A","Dates=H","DateFormat=P","Fill=—","Direction=H","UseDPDF=Y")</f>
        <v>3051.7579000000001</v>
      </c>
      <c r="Y16" s="14">
        <f>_xll.BDH("RMS FP Equity","GROSS_PROFIT","FY 2013","FY 2013","Currency=USD","Period=FY","BEST_FPERIOD_OVERRIDE=FY","FILING_STATUS=MR","SCALING_FORMAT=MLN","FA_ADJUSTED=Adjusted","Sort=A","Dates=H","DateFormat=P","Fill=—","Direction=H","UseDPDF=Y")</f>
        <v>3433.0209</v>
      </c>
      <c r="Z16" s="14">
        <f>_xll.BDH("RMS FP Equity","GROSS_PROFIT","FY 2014","FY 2014","Currency=USD","Period=FY","BEST_FPERIOD_OVERRIDE=FY","FILING_STATUS=MR","SCALING_FORMAT=MLN","FA_ADJUSTED=Adjusted","Sort=A","Dates=H","DateFormat=P","Fill=—","Direction=H","UseDPDF=Y")</f>
        <v>3657.3213999999998</v>
      </c>
      <c r="AA16" s="14">
        <f>_xll.BDH("RMS FP Equity","GROSS_PROFIT","FY 2015","FY 2015","Currency=USD","Period=FY","BEST_FPERIOD_OVERRIDE=FY","FILING_STATUS=MR","SCALING_FORMAT=MLN","FA_ADJUSTED=Adjusted","Sort=A","Dates=H","DateFormat=P","Fill=—","Direction=H","UseDPDF=Y")</f>
        <v>3550.337</v>
      </c>
      <c r="AB16" s="14">
        <f>_xll.BDH("RMS FP Equity","GROSS_PROFIT","FY 2016","FY 2016","Currency=USD","Period=FY","BEST_FPERIOD_OVERRIDE=FY","FILING_STATUS=MR","SCALING_FORMAT=MLN","FA_ADJUSTED=Adjusted","Sort=A","Dates=H","DateFormat=P","Fill=—","Direction=H","UseDPDF=Y")</f>
        <v>3896.3690000000001</v>
      </c>
      <c r="AC16" s="14">
        <f>_xll.BDH("RMS FP Equity","GROSS_PROFIT","FY 2017","FY 2017","Currency=USD","Period=FY","BEST_FPERIOD_OVERRIDE=FY","FILING_STATUS=MR","SCALING_FORMAT=MLN","FA_ADJUSTED=Adjusted","Sort=A","Dates=H","DateFormat=P","Fill=—","Direction=H","UseDPDF=Y")</f>
        <v>4394.5028000000002</v>
      </c>
      <c r="AD16" s="14">
        <v>4773.8883819000002</v>
      </c>
      <c r="AE16" s="14">
        <v>5147.2437523199997</v>
      </c>
    </row>
    <row r="17" spans="1:31" x14ac:dyDescent="0.25">
      <c r="A17" s="11" t="s">
        <v>65</v>
      </c>
      <c r="B17" s="11" t="s">
        <v>75</v>
      </c>
      <c r="C17" s="16" t="s">
        <v>66</v>
      </c>
      <c r="D17" s="16">
        <v>16.588928218630201</v>
      </c>
      <c r="E17" s="16">
        <v>8.7046392542925108</v>
      </c>
      <c r="F17" s="16">
        <v>30.096697007389501</v>
      </c>
      <c r="G17" s="16">
        <v>26.061184787720201</v>
      </c>
      <c r="H17" s="16">
        <v>7.5842957231682799</v>
      </c>
      <c r="I17" s="16">
        <v>1.9052993029112399</v>
      </c>
      <c r="J17" s="16">
        <v>1.7470897452899199</v>
      </c>
      <c r="K17" s="16">
        <v>14.0293217219153</v>
      </c>
      <c r="L17" s="16">
        <v>14.531560084741001</v>
      </c>
      <c r="M17" s="16">
        <v>5.1989336837864499</v>
      </c>
      <c r="N17" s="16">
        <v>9.3482689924003495</v>
      </c>
      <c r="O17" s="16">
        <v>19.426392911594</v>
      </c>
      <c r="P17" s="16">
        <v>18.7916775520684</v>
      </c>
      <c r="Q17" s="16">
        <v>7.0046423046797903</v>
      </c>
      <c r="R17" s="16">
        <v>7.6318042926070104</v>
      </c>
      <c r="S17" s="16">
        <v>16.214701057216001</v>
      </c>
      <c r="T17" s="16">
        <v>16.0119665534997</v>
      </c>
      <c r="U17" s="16">
        <v>0.83084334551449601</v>
      </c>
      <c r="V17" s="16">
        <v>24.4158430460133</v>
      </c>
      <c r="W17" s="16">
        <v>29.3823268915325</v>
      </c>
      <c r="X17" s="16">
        <v>12.1199926143361</v>
      </c>
      <c r="Y17" s="16">
        <v>12.4933589545841</v>
      </c>
      <c r="Z17" s="16">
        <v>6.53368080594496</v>
      </c>
      <c r="AA17" s="16">
        <v>-2.9246993891145801</v>
      </c>
      <c r="AB17" s="16">
        <v>9.7461072336714096</v>
      </c>
      <c r="AC17" s="16">
        <v>12.7845773188447</v>
      </c>
      <c r="AD17" s="16">
        <v>8.6327535427594704</v>
      </c>
      <c r="AE17" s="16">
        <v>7.82078131184553</v>
      </c>
    </row>
    <row r="18" spans="1:31" x14ac:dyDescent="0.25">
      <c r="A18" s="10" t="s">
        <v>76</v>
      </c>
      <c r="B18" s="10" t="s">
        <v>77</v>
      </c>
      <c r="C18" s="12" t="str">
        <f>_xll.BDH("RMS FP Equity","IS_OTHER_OPER_INC","FY 1991","FY 1991","Currency=USD","Period=FY","BEST_FPERIOD_OVERRIDE=FY","FILING_STATUS=MR","SCALING_FORMAT=MLN","FA_ADJUSTED=Adjusted","Sort=A","Dates=H","DateFormat=P","Fill=—","Direction=H","UseDPDF=Y")</f>
        <v>—</v>
      </c>
      <c r="D18" s="12" t="str">
        <f>_xll.BDH("RMS FP Equity","IS_OTHER_OPER_INC","FY 1992","FY 1992","Currency=USD","Period=FY","BEST_FPERIOD_OVERRIDE=FY","FILING_STATUS=MR","SCALING_FORMAT=MLN","FA_ADJUSTED=Adjusted","Sort=A","Dates=H","DateFormat=P","Fill=—","Direction=H","UseDPDF=Y")</f>
        <v>—</v>
      </c>
      <c r="E18" s="12" t="str">
        <f>_xll.BDH("RMS FP Equity","IS_OTHER_OPER_INC","FY 1993","FY 1993","Currency=USD","Period=FY","BEST_FPERIOD_OVERRIDE=FY","FILING_STATUS=MR","SCALING_FORMAT=MLN","FA_ADJUSTED=Adjusted","Sort=A","Dates=H","DateFormat=P","Fill=—","Direction=H","UseDPDF=Y")</f>
        <v>—</v>
      </c>
      <c r="F18" s="12" t="str">
        <f>_xll.BDH("RMS FP Equity","IS_OTHER_OPER_INC","FY 1994","FY 1994","Currency=USD","Period=FY","BEST_FPERIOD_OVERRIDE=FY","FILING_STATUS=MR","SCALING_FORMAT=MLN","FA_ADJUSTED=Adjusted","Sort=A","Dates=H","DateFormat=P","Fill=—","Direction=H","UseDPDF=Y")</f>
        <v>—</v>
      </c>
      <c r="G18" s="12" t="str">
        <f>_xll.BDH("RMS FP Equity","IS_OTHER_OPER_INC","FY 1995","FY 1995","Currency=USD","Period=FY","BEST_FPERIOD_OVERRIDE=FY","FILING_STATUS=MR","SCALING_FORMAT=MLN","FA_ADJUSTED=Adjusted","Sort=A","Dates=H","DateFormat=P","Fill=—","Direction=H","UseDPDF=Y")</f>
        <v>—</v>
      </c>
      <c r="H18" s="12" t="str">
        <f>_xll.BDH("RMS FP Equity","IS_OTHER_OPER_INC","FY 1996","FY 1996","Currency=USD","Period=FY","BEST_FPERIOD_OVERRIDE=FY","FILING_STATUS=MR","SCALING_FORMAT=MLN","FA_ADJUSTED=Adjusted","Sort=A","Dates=H","DateFormat=P","Fill=—","Direction=H","UseDPDF=Y")</f>
        <v>—</v>
      </c>
      <c r="I18" s="12" t="str">
        <f>_xll.BDH("RMS FP Equity","IS_OTHER_OPER_INC","FY 1997","FY 1997","Currency=USD","Period=FY","BEST_FPERIOD_OVERRIDE=FY","FILING_STATUS=MR","SCALING_FORMAT=MLN","FA_ADJUSTED=Adjusted","Sort=A","Dates=H","DateFormat=P","Fill=—","Direction=H","UseDPDF=Y")</f>
        <v>—</v>
      </c>
      <c r="J18" s="12" t="str">
        <f>_xll.BDH("RMS FP Equity","IS_OTHER_OPER_INC","FY 1998","FY 1998","Currency=USD","Period=FY","BEST_FPERIOD_OVERRIDE=FY","FILING_STATUS=MR","SCALING_FORMAT=MLN","FA_ADJUSTED=Adjusted","Sort=A","Dates=H","DateFormat=P","Fill=—","Direction=H","UseDPDF=Y")</f>
        <v>—</v>
      </c>
      <c r="K18" s="12" t="str">
        <f>_xll.BDH("RMS FP Equity","IS_OTHER_OPER_INC","FY 1999","FY 1999","Currency=USD","Period=FY","BEST_FPERIOD_OVERRIDE=FY","FILING_STATUS=MR","SCALING_FORMAT=MLN","FA_ADJUSTED=Adjusted","Sort=A","Dates=H","DateFormat=P","Fill=—","Direction=H","UseDPDF=Y")</f>
        <v>—</v>
      </c>
      <c r="L18" s="12" t="str">
        <f>_xll.BDH("RMS FP Equity","IS_OTHER_OPER_INC","FY 2000","FY 2000","Currency=USD","Period=FY","BEST_FPERIOD_OVERRIDE=FY","FILING_STATUS=MR","SCALING_FORMAT=MLN","FA_ADJUSTED=Adjusted","Sort=A","Dates=H","DateFormat=P","Fill=—","Direction=H","UseDPDF=Y")</f>
        <v>—</v>
      </c>
      <c r="M18" s="12" t="str">
        <f>_xll.BDH("RMS FP Equity","IS_OTHER_OPER_INC","FY 2001","FY 2001","Currency=USD","Period=FY","BEST_FPERIOD_OVERRIDE=FY","FILING_STATUS=MR","SCALING_FORMAT=MLN","FA_ADJUSTED=Adjusted","Sort=A","Dates=H","DateFormat=P","Fill=—","Direction=H","UseDPDF=Y")</f>
        <v>—</v>
      </c>
      <c r="N18" s="12" t="str">
        <f>_xll.BDH("RMS FP Equity","IS_OTHER_OPER_INC","FY 2002","FY 2002","Currency=USD","Period=FY","BEST_FPERIOD_OVERRIDE=FY","FILING_STATUS=MR","SCALING_FORMAT=MLN","FA_ADJUSTED=Adjusted","Sort=A","Dates=H","DateFormat=P","Fill=—","Direction=H","UseDPDF=Y")</f>
        <v>—</v>
      </c>
      <c r="O18" s="12" t="str">
        <f>_xll.BDH("RMS FP Equity","IS_OTHER_OPER_INC","FY 2003","FY 2003","Currency=USD","Period=FY","BEST_FPERIOD_OVERRIDE=FY","FILING_STATUS=MR","SCALING_FORMAT=MLN","FA_ADJUSTED=Adjusted","Sort=A","Dates=H","DateFormat=P","Fill=—","Direction=H","UseDPDF=Y")</f>
        <v>—</v>
      </c>
      <c r="P18" s="12" t="str">
        <f>_xll.BDH("RMS FP Equity","IS_OTHER_OPER_INC","FY 2004","FY 2004","Currency=USD","Period=FY","BEST_FPERIOD_OVERRIDE=FY","FILING_STATUS=MR","SCALING_FORMAT=MLN","FA_ADJUSTED=Adjusted","Sort=A","Dates=H","DateFormat=P","Fill=—","Direction=H","UseDPDF=Y")</f>
        <v>—</v>
      </c>
      <c r="Q18" s="12" t="str">
        <f>_xll.BDH("RMS FP Equity","IS_OTHER_OPER_INC","FY 2005","FY 2005","Currency=USD","Period=FY","BEST_FPERIOD_OVERRIDE=FY","FILING_STATUS=MR","SCALING_FORMAT=MLN","FA_ADJUSTED=Adjusted","Sort=A","Dates=H","DateFormat=P","Fill=—","Direction=H","UseDPDF=Y")</f>
        <v>—</v>
      </c>
      <c r="R18" s="12" t="str">
        <f>_xll.BDH("RMS FP Equity","IS_OTHER_OPER_INC","FY 2006","FY 2006","Currency=USD","Period=FY","BEST_FPERIOD_OVERRIDE=FY","FILING_STATUS=MR","SCALING_FORMAT=MLN","FA_ADJUSTED=Adjusted","Sort=A","Dates=H","DateFormat=P","Fill=—","Direction=H","UseDPDF=Y")</f>
        <v>—</v>
      </c>
      <c r="S18" s="12" t="str">
        <f>_xll.BDH("RMS FP Equity","IS_OTHER_OPER_INC","FY 2007","FY 2007","Currency=USD","Period=FY","BEST_FPERIOD_OVERRIDE=FY","FILING_STATUS=MR","SCALING_FORMAT=MLN","FA_ADJUSTED=Adjusted","Sort=A","Dates=H","DateFormat=P","Fill=—","Direction=H","UseDPDF=Y")</f>
        <v>—</v>
      </c>
      <c r="T18" s="12" t="str">
        <f>_xll.BDH("RMS FP Equity","IS_OTHER_OPER_INC","FY 2008","FY 2008","Currency=USD","Period=FY","BEST_FPERIOD_OVERRIDE=FY","FILING_STATUS=MR","SCALING_FORMAT=MLN","FA_ADJUSTED=Adjusted","Sort=A","Dates=H","DateFormat=P","Fill=—","Direction=H","UseDPDF=Y")</f>
        <v>—</v>
      </c>
      <c r="U18" s="12" t="str">
        <f>_xll.BDH("RMS FP Equity","IS_OTHER_OPER_INC","FY 2009","FY 2009","Currency=USD","Period=FY","BEST_FPERIOD_OVERRIDE=FY","FILING_STATUS=MR","SCALING_FORMAT=MLN","FA_ADJUSTED=Adjusted","Sort=A","Dates=H","DateFormat=P","Fill=—","Direction=H","UseDPDF=Y")</f>
        <v>—</v>
      </c>
      <c r="V18" s="12" t="str">
        <f>_xll.BDH("RMS FP Equity","IS_OTHER_OPER_INC","FY 2010","FY 2010","Currency=USD","Period=FY","BEST_FPERIOD_OVERRIDE=FY","FILING_STATUS=MR","SCALING_FORMAT=MLN","FA_ADJUSTED=Adjusted","Sort=A","Dates=H","DateFormat=P","Fill=—","Direction=H","UseDPDF=Y")</f>
        <v>—</v>
      </c>
      <c r="W18" s="12" t="str">
        <f>_xll.BDH("RMS FP Equity","IS_OTHER_OPER_INC","FY 2011","FY 2011","Currency=USD","Period=FY","BEST_FPERIOD_OVERRIDE=FY","FILING_STATUS=MR","SCALING_FORMAT=MLN","FA_ADJUSTED=Adjusted","Sort=A","Dates=H","DateFormat=P","Fill=—","Direction=H","UseDPDF=Y")</f>
        <v>—</v>
      </c>
      <c r="X18" s="12" t="str">
        <f>_xll.BDH("RMS FP Equity","IS_OTHER_OPER_INC","FY 2012","FY 2012","Currency=USD","Period=FY","BEST_FPERIOD_OVERRIDE=FY","FILING_STATUS=MR","SCALING_FORMAT=MLN","FA_ADJUSTED=Adjusted","Sort=A","Dates=H","DateFormat=P","Fill=—","Direction=H","UseDPDF=Y")</f>
        <v>—</v>
      </c>
      <c r="Y18" s="12" t="str">
        <f>_xll.BDH("RMS FP Equity","IS_OTHER_OPER_INC","FY 2013","FY 2013","Currency=USD","Period=FY","BEST_FPERIOD_OVERRIDE=FY","FILING_STATUS=MR","SCALING_FORMAT=MLN","FA_ADJUSTED=Adjusted","Sort=A","Dates=H","DateFormat=P","Fill=—","Direction=H","UseDPDF=Y")</f>
        <v>—</v>
      </c>
      <c r="Z18" s="12" t="str">
        <f>_xll.BDH("RMS FP Equity","IS_OTHER_OPER_INC","FY 2014","FY 2014","Currency=USD","Period=FY","BEST_FPERIOD_OVERRIDE=FY","FILING_STATUS=MR","SCALING_FORMAT=MLN","FA_ADJUSTED=Adjusted","Sort=A","Dates=H","DateFormat=P","Fill=—","Direction=H","UseDPDF=Y")</f>
        <v>—</v>
      </c>
      <c r="AA18" s="12">
        <f>_xll.BDH("RMS FP Equity","IS_OTHER_OPER_INC","FY 2015","FY 2015","Currency=USD","Period=FY","BEST_FPERIOD_OVERRIDE=FY","FILING_STATUS=MR","SCALING_FORMAT=MLN","FA_ADJUSTED=Adjusted","Sort=A","Dates=H","DateFormat=P","Fill=—","Direction=H","UseDPDF=Y")</f>
        <v>0</v>
      </c>
      <c r="AB18" s="12">
        <f>_xll.BDH("RMS FP Equity","IS_OTHER_OPER_INC","FY 2016","FY 2016","Currency=USD","Period=FY","BEST_FPERIOD_OVERRIDE=FY","FILING_STATUS=MR","SCALING_FORMAT=MLN","FA_ADJUSTED=Adjusted","Sort=A","Dates=H","DateFormat=P","Fill=—","Direction=H","UseDPDF=Y")</f>
        <v>0</v>
      </c>
      <c r="AC18" s="12">
        <f>_xll.BDH("RMS FP Equity","IS_OTHER_OPER_INC","FY 2017","FY 2017","Currency=USD","Period=FY","BEST_FPERIOD_OVERRIDE=FY","FILING_STATUS=MR","SCALING_FORMAT=MLN","FA_ADJUSTED=Adjusted","Sort=A","Dates=H","DateFormat=P","Fill=—","Direction=H","UseDPDF=Y")</f>
        <v>0</v>
      </c>
      <c r="AD18" s="12"/>
      <c r="AE18" s="12"/>
    </row>
    <row r="19" spans="1:31" x14ac:dyDescent="0.25">
      <c r="A19" s="10" t="s">
        <v>78</v>
      </c>
      <c r="B19" s="10" t="s">
        <v>79</v>
      </c>
      <c r="C19" s="12">
        <f>_xll.BDH("RMS FP Equity","IS_OPERATING_EXPN","FY 1991","FY 1991","Currency=USD","Period=FY","BEST_FPERIOD_OVERRIDE=FY","FILING_STATUS=MR","SCALING_FORMAT=MLN","FA_ADJUSTED=Adjusted","Sort=A","Dates=H","DateFormat=P","Fill=—","Direction=H","UseDPDF=Y")</f>
        <v>166.21270000000001</v>
      </c>
      <c r="D19" s="12">
        <f>_xll.BDH("RMS FP Equity","IS_OPERATING_EXPN","FY 1992","FY 1992","Currency=USD","Period=FY","BEST_FPERIOD_OVERRIDE=FY","FILING_STATUS=MR","SCALING_FORMAT=MLN","FA_ADJUSTED=Adjusted","Sort=A","Dates=H","DateFormat=P","Fill=—","Direction=H","UseDPDF=Y")</f>
        <v>193.75630000000001</v>
      </c>
      <c r="E19" s="12">
        <f>_xll.BDH("RMS FP Equity","IS_OPERATING_EXPN","FY 1993","FY 1993","Currency=USD","Period=FY","BEST_FPERIOD_OVERRIDE=FY","FILING_STATUS=MR","SCALING_FORMAT=MLN","FA_ADJUSTED=Adjusted","Sort=A","Dates=H","DateFormat=P","Fill=—","Direction=H","UseDPDF=Y")</f>
        <v>214.43199999999999</v>
      </c>
      <c r="F19" s="12">
        <f>_xll.BDH("RMS FP Equity","IS_OPERATING_EXPN","FY 1994","FY 1994","Currency=USD","Period=FY","BEST_FPERIOD_OVERRIDE=FY","FILING_STATUS=MR","SCALING_FORMAT=MLN","FA_ADJUSTED=Adjusted","Sort=A","Dates=H","DateFormat=P","Fill=—","Direction=H","UseDPDF=Y")</f>
        <v>257.16039999999998</v>
      </c>
      <c r="G19" s="12">
        <f>_xll.BDH("RMS FP Equity","IS_OPERATING_EXPN","FY 1995","FY 1995","Currency=USD","Period=FY","BEST_FPERIOD_OVERRIDE=FY","FILING_STATUS=MR","SCALING_FORMAT=MLN","FA_ADJUSTED=Adjusted","Sort=A","Dates=H","DateFormat=P","Fill=—","Direction=H","UseDPDF=Y")</f>
        <v>316.87670000000003</v>
      </c>
      <c r="H19" s="12">
        <f>_xll.BDH("RMS FP Equity","IS_OPERATING_EXPN","FY 1996","FY 1996","Currency=USD","Period=FY","BEST_FPERIOD_OVERRIDE=FY","FILING_STATUS=MR","SCALING_FORMAT=MLN","FA_ADJUSTED=Adjusted","Sort=A","Dates=H","DateFormat=P","Fill=—","Direction=H","UseDPDF=Y")</f>
        <v>341.35930000000002</v>
      </c>
      <c r="I19" s="12">
        <f>_xll.BDH("RMS FP Equity","IS_OPERATING_EXPN","FY 1997","FY 1997","Currency=USD","Period=FY","BEST_FPERIOD_OVERRIDE=FY","FILING_STATUS=MR","SCALING_FORMAT=MLN","FA_ADJUSTED=Adjusted","Sort=A","Dates=H","DateFormat=P","Fill=—","Direction=H","UseDPDF=Y")</f>
        <v>325.87869999999998</v>
      </c>
      <c r="J19" s="12">
        <f>_xll.BDH("RMS FP Equity","IS_OPERATING_EXPN","FY 1998","FY 1998","Currency=USD","Period=FY","BEST_FPERIOD_OVERRIDE=FY","FILING_STATUS=MR","SCALING_FORMAT=MLN","FA_ADJUSTED=Adjusted","Sort=A","Dates=H","DateFormat=P","Fill=—","Direction=H","UseDPDF=Y")</f>
        <v>329.40949999999998</v>
      </c>
      <c r="K19" s="12">
        <f>_xll.BDH("RMS FP Equity","IS_OPERATING_EXPN","FY 1999","FY 1999","Currency=USD","Period=FY","BEST_FPERIOD_OVERRIDE=FY","FILING_STATUS=MR","SCALING_FORMAT=MLN","FA_ADJUSTED=Adjusted","Sort=A","Dates=H","DateFormat=P","Fill=—","Direction=H","UseDPDF=Y")</f>
        <v>373.28769999999997</v>
      </c>
      <c r="L19" s="12">
        <f>_xll.BDH("RMS FP Equity","IS_OPERATING_EXPN","FY 2000","FY 2000","Currency=USD","Period=FY","BEST_FPERIOD_OVERRIDE=FY","FILING_STATUS=MR","SCALING_FORMAT=MLN","FA_ADJUSTED=Adjusted","Sort=A","Dates=H","DateFormat=P","Fill=—","Direction=H","UseDPDF=Y")</f>
        <v>395.92660000000001</v>
      </c>
      <c r="M19" s="12">
        <f>_xll.BDH("RMS FP Equity","IS_OPERATING_EXPN","FY 2001","FY 2001","Currency=USD","Period=FY","BEST_FPERIOD_OVERRIDE=FY","FILING_STATUS=MR","SCALING_FORMAT=MLN","FA_ADJUSTED=Adjusted","Sort=A","Dates=H","DateFormat=P","Fill=—","Direction=H","UseDPDF=Y")</f>
        <v>421.12549999999999</v>
      </c>
      <c r="N19" s="12">
        <f>_xll.BDH("RMS FP Equity","IS_OPERATING_EXPN","FY 2002","FY 2002","Currency=USD","Period=FY","BEST_FPERIOD_OVERRIDE=FY","FILING_STATUS=MR","SCALING_FORMAT=MLN","FA_ADJUSTED=Adjusted","Sort=A","Dates=H","DateFormat=P","Fill=—","Direction=H","UseDPDF=Y")</f>
        <v>458.4169</v>
      </c>
      <c r="O19" s="12">
        <f>_xll.BDH("RMS FP Equity","IS_OPERATING_EXPN","FY 2003","FY 2003","Currency=USD","Period=FY","BEST_FPERIOD_OVERRIDE=FY","FILING_STATUS=MR","SCALING_FORMAT=MLN","FA_ADJUSTED=Adjusted","Sort=A","Dates=H","DateFormat=P","Fill=—","Direction=H","UseDPDF=Y")</f>
        <v>532.25570000000005</v>
      </c>
      <c r="P19" s="12">
        <f>_xll.BDH("RMS FP Equity","IS_OPERATING_EXPN","FY 2004","FY 2004","Currency=USD","Period=FY","BEST_FPERIOD_OVERRIDE=FY","FILING_STATUS=MR","SCALING_FORMAT=MLN","FA_ADJUSTED=Adjusted","Sort=A","Dates=H","DateFormat=P","Fill=—","Direction=H","UseDPDF=Y")</f>
        <v>635.67049999999995</v>
      </c>
      <c r="Q19" s="12">
        <f>_xll.BDH("RMS FP Equity","IS_OPERATING_EXPN","FY 2005","FY 2005","Currency=USD","Period=FY","BEST_FPERIOD_OVERRIDE=FY","FILING_STATUS=MR","SCALING_FORMAT=MLN","FA_ADJUSTED=Adjusted","Sort=A","Dates=H","DateFormat=P","Fill=—","Direction=H","UseDPDF=Y")</f>
        <v>678.47170000000006</v>
      </c>
      <c r="R19" s="12">
        <f>_xll.BDH("RMS FP Equity","IS_OPERATING_EXPN","FY 2006","FY 2006","Currency=USD","Period=FY","BEST_FPERIOD_OVERRIDE=FY","FILING_STATUS=MR","SCALING_FORMAT=MLN","FA_ADJUSTED=Adjusted","Sort=A","Dates=H","DateFormat=P","Fill=—","Direction=H","UseDPDF=Y")</f>
        <v>722.17200000000003</v>
      </c>
      <c r="S19" s="12">
        <f>_xll.BDH("RMS FP Equity","IS_OPERATING_EXPN","FY 2007","FY 2007","Currency=USD","Period=FY","BEST_FPERIOD_OVERRIDE=FY","FILING_STATUS=MR","SCALING_FORMAT=MLN","FA_ADJUSTED=Adjusted","Sort=A","Dates=H","DateFormat=P","Fill=—","Direction=H","UseDPDF=Y")</f>
        <v>877.31100000000004</v>
      </c>
      <c r="T19" s="12">
        <f>_xll.BDH("RMS FP Equity","IS_OPERATING_EXPN","FY 2008","FY 2008","Currency=USD","Period=FY","BEST_FPERIOD_OVERRIDE=FY","FILING_STATUS=MR","SCALING_FORMAT=MLN","FA_ADJUSTED=Adjusted","Sort=A","Dates=H","DateFormat=P","Fill=—","Direction=H","UseDPDF=Y")</f>
        <v>971.52250000000004</v>
      </c>
      <c r="U19" s="12">
        <f>_xll.BDH("RMS FP Equity","IS_OPERATING_EXPN","FY 2009","FY 2009","Currency=USD","Period=FY","BEST_FPERIOD_OVERRIDE=FY","FILING_STATUS=MR","SCALING_FORMAT=MLN","FA_ADJUSTED=Adjusted","Sort=A","Dates=H","DateFormat=P","Fill=—","Direction=H","UseDPDF=Y")</f>
        <v>1041.5047999999999</v>
      </c>
      <c r="V19" s="12">
        <f>_xll.BDH("RMS FP Equity","IS_OPERATING_EXPN","FY 2010","FY 2010","Currency=USD","Period=FY","BEST_FPERIOD_OVERRIDE=FY","FILING_STATUS=MR","SCALING_FORMAT=MLN","FA_ADJUSTED=Adjusted","Sort=A","Dates=H","DateFormat=P","Fill=—","Direction=H","UseDPDF=Y")</f>
        <v>1212.2573</v>
      </c>
      <c r="W19" s="12">
        <f>_xll.BDH("RMS FP Equity","IS_OPERATING_EXPN","FY 2011","FY 2011","Currency=USD","Period=FY","BEST_FPERIOD_OVERRIDE=FY","FILING_STATUS=MR","SCALING_FORMAT=MLN","FA_ADJUSTED=Adjusted","Sort=A","Dates=H","DateFormat=P","Fill=—","Direction=H","UseDPDF=Y")</f>
        <v>1486.3893</v>
      </c>
      <c r="X19" s="12">
        <f>_xll.BDH("RMS FP Equity","IS_OPERATING_EXPN","FY 2012","FY 2012","Currency=USD","Period=FY","BEST_FPERIOD_OVERRIDE=FY","FILING_STATUS=MR","SCALING_FORMAT=MLN","FA_ADJUSTED=Adjusted","Sort=A","Dates=H","DateFormat=P","Fill=—","Direction=H","UseDPDF=Y")</f>
        <v>1617.883</v>
      </c>
      <c r="Y19" s="12">
        <f>_xll.BDH("RMS FP Equity","IS_OPERATING_EXPN","FY 2013","FY 2013","Currency=USD","Period=FY","BEST_FPERIOD_OVERRIDE=FY","FILING_STATUS=MR","SCALING_FORMAT=MLN","FA_ADJUSTED=Adjusted","Sort=A","Dates=H","DateFormat=P","Fill=—","Direction=H","UseDPDF=Y")</f>
        <v>1788.1729</v>
      </c>
      <c r="Z19" s="12">
        <f>_xll.BDH("RMS FP Equity","IS_OPERATING_EXPN","FY 2014","FY 2014","Currency=USD","Period=FY","BEST_FPERIOD_OVERRIDE=FY","FILING_STATUS=MR","SCALING_FORMAT=MLN","FA_ADJUSTED=Adjusted","Sort=A","Dates=H","DateFormat=P","Fill=—","Direction=H","UseDPDF=Y")</f>
        <v>1898.5391</v>
      </c>
      <c r="AA19" s="12">
        <f>_xll.BDH("RMS FP Equity","IS_OPERATING_EXPN","FY 2015","FY 2015","Currency=USD","Period=FY","BEST_FPERIOD_OVERRIDE=FY","FILING_STATUS=MR","SCALING_FORMAT=MLN","FA_ADJUSTED=Adjusted","Sort=A","Dates=H","DateFormat=P","Fill=—","Direction=H","UseDPDF=Y")</f>
        <v>1814.6289999999999</v>
      </c>
      <c r="AB19" s="12">
        <f>_xll.BDH("RMS FP Equity","IS_OPERATING_EXPN","FY 2016","FY 2016","Currency=USD","Period=FY","BEST_FPERIOD_OVERRIDE=FY","FILING_STATUS=MR","SCALING_FORMAT=MLN","FA_ADJUSTED=Adjusted","Sort=A","Dates=H","DateFormat=P","Fill=—","Direction=H","UseDPDF=Y")</f>
        <v>2008.4512999999999</v>
      </c>
      <c r="AC19" s="12">
        <f>_xll.BDH("RMS FP Equity","IS_OPERATING_EXPN","FY 2017","FY 2017","Currency=USD","Period=FY","BEST_FPERIOD_OVERRIDE=FY","FILING_STATUS=MR","SCALING_FORMAT=MLN","FA_ADJUSTED=Adjusted","Sort=A","Dates=H","DateFormat=P","Fill=—","Direction=H","UseDPDF=Y")</f>
        <v>2175.8431999999998</v>
      </c>
      <c r="AD19" s="12"/>
      <c r="AE19" s="12"/>
    </row>
    <row r="20" spans="1:31" x14ac:dyDescent="0.25">
      <c r="A20" s="11" t="s">
        <v>65</v>
      </c>
      <c r="B20" s="11" t="s">
        <v>79</v>
      </c>
      <c r="C20" s="16" t="s">
        <v>66</v>
      </c>
      <c r="D20" s="16">
        <v>9.4789739999999991</v>
      </c>
      <c r="E20" s="16">
        <v>18.596696000000001</v>
      </c>
      <c r="F20" s="16">
        <v>17.303889999999999</v>
      </c>
      <c r="G20" s="16">
        <v>10.908967000000001</v>
      </c>
      <c r="H20" s="16">
        <v>10.532645</v>
      </c>
      <c r="I20" s="16">
        <v>8.8242039999999999</v>
      </c>
      <c r="J20" s="16">
        <v>2.1272129999999998</v>
      </c>
      <c r="K20" s="16">
        <v>18.447099000000001</v>
      </c>
      <c r="L20" s="16">
        <v>22.412299000000001</v>
      </c>
      <c r="M20" s="16">
        <v>9.6721489999999992</v>
      </c>
      <c r="N20" s="16">
        <v>3.0837910000000002</v>
      </c>
      <c r="O20" s="16">
        <v>-3.0328040000000001</v>
      </c>
      <c r="P20" s="16">
        <v>8.7021259999999998</v>
      </c>
      <c r="Q20" s="16">
        <v>6.7332150000000004</v>
      </c>
      <c r="R20" s="16">
        <v>5.4098680000000003</v>
      </c>
      <c r="S20" s="16">
        <v>11.343076</v>
      </c>
      <c r="T20" s="16">
        <v>3.203125</v>
      </c>
      <c r="U20" s="16">
        <v>13.080999</v>
      </c>
      <c r="V20" s="16">
        <v>22.345696</v>
      </c>
      <c r="W20" s="16">
        <v>16.819873000000001</v>
      </c>
      <c r="X20" s="16">
        <v>17.864169</v>
      </c>
      <c r="Y20" s="16">
        <v>6.9941190000000004</v>
      </c>
      <c r="Z20" s="16">
        <v>6.1580750000000002</v>
      </c>
      <c r="AA20" s="16">
        <v>14.393674000000001</v>
      </c>
      <c r="AB20" s="16">
        <v>10.998286999999999</v>
      </c>
      <c r="AC20" s="16">
        <v>6.1390940000000001</v>
      </c>
      <c r="AD20" s="16"/>
      <c r="AE20" s="16"/>
    </row>
    <row r="21" spans="1:31" x14ac:dyDescent="0.25">
      <c r="A21" s="10" t="s">
        <v>80</v>
      </c>
      <c r="B21" s="10" t="s">
        <v>81</v>
      </c>
      <c r="C21" s="12" t="str">
        <f>_xll.BDH("RMS FP Equity","IS_SG&amp;A_EXPENSE","FY 1991","FY 1991","Currency=USD","Period=FY","BEST_FPERIOD_OVERRIDE=FY","FILING_STATUS=MR","SCALING_FORMAT=MLN","FA_ADJUSTED=Adjusted","Sort=A","Dates=H","DateFormat=P","Fill=—","Direction=H","UseDPDF=Y")</f>
        <v>—</v>
      </c>
      <c r="D21" s="12" t="str">
        <f>_xll.BDH("RMS FP Equity","IS_SG&amp;A_EXPENSE","FY 1992","FY 1992","Currency=USD","Period=FY","BEST_FPERIOD_OVERRIDE=FY","FILING_STATUS=MR","SCALING_FORMAT=MLN","FA_ADJUSTED=Adjusted","Sort=A","Dates=H","DateFormat=P","Fill=—","Direction=H","UseDPDF=Y")</f>
        <v>—</v>
      </c>
      <c r="E21" s="12" t="str">
        <f>_xll.BDH("RMS FP Equity","IS_SG&amp;A_EXPENSE","FY 1993","FY 1993","Currency=USD","Period=FY","BEST_FPERIOD_OVERRIDE=FY","FILING_STATUS=MR","SCALING_FORMAT=MLN","FA_ADJUSTED=Adjusted","Sort=A","Dates=H","DateFormat=P","Fill=—","Direction=H","UseDPDF=Y")</f>
        <v>—</v>
      </c>
      <c r="F21" s="12" t="str">
        <f>_xll.BDH("RMS FP Equity","IS_SG&amp;A_EXPENSE","FY 1994","FY 1994","Currency=USD","Period=FY","BEST_FPERIOD_OVERRIDE=FY","FILING_STATUS=MR","SCALING_FORMAT=MLN","FA_ADJUSTED=Adjusted","Sort=A","Dates=H","DateFormat=P","Fill=—","Direction=H","UseDPDF=Y")</f>
        <v>—</v>
      </c>
      <c r="G21" s="12" t="str">
        <f>_xll.BDH("RMS FP Equity","IS_SG&amp;A_EXPENSE","FY 1995","FY 1995","Currency=USD","Period=FY","BEST_FPERIOD_OVERRIDE=FY","FILING_STATUS=MR","SCALING_FORMAT=MLN","FA_ADJUSTED=Adjusted","Sort=A","Dates=H","DateFormat=P","Fill=—","Direction=H","UseDPDF=Y")</f>
        <v>—</v>
      </c>
      <c r="H21" s="12" t="str">
        <f>_xll.BDH("RMS FP Equity","IS_SG&amp;A_EXPENSE","FY 1996","FY 1996","Currency=USD","Period=FY","BEST_FPERIOD_OVERRIDE=FY","FILING_STATUS=MR","SCALING_FORMAT=MLN","FA_ADJUSTED=Adjusted","Sort=A","Dates=H","DateFormat=P","Fill=—","Direction=H","UseDPDF=Y")</f>
        <v>—</v>
      </c>
      <c r="I21" s="12" t="str">
        <f>_xll.BDH("RMS FP Equity","IS_SG&amp;A_EXPENSE","FY 1997","FY 1997","Currency=USD","Period=FY","BEST_FPERIOD_OVERRIDE=FY","FILING_STATUS=MR","SCALING_FORMAT=MLN","FA_ADJUSTED=Adjusted","Sort=A","Dates=H","DateFormat=P","Fill=—","Direction=H","UseDPDF=Y")</f>
        <v>—</v>
      </c>
      <c r="J21" s="12" t="str">
        <f>_xll.BDH("RMS FP Equity","IS_SG&amp;A_EXPENSE","FY 1998","FY 1998","Currency=USD","Period=FY","BEST_FPERIOD_OVERRIDE=FY","FILING_STATUS=MR","SCALING_FORMAT=MLN","FA_ADJUSTED=Adjusted","Sort=A","Dates=H","DateFormat=P","Fill=—","Direction=H","UseDPDF=Y")</f>
        <v>—</v>
      </c>
      <c r="K21" s="12" t="str">
        <f>_xll.BDH("RMS FP Equity","IS_SG&amp;A_EXPENSE","FY 1999","FY 1999","Currency=USD","Period=FY","BEST_FPERIOD_OVERRIDE=FY","FILING_STATUS=MR","SCALING_FORMAT=MLN","FA_ADJUSTED=Adjusted","Sort=A","Dates=H","DateFormat=P","Fill=—","Direction=H","UseDPDF=Y")</f>
        <v>—</v>
      </c>
      <c r="L21" s="12" t="str">
        <f>_xll.BDH("RMS FP Equity","IS_SG&amp;A_EXPENSE","FY 2000","FY 2000","Currency=USD","Period=FY","BEST_FPERIOD_OVERRIDE=FY","FILING_STATUS=MR","SCALING_FORMAT=MLN","FA_ADJUSTED=Adjusted","Sort=A","Dates=H","DateFormat=P","Fill=—","Direction=H","UseDPDF=Y")</f>
        <v>—</v>
      </c>
      <c r="M21" s="12" t="str">
        <f>_xll.BDH("RMS FP Equity","IS_SG&amp;A_EXPENSE","FY 2001","FY 2001","Currency=USD","Period=FY","BEST_FPERIOD_OVERRIDE=FY","FILING_STATUS=MR","SCALING_FORMAT=MLN","FA_ADJUSTED=Adjusted","Sort=A","Dates=H","DateFormat=P","Fill=—","Direction=H","UseDPDF=Y")</f>
        <v>—</v>
      </c>
      <c r="N21" s="12" t="str">
        <f>_xll.BDH("RMS FP Equity","IS_SG&amp;A_EXPENSE","FY 2002","FY 2002","Currency=USD","Period=FY","BEST_FPERIOD_OVERRIDE=FY","FILING_STATUS=MR","SCALING_FORMAT=MLN","FA_ADJUSTED=Adjusted","Sort=A","Dates=H","DateFormat=P","Fill=—","Direction=H","UseDPDF=Y")</f>
        <v>—</v>
      </c>
      <c r="O21" s="12" t="str">
        <f>_xll.BDH("RMS FP Equity","IS_SG&amp;A_EXPENSE","FY 2003","FY 2003","Currency=USD","Period=FY","BEST_FPERIOD_OVERRIDE=FY","FILING_STATUS=MR","SCALING_FORMAT=MLN","FA_ADJUSTED=Adjusted","Sort=A","Dates=H","DateFormat=P","Fill=—","Direction=H","UseDPDF=Y")</f>
        <v>—</v>
      </c>
      <c r="P21" s="12" t="str">
        <f>_xll.BDH("RMS FP Equity","IS_SG&amp;A_EXPENSE","FY 2004","FY 2004","Currency=USD","Period=FY","BEST_FPERIOD_OVERRIDE=FY","FILING_STATUS=MR","SCALING_FORMAT=MLN","FA_ADJUSTED=Adjusted","Sort=A","Dates=H","DateFormat=P","Fill=—","Direction=H","UseDPDF=Y")</f>
        <v>—</v>
      </c>
      <c r="Q21" s="12" t="str">
        <f>_xll.BDH("RMS FP Equity","IS_SG&amp;A_EXPENSE","FY 2005","FY 2005","Currency=USD","Period=FY","BEST_FPERIOD_OVERRIDE=FY","FILING_STATUS=MR","SCALING_FORMAT=MLN","FA_ADJUSTED=Adjusted","Sort=A","Dates=H","DateFormat=P","Fill=—","Direction=H","UseDPDF=Y")</f>
        <v>—</v>
      </c>
      <c r="R21" s="12" t="str">
        <f>_xll.BDH("RMS FP Equity","IS_SG&amp;A_EXPENSE","FY 2006","FY 2006","Currency=USD","Period=FY","BEST_FPERIOD_OVERRIDE=FY","FILING_STATUS=MR","SCALING_FORMAT=MLN","FA_ADJUSTED=Adjusted","Sort=A","Dates=H","DateFormat=P","Fill=—","Direction=H","UseDPDF=Y")</f>
        <v>—</v>
      </c>
      <c r="S21" s="12" t="str">
        <f>_xll.BDH("RMS FP Equity","IS_SG&amp;A_EXPENSE","FY 2007","FY 2007","Currency=USD","Period=FY","BEST_FPERIOD_OVERRIDE=FY","FILING_STATUS=MR","SCALING_FORMAT=MLN","FA_ADJUSTED=Adjusted","Sort=A","Dates=H","DateFormat=P","Fill=—","Direction=H","UseDPDF=Y")</f>
        <v>—</v>
      </c>
      <c r="T21" s="12">
        <f>_xll.BDH("RMS FP Equity","IS_SG&amp;A_EXPENSE","FY 2008","FY 2008","Currency=USD","Period=FY","BEST_FPERIOD_OVERRIDE=FY","FILING_STATUS=MR","SCALING_FORMAT=MLN","FA_ADJUSTED=Adjusted","Sort=A","Dates=H","DateFormat=P","Fill=—","Direction=H","UseDPDF=Y")</f>
        <v>900.47850000000005</v>
      </c>
      <c r="U21" s="12">
        <f>_xll.BDH("RMS FP Equity","IS_SG&amp;A_EXPENSE","FY 2009","FY 2009","Currency=USD","Period=FY","BEST_FPERIOD_OVERRIDE=FY","FILING_STATUS=MR","SCALING_FORMAT=MLN","FA_ADJUSTED=Adjusted","Sort=A","Dates=H","DateFormat=P","Fill=—","Direction=H","UseDPDF=Y")</f>
        <v>921.16489999999999</v>
      </c>
      <c r="V21" s="12">
        <f>_xll.BDH("RMS FP Equity","IS_SG&amp;A_EXPENSE","FY 2010","FY 2010","Currency=USD","Period=FY","BEST_FPERIOD_OVERRIDE=FY","FILING_STATUS=MR","SCALING_FORMAT=MLN","FA_ADJUSTED=Adjusted","Sort=A","Dates=H","DateFormat=P","Fill=—","Direction=H","UseDPDF=Y")</f>
        <v>1064.2075</v>
      </c>
      <c r="W21" s="12">
        <f>_xll.BDH("RMS FP Equity","IS_SG&amp;A_EXPENSE","FY 2011","FY 2011","Currency=USD","Period=FY","BEST_FPERIOD_OVERRIDE=FY","FILING_STATUS=MR","SCALING_FORMAT=MLN","FA_ADJUSTED=Adjusted","Sort=A","Dates=H","DateFormat=P","Fill=—","Direction=H","UseDPDF=Y")</f>
        <v>1316.7946999999999</v>
      </c>
      <c r="X21" s="12">
        <f>_xll.BDH("RMS FP Equity","IS_SG&amp;A_EXPENSE","FY 2012","FY 2012","Currency=USD","Period=FY","BEST_FPERIOD_OVERRIDE=FY","FILING_STATUS=MR","SCALING_FORMAT=MLN","FA_ADJUSTED=Adjusted","Sort=A","Dates=H","DateFormat=P","Fill=—","Direction=H","UseDPDF=Y")</f>
        <v>1454.0630000000001</v>
      </c>
      <c r="Y21" s="12">
        <f>_xll.BDH("RMS FP Equity","IS_SG&amp;A_EXPENSE","FY 2013","FY 2013","Currency=USD","Period=FY","BEST_FPERIOD_OVERRIDE=FY","FILING_STATUS=MR","SCALING_FORMAT=MLN","FA_ADJUSTED=Adjusted","Sort=A","Dates=H","DateFormat=P","Fill=—","Direction=H","UseDPDF=Y")</f>
        <v>1614.2969000000001</v>
      </c>
      <c r="Z21" s="12">
        <f>_xll.BDH("RMS FP Equity","IS_SG&amp;A_EXPENSE","FY 2014","FY 2014","Currency=USD","Period=FY","BEST_FPERIOD_OVERRIDE=FY","FILING_STATUS=MR","SCALING_FORMAT=MLN","FA_ADJUSTED=Adjusted","Sort=A","Dates=H","DateFormat=P","Fill=—","Direction=H","UseDPDF=Y")</f>
        <v>1716.0051000000001</v>
      </c>
      <c r="AA21" s="12">
        <f>_xll.BDH("RMS FP Equity","IS_SG&amp;A_EXPENSE","FY 2015","FY 2015","Currency=USD","Period=FY","BEST_FPERIOD_OVERRIDE=FY","FILING_STATUS=MR","SCALING_FORMAT=MLN","FA_ADJUSTED=Adjusted","Sort=A","Dates=H","DateFormat=P","Fill=—","Direction=H","UseDPDF=Y")</f>
        <v>1574.9799</v>
      </c>
      <c r="AB21" s="12">
        <f>_xll.BDH("RMS FP Equity","IS_SG&amp;A_EXPENSE","FY 2016","FY 2016","Currency=USD","Period=FY","BEST_FPERIOD_OVERRIDE=FY","FILING_STATUS=MR","SCALING_FORMAT=MLN","FA_ADJUSTED=Adjusted","Sort=A","Dates=H","DateFormat=P","Fill=—","Direction=H","UseDPDF=Y")</f>
        <v>1710.3824</v>
      </c>
      <c r="AC21" s="12">
        <f>_xll.BDH("RMS FP Equity","IS_SG&amp;A_EXPENSE","FY 2017","FY 2017","Currency=USD","Period=FY","BEST_FPERIOD_OVERRIDE=FY","FILING_STATUS=MR","SCALING_FORMAT=MLN","FA_ADJUSTED=Adjusted","Sort=A","Dates=H","DateFormat=P","Fill=—","Direction=H","UseDPDF=Y")</f>
        <v>1871.2702999999999</v>
      </c>
      <c r="AD21" s="12"/>
      <c r="AE21" s="12"/>
    </row>
    <row r="22" spans="1:31" x14ac:dyDescent="0.25">
      <c r="A22" s="11" t="s">
        <v>65</v>
      </c>
      <c r="B22" s="11" t="s">
        <v>81</v>
      </c>
      <c r="C22" s="16" t="s">
        <v>66</v>
      </c>
      <c r="D22" s="16" t="s">
        <v>66</v>
      </c>
      <c r="E22" s="16" t="s">
        <v>66</v>
      </c>
      <c r="F22" s="16" t="s">
        <v>66</v>
      </c>
      <c r="G22" s="16" t="s">
        <v>66</v>
      </c>
      <c r="H22" s="16" t="s">
        <v>66</v>
      </c>
      <c r="I22" s="16" t="s">
        <v>66</v>
      </c>
      <c r="J22" s="16" t="s">
        <v>66</v>
      </c>
      <c r="K22" s="16" t="s">
        <v>66</v>
      </c>
      <c r="L22" s="16" t="s">
        <v>66</v>
      </c>
      <c r="M22" s="16" t="s">
        <v>66</v>
      </c>
      <c r="N22" s="16" t="s">
        <v>66</v>
      </c>
      <c r="O22" s="16" t="s">
        <v>66</v>
      </c>
      <c r="P22" s="16" t="s">
        <v>66</v>
      </c>
      <c r="Q22" s="16" t="s">
        <v>66</v>
      </c>
      <c r="R22" s="16" t="s">
        <v>66</v>
      </c>
      <c r="S22" s="16" t="s">
        <v>66</v>
      </c>
      <c r="T22" s="16" t="s">
        <v>66</v>
      </c>
      <c r="U22" s="16">
        <v>2.2972656306497798</v>
      </c>
      <c r="V22" s="16">
        <v>15.528444392635199</v>
      </c>
      <c r="W22" s="16">
        <v>23.734774720216599</v>
      </c>
      <c r="X22" s="16">
        <v>10.424429055853</v>
      </c>
      <c r="Y22" s="16">
        <v>11.019862628705599</v>
      </c>
      <c r="Z22" s="16">
        <v>6.3005273644592297</v>
      </c>
      <c r="AA22" s="16">
        <v>-8.2177437378195108</v>
      </c>
      <c r="AB22" s="16">
        <v>8.5967478768279797</v>
      </c>
      <c r="AC22" s="16">
        <v>9.4065623364292001</v>
      </c>
      <c r="AD22" s="16"/>
      <c r="AE22" s="16"/>
    </row>
    <row r="23" spans="1:31" x14ac:dyDescent="0.25">
      <c r="A23" s="11" t="s">
        <v>82</v>
      </c>
      <c r="B23" s="11" t="s">
        <v>83</v>
      </c>
      <c r="C23" s="16" t="str">
        <f>_xll.BDH("RMS FP Equity","IS_SELLING_EXPENSES","FY 1991","FY 1991","Currency=USD","Period=FY","BEST_FPERIOD_OVERRIDE=FY","FILING_STATUS=MR","SCALING_FORMAT=MLN","FA_ADJUSTED=Adjusted","Sort=A","Dates=H","DateFormat=P","Fill=—","Direction=H","UseDPDF=Y")</f>
        <v>—</v>
      </c>
      <c r="D23" s="16" t="str">
        <f>_xll.BDH("RMS FP Equity","IS_SELLING_EXPENSES","FY 1992","FY 1992","Currency=USD","Period=FY","BEST_FPERIOD_OVERRIDE=FY","FILING_STATUS=MR","SCALING_FORMAT=MLN","FA_ADJUSTED=Adjusted","Sort=A","Dates=H","DateFormat=P","Fill=—","Direction=H","UseDPDF=Y")</f>
        <v>—</v>
      </c>
      <c r="E23" s="16" t="str">
        <f>_xll.BDH("RMS FP Equity","IS_SELLING_EXPENSES","FY 1993","FY 1993","Currency=USD","Period=FY","BEST_FPERIOD_OVERRIDE=FY","FILING_STATUS=MR","SCALING_FORMAT=MLN","FA_ADJUSTED=Adjusted","Sort=A","Dates=H","DateFormat=P","Fill=—","Direction=H","UseDPDF=Y")</f>
        <v>—</v>
      </c>
      <c r="F23" s="16" t="str">
        <f>_xll.BDH("RMS FP Equity","IS_SELLING_EXPENSES","FY 1994","FY 1994","Currency=USD","Period=FY","BEST_FPERIOD_OVERRIDE=FY","FILING_STATUS=MR","SCALING_FORMAT=MLN","FA_ADJUSTED=Adjusted","Sort=A","Dates=H","DateFormat=P","Fill=—","Direction=H","UseDPDF=Y")</f>
        <v>—</v>
      </c>
      <c r="G23" s="16" t="str">
        <f>_xll.BDH("RMS FP Equity","IS_SELLING_EXPENSES","FY 1995","FY 1995","Currency=USD","Period=FY","BEST_FPERIOD_OVERRIDE=FY","FILING_STATUS=MR","SCALING_FORMAT=MLN","FA_ADJUSTED=Adjusted","Sort=A","Dates=H","DateFormat=P","Fill=—","Direction=H","UseDPDF=Y")</f>
        <v>—</v>
      </c>
      <c r="H23" s="16" t="str">
        <f>_xll.BDH("RMS FP Equity","IS_SELLING_EXPENSES","FY 1996","FY 1996","Currency=USD","Period=FY","BEST_FPERIOD_OVERRIDE=FY","FILING_STATUS=MR","SCALING_FORMAT=MLN","FA_ADJUSTED=Adjusted","Sort=A","Dates=H","DateFormat=P","Fill=—","Direction=H","UseDPDF=Y")</f>
        <v>—</v>
      </c>
      <c r="I23" s="16" t="str">
        <f>_xll.BDH("RMS FP Equity","IS_SELLING_EXPENSES","FY 1997","FY 1997","Currency=USD","Period=FY","BEST_FPERIOD_OVERRIDE=FY","FILING_STATUS=MR","SCALING_FORMAT=MLN","FA_ADJUSTED=Adjusted","Sort=A","Dates=H","DateFormat=P","Fill=—","Direction=H","UseDPDF=Y")</f>
        <v>—</v>
      </c>
      <c r="J23" s="16" t="str">
        <f>_xll.BDH("RMS FP Equity","IS_SELLING_EXPENSES","FY 1998","FY 1998","Currency=USD","Period=FY","BEST_FPERIOD_OVERRIDE=FY","FILING_STATUS=MR","SCALING_FORMAT=MLN","FA_ADJUSTED=Adjusted","Sort=A","Dates=H","DateFormat=P","Fill=—","Direction=H","UseDPDF=Y")</f>
        <v>—</v>
      </c>
      <c r="K23" s="16" t="str">
        <f>_xll.BDH("RMS FP Equity","IS_SELLING_EXPENSES","FY 1999","FY 1999","Currency=USD","Period=FY","BEST_FPERIOD_OVERRIDE=FY","FILING_STATUS=MR","SCALING_FORMAT=MLN","FA_ADJUSTED=Adjusted","Sort=A","Dates=H","DateFormat=P","Fill=—","Direction=H","UseDPDF=Y")</f>
        <v>—</v>
      </c>
      <c r="L23" s="16" t="str">
        <f>_xll.BDH("RMS FP Equity","IS_SELLING_EXPENSES","FY 2000","FY 2000","Currency=USD","Period=FY","BEST_FPERIOD_OVERRIDE=FY","FILING_STATUS=MR","SCALING_FORMAT=MLN","FA_ADJUSTED=Adjusted","Sort=A","Dates=H","DateFormat=P","Fill=—","Direction=H","UseDPDF=Y")</f>
        <v>—</v>
      </c>
      <c r="M23" s="16" t="str">
        <f>_xll.BDH("RMS FP Equity","IS_SELLING_EXPENSES","FY 2001","FY 2001","Currency=USD","Period=FY","BEST_FPERIOD_OVERRIDE=FY","FILING_STATUS=MR","SCALING_FORMAT=MLN","FA_ADJUSTED=Adjusted","Sort=A","Dates=H","DateFormat=P","Fill=—","Direction=H","UseDPDF=Y")</f>
        <v>—</v>
      </c>
      <c r="N23" s="16" t="str">
        <f>_xll.BDH("RMS FP Equity","IS_SELLING_EXPENSES","FY 2002","FY 2002","Currency=USD","Period=FY","BEST_FPERIOD_OVERRIDE=FY","FILING_STATUS=MR","SCALING_FORMAT=MLN","FA_ADJUSTED=Adjusted","Sort=A","Dates=H","DateFormat=P","Fill=—","Direction=H","UseDPDF=Y")</f>
        <v>—</v>
      </c>
      <c r="O23" s="16" t="str">
        <f>_xll.BDH("RMS FP Equity","IS_SELLING_EXPENSES","FY 2003","FY 2003","Currency=USD","Period=FY","BEST_FPERIOD_OVERRIDE=FY","FILING_STATUS=MR","SCALING_FORMAT=MLN","FA_ADJUSTED=Adjusted","Sort=A","Dates=H","DateFormat=P","Fill=—","Direction=H","UseDPDF=Y")</f>
        <v>—</v>
      </c>
      <c r="P23" s="16" t="str">
        <f>_xll.BDH("RMS FP Equity","IS_SELLING_EXPENSES","FY 2004","FY 2004","Currency=USD","Period=FY","BEST_FPERIOD_OVERRIDE=FY","FILING_STATUS=MR","SCALING_FORMAT=MLN","FA_ADJUSTED=Adjusted","Sort=A","Dates=H","DateFormat=P","Fill=—","Direction=H","UseDPDF=Y")</f>
        <v>—</v>
      </c>
      <c r="Q23" s="16" t="str">
        <f>_xll.BDH("RMS FP Equity","IS_SELLING_EXPENSES","FY 2005","FY 2005","Currency=USD","Period=FY","BEST_FPERIOD_OVERRIDE=FY","FILING_STATUS=MR","SCALING_FORMAT=MLN","FA_ADJUSTED=Adjusted","Sort=A","Dates=H","DateFormat=P","Fill=—","Direction=H","UseDPDF=Y")</f>
        <v>—</v>
      </c>
      <c r="R23" s="16" t="str">
        <f>_xll.BDH("RMS FP Equity","IS_SELLING_EXPENSES","FY 2006","FY 2006","Currency=USD","Period=FY","BEST_FPERIOD_OVERRIDE=FY","FILING_STATUS=MR","SCALING_FORMAT=MLN","FA_ADJUSTED=Adjusted","Sort=A","Dates=H","DateFormat=P","Fill=—","Direction=H","UseDPDF=Y")</f>
        <v>—</v>
      </c>
      <c r="S23" s="16" t="str">
        <f>_xll.BDH("RMS FP Equity","IS_SELLING_EXPENSES","FY 2007","FY 2007","Currency=USD","Period=FY","BEST_FPERIOD_OVERRIDE=FY","FILING_STATUS=MR","SCALING_FORMAT=MLN","FA_ADJUSTED=Adjusted","Sort=A","Dates=H","DateFormat=P","Fill=—","Direction=H","UseDPDF=Y")</f>
        <v>—</v>
      </c>
      <c r="T23" s="16" t="str">
        <f>_xll.BDH("RMS FP Equity","IS_SELLING_EXPENSES","FY 2008","FY 2008","Currency=USD","Period=FY","BEST_FPERIOD_OVERRIDE=FY","FILING_STATUS=MR","SCALING_FORMAT=MLN","FA_ADJUSTED=Adjusted","Sort=A","Dates=H","DateFormat=P","Fill=—","Direction=H","UseDPDF=Y")</f>
        <v>—</v>
      </c>
      <c r="U23" s="16">
        <f>_xll.BDH("RMS FP Equity","IS_SELLING_EXPENSES","FY 2009","FY 2009","Currency=USD","Period=FY","BEST_FPERIOD_OVERRIDE=FY","FILING_STATUS=MR","SCALING_FORMAT=MLN","FA_ADJUSTED=Adjusted","Sort=A","Dates=H","DateFormat=P","Fill=—","Direction=H","UseDPDF=Y")</f>
        <v>127.4515</v>
      </c>
      <c r="V23" s="16">
        <f>_xll.BDH("RMS FP Equity","IS_SELLING_EXPENSES","FY 2010","FY 2010","Currency=USD","Period=FY","BEST_FPERIOD_OVERRIDE=FY","FILING_STATUS=MR","SCALING_FORMAT=MLN","FA_ADJUSTED=Adjusted","Sort=A","Dates=H","DateFormat=P","Fill=—","Direction=H","UseDPDF=Y")</f>
        <v>167.68360000000001</v>
      </c>
      <c r="W23" s="16">
        <f>_xll.BDH("RMS FP Equity","IS_SELLING_EXPENSES","FY 2011","FY 2011","Currency=USD","Period=FY","BEST_FPERIOD_OVERRIDE=FY","FILING_STATUS=MR","SCALING_FORMAT=MLN","FA_ADJUSTED=Adjusted","Sort=A","Dates=H","DateFormat=P","Fill=—","Direction=H","UseDPDF=Y")</f>
        <v>206.35400000000001</v>
      </c>
      <c r="X23" s="16">
        <f>_xll.BDH("RMS FP Equity","IS_SELLING_EXPENSES","FY 2012","FY 2012","Currency=USD","Period=FY","BEST_FPERIOD_OVERRIDE=FY","FILING_STATUS=MR","SCALING_FORMAT=MLN","FA_ADJUSTED=Adjusted","Sort=A","Dates=H","DateFormat=P","Fill=—","Direction=H","UseDPDF=Y")</f>
        <v>233.9</v>
      </c>
      <c r="Y23" s="16">
        <f>_xll.BDH("RMS FP Equity","IS_SELLING_EXPENSES","FY 2013","FY 2013","Currency=USD","Period=FY","BEST_FPERIOD_OVERRIDE=FY","FILING_STATUS=MR","SCALING_FORMAT=MLN","FA_ADJUSTED=Adjusted","Sort=A","Dates=H","DateFormat=P","Fill=—","Direction=H","UseDPDF=Y")</f>
        <v>280.5394</v>
      </c>
      <c r="Z23" s="16">
        <f>_xll.BDH("RMS FP Equity","IS_SELLING_EXPENSES","FY 2014","FY 2014","Currency=USD","Period=FY","BEST_FPERIOD_OVERRIDE=FY","FILING_STATUS=MR","SCALING_FORMAT=MLN","FA_ADJUSTED=Adjusted","Sort=A","Dates=H","DateFormat=P","Fill=—","Direction=H","UseDPDF=Y")</f>
        <v>275.52800000000002</v>
      </c>
      <c r="AA23" s="16">
        <f>_xll.BDH("RMS FP Equity","IS_SELLING_EXPENSES","FY 2015","FY 2015","Currency=USD","Period=FY","BEST_FPERIOD_OVERRIDE=FY","FILING_STATUS=MR","SCALING_FORMAT=MLN","FA_ADJUSTED=Adjusted","Sort=A","Dates=H","DateFormat=P","Fill=—","Direction=H","UseDPDF=Y")</f>
        <v>238.20609999999999</v>
      </c>
      <c r="AB23" s="16">
        <f>_xll.BDH("RMS FP Equity","IS_SELLING_EXPENSES","FY 2016","FY 2016","Currency=USD","Period=FY","BEST_FPERIOD_OVERRIDE=FY","FILING_STATUS=MR","SCALING_FORMAT=MLN","FA_ADJUSTED=Adjusted","Sort=A","Dates=H","DateFormat=P","Fill=—","Direction=H","UseDPDF=Y")</f>
        <v>268.18459999999999</v>
      </c>
      <c r="AC23" s="16">
        <f>_xll.BDH("RMS FP Equity","IS_SELLING_EXPENSES","FY 2017","FY 2017","Currency=USD","Period=FY","BEST_FPERIOD_OVERRIDE=FY","FILING_STATUS=MR","SCALING_FORMAT=MLN","FA_ADJUSTED=Adjusted","Sort=A","Dates=H","DateFormat=P","Fill=—","Direction=H","UseDPDF=Y")</f>
        <v>311.23820000000001</v>
      </c>
      <c r="AD23" s="16"/>
      <c r="AE23" s="16"/>
    </row>
    <row r="24" spans="1:31" x14ac:dyDescent="0.25">
      <c r="A24" s="11" t="s">
        <v>65</v>
      </c>
      <c r="B24" s="11" t="s">
        <v>83</v>
      </c>
      <c r="C24" s="16" t="s">
        <v>66</v>
      </c>
      <c r="D24" s="16" t="s">
        <v>66</v>
      </c>
      <c r="E24" s="16" t="s">
        <v>66</v>
      </c>
      <c r="F24" s="16" t="s">
        <v>66</v>
      </c>
      <c r="G24" s="16" t="s">
        <v>66</v>
      </c>
      <c r="H24" s="16" t="s">
        <v>66</v>
      </c>
      <c r="I24" s="16" t="s">
        <v>66</v>
      </c>
      <c r="J24" s="16" t="s">
        <v>66</v>
      </c>
      <c r="K24" s="16" t="s">
        <v>66</v>
      </c>
      <c r="L24" s="16" t="s">
        <v>66</v>
      </c>
      <c r="M24" s="16" t="s">
        <v>66</v>
      </c>
      <c r="N24" s="16" t="s">
        <v>66</v>
      </c>
      <c r="O24" s="16" t="s">
        <v>66</v>
      </c>
      <c r="P24" s="16" t="s">
        <v>66</v>
      </c>
      <c r="Q24" s="16" t="s">
        <v>66</v>
      </c>
      <c r="R24" s="16" t="s">
        <v>66</v>
      </c>
      <c r="S24" s="16" t="s">
        <v>66</v>
      </c>
      <c r="T24" s="16" t="s">
        <v>66</v>
      </c>
      <c r="U24" s="16" t="s">
        <v>66</v>
      </c>
      <c r="V24" s="16">
        <v>31.566619130157999</v>
      </c>
      <c r="W24" s="16">
        <v>23.0614901698703</v>
      </c>
      <c r="X24" s="16">
        <v>13.3488837308486</v>
      </c>
      <c r="Y24" s="16">
        <v>19.940043510312702</v>
      </c>
      <c r="Z24" s="16">
        <v>-1.78629475486398</v>
      </c>
      <c r="AA24" s="16">
        <v>-13.545109320240501</v>
      </c>
      <c r="AB24" s="16">
        <v>12.5847326860724</v>
      </c>
      <c r="AC24" s="16">
        <v>16.053740762578101</v>
      </c>
      <c r="AD24" s="16"/>
      <c r="AE24" s="16"/>
    </row>
    <row r="25" spans="1:31" x14ac:dyDescent="0.25">
      <c r="A25" s="11" t="s">
        <v>84</v>
      </c>
      <c r="B25" s="11" t="s">
        <v>85</v>
      </c>
      <c r="C25" s="16" t="str">
        <f>_xll.BDH("RMS FP Equity","IS_GENERAL_AND_ADMINISTRATIVE","FY 1991","FY 1991","Currency=USD","Period=FY","BEST_FPERIOD_OVERRIDE=FY","FILING_STATUS=MR","SCALING_FORMAT=MLN","FA_ADJUSTED=Adjusted","Sort=A","Dates=H","DateFormat=P","Fill=—","Direction=H","UseDPDF=Y")</f>
        <v>—</v>
      </c>
      <c r="D25" s="16" t="str">
        <f>_xll.BDH("RMS FP Equity","IS_GENERAL_AND_ADMINISTRATIVE","FY 1992","FY 1992","Currency=USD","Period=FY","BEST_FPERIOD_OVERRIDE=FY","FILING_STATUS=MR","SCALING_FORMAT=MLN","FA_ADJUSTED=Adjusted","Sort=A","Dates=H","DateFormat=P","Fill=—","Direction=H","UseDPDF=Y")</f>
        <v>—</v>
      </c>
      <c r="E25" s="16" t="str">
        <f>_xll.BDH("RMS FP Equity","IS_GENERAL_AND_ADMINISTRATIVE","FY 1993","FY 1993","Currency=USD","Period=FY","BEST_FPERIOD_OVERRIDE=FY","FILING_STATUS=MR","SCALING_FORMAT=MLN","FA_ADJUSTED=Adjusted","Sort=A","Dates=H","DateFormat=P","Fill=—","Direction=H","UseDPDF=Y")</f>
        <v>—</v>
      </c>
      <c r="F25" s="16" t="str">
        <f>_xll.BDH("RMS FP Equity","IS_GENERAL_AND_ADMINISTRATIVE","FY 1994","FY 1994","Currency=USD","Period=FY","BEST_FPERIOD_OVERRIDE=FY","FILING_STATUS=MR","SCALING_FORMAT=MLN","FA_ADJUSTED=Adjusted","Sort=A","Dates=H","DateFormat=P","Fill=—","Direction=H","UseDPDF=Y")</f>
        <v>—</v>
      </c>
      <c r="G25" s="16" t="str">
        <f>_xll.BDH("RMS FP Equity","IS_GENERAL_AND_ADMINISTRATIVE","FY 1995","FY 1995","Currency=USD","Period=FY","BEST_FPERIOD_OVERRIDE=FY","FILING_STATUS=MR","SCALING_FORMAT=MLN","FA_ADJUSTED=Adjusted","Sort=A","Dates=H","DateFormat=P","Fill=—","Direction=H","UseDPDF=Y")</f>
        <v>—</v>
      </c>
      <c r="H25" s="16" t="str">
        <f>_xll.BDH("RMS FP Equity","IS_GENERAL_AND_ADMINISTRATIVE","FY 1996","FY 1996","Currency=USD","Period=FY","BEST_FPERIOD_OVERRIDE=FY","FILING_STATUS=MR","SCALING_FORMAT=MLN","FA_ADJUSTED=Adjusted","Sort=A","Dates=H","DateFormat=P","Fill=—","Direction=H","UseDPDF=Y")</f>
        <v>—</v>
      </c>
      <c r="I25" s="16" t="str">
        <f>_xll.BDH("RMS FP Equity","IS_GENERAL_AND_ADMINISTRATIVE","FY 1997","FY 1997","Currency=USD","Period=FY","BEST_FPERIOD_OVERRIDE=FY","FILING_STATUS=MR","SCALING_FORMAT=MLN","FA_ADJUSTED=Adjusted","Sort=A","Dates=H","DateFormat=P","Fill=—","Direction=H","UseDPDF=Y")</f>
        <v>—</v>
      </c>
      <c r="J25" s="16" t="str">
        <f>_xll.BDH("RMS FP Equity","IS_GENERAL_AND_ADMINISTRATIVE","FY 1998","FY 1998","Currency=USD","Period=FY","BEST_FPERIOD_OVERRIDE=FY","FILING_STATUS=MR","SCALING_FORMAT=MLN","FA_ADJUSTED=Adjusted","Sort=A","Dates=H","DateFormat=P","Fill=—","Direction=H","UseDPDF=Y")</f>
        <v>—</v>
      </c>
      <c r="K25" s="16" t="str">
        <f>_xll.BDH("RMS FP Equity","IS_GENERAL_AND_ADMINISTRATIVE","FY 1999","FY 1999","Currency=USD","Period=FY","BEST_FPERIOD_OVERRIDE=FY","FILING_STATUS=MR","SCALING_FORMAT=MLN","FA_ADJUSTED=Adjusted","Sort=A","Dates=H","DateFormat=P","Fill=—","Direction=H","UseDPDF=Y")</f>
        <v>—</v>
      </c>
      <c r="L25" s="16" t="str">
        <f>_xll.BDH("RMS FP Equity","IS_GENERAL_AND_ADMINISTRATIVE","FY 2000","FY 2000","Currency=USD","Period=FY","BEST_FPERIOD_OVERRIDE=FY","FILING_STATUS=MR","SCALING_FORMAT=MLN","FA_ADJUSTED=Adjusted","Sort=A","Dates=H","DateFormat=P","Fill=—","Direction=H","UseDPDF=Y")</f>
        <v>—</v>
      </c>
      <c r="M25" s="16" t="str">
        <f>_xll.BDH("RMS FP Equity","IS_GENERAL_AND_ADMINISTRATIVE","FY 2001","FY 2001","Currency=USD","Period=FY","BEST_FPERIOD_OVERRIDE=FY","FILING_STATUS=MR","SCALING_FORMAT=MLN","FA_ADJUSTED=Adjusted","Sort=A","Dates=H","DateFormat=P","Fill=—","Direction=H","UseDPDF=Y")</f>
        <v>—</v>
      </c>
      <c r="N25" s="16" t="str">
        <f>_xll.BDH("RMS FP Equity","IS_GENERAL_AND_ADMINISTRATIVE","FY 2002","FY 2002","Currency=USD","Period=FY","BEST_FPERIOD_OVERRIDE=FY","FILING_STATUS=MR","SCALING_FORMAT=MLN","FA_ADJUSTED=Adjusted","Sort=A","Dates=H","DateFormat=P","Fill=—","Direction=H","UseDPDF=Y")</f>
        <v>—</v>
      </c>
      <c r="O25" s="16" t="str">
        <f>_xll.BDH("RMS FP Equity","IS_GENERAL_AND_ADMINISTRATIVE","FY 2003","FY 2003","Currency=USD","Period=FY","BEST_FPERIOD_OVERRIDE=FY","FILING_STATUS=MR","SCALING_FORMAT=MLN","FA_ADJUSTED=Adjusted","Sort=A","Dates=H","DateFormat=P","Fill=—","Direction=H","UseDPDF=Y")</f>
        <v>—</v>
      </c>
      <c r="P25" s="16" t="str">
        <f>_xll.BDH("RMS FP Equity","IS_GENERAL_AND_ADMINISTRATIVE","FY 2004","FY 2004","Currency=USD","Period=FY","BEST_FPERIOD_OVERRIDE=FY","FILING_STATUS=MR","SCALING_FORMAT=MLN","FA_ADJUSTED=Adjusted","Sort=A","Dates=H","DateFormat=P","Fill=—","Direction=H","UseDPDF=Y")</f>
        <v>—</v>
      </c>
      <c r="Q25" s="16" t="str">
        <f>_xll.BDH("RMS FP Equity","IS_GENERAL_AND_ADMINISTRATIVE","FY 2005","FY 2005","Currency=USD","Period=FY","BEST_FPERIOD_OVERRIDE=FY","FILING_STATUS=MR","SCALING_FORMAT=MLN","FA_ADJUSTED=Adjusted","Sort=A","Dates=H","DateFormat=P","Fill=—","Direction=H","UseDPDF=Y")</f>
        <v>—</v>
      </c>
      <c r="R25" s="16" t="str">
        <f>_xll.BDH("RMS FP Equity","IS_GENERAL_AND_ADMINISTRATIVE","FY 2006","FY 2006","Currency=USD","Period=FY","BEST_FPERIOD_OVERRIDE=FY","FILING_STATUS=MR","SCALING_FORMAT=MLN","FA_ADJUSTED=Adjusted","Sort=A","Dates=H","DateFormat=P","Fill=—","Direction=H","UseDPDF=Y")</f>
        <v>—</v>
      </c>
      <c r="S25" s="16" t="str">
        <f>_xll.BDH("RMS FP Equity","IS_GENERAL_AND_ADMINISTRATIVE","FY 2007","FY 2007","Currency=USD","Period=FY","BEST_FPERIOD_OVERRIDE=FY","FILING_STATUS=MR","SCALING_FORMAT=MLN","FA_ADJUSTED=Adjusted","Sort=A","Dates=H","DateFormat=P","Fill=—","Direction=H","UseDPDF=Y")</f>
        <v>—</v>
      </c>
      <c r="T25" s="16" t="str">
        <f>_xll.BDH("RMS FP Equity","IS_GENERAL_AND_ADMINISTRATIVE","FY 2008","FY 2008","Currency=USD","Period=FY","BEST_FPERIOD_OVERRIDE=FY","FILING_STATUS=MR","SCALING_FORMAT=MLN","FA_ADJUSTED=Adjusted","Sort=A","Dates=H","DateFormat=P","Fill=—","Direction=H","UseDPDF=Y")</f>
        <v>—</v>
      </c>
      <c r="U25" s="16">
        <f>_xll.BDH("RMS FP Equity","IS_GENERAL_AND_ADMINISTRATIVE","FY 2009","FY 2009","Currency=USD","Period=FY","BEST_FPERIOD_OVERRIDE=FY","FILING_STATUS=MR","SCALING_FORMAT=MLN","FA_ADJUSTED=Adjusted","Sort=A","Dates=H","DateFormat=P","Fill=—","Direction=H","UseDPDF=Y")</f>
        <v>793.71339999999998</v>
      </c>
      <c r="V25" s="16">
        <f>_xll.BDH("RMS FP Equity","IS_GENERAL_AND_ADMINISTRATIVE","FY 2010","FY 2010","Currency=USD","Period=FY","BEST_FPERIOD_OVERRIDE=FY","FILING_STATUS=MR","SCALING_FORMAT=MLN","FA_ADJUSTED=Adjusted","Sort=A","Dates=H","DateFormat=P","Fill=—","Direction=H","UseDPDF=Y")</f>
        <v>896.52380000000005</v>
      </c>
      <c r="W25" s="16">
        <f>_xll.BDH("RMS FP Equity","IS_GENERAL_AND_ADMINISTRATIVE","FY 2011","FY 2011","Currency=USD","Period=FY","BEST_FPERIOD_OVERRIDE=FY","FILING_STATUS=MR","SCALING_FORMAT=MLN","FA_ADJUSTED=Adjusted","Sort=A","Dates=H","DateFormat=P","Fill=—","Direction=H","UseDPDF=Y")</f>
        <v>1110.4407000000001</v>
      </c>
      <c r="X25" s="16">
        <f>_xll.BDH("RMS FP Equity","IS_GENERAL_AND_ADMINISTRATIVE","FY 2012","FY 2012","Currency=USD","Period=FY","BEST_FPERIOD_OVERRIDE=FY","FILING_STATUS=MR","SCALING_FORMAT=MLN","FA_ADJUSTED=Adjusted","Sort=A","Dates=H","DateFormat=P","Fill=—","Direction=H","UseDPDF=Y")</f>
        <v>1220.1631</v>
      </c>
      <c r="Y25" s="16">
        <f>_xll.BDH("RMS FP Equity","IS_GENERAL_AND_ADMINISTRATIVE","FY 2013","FY 2013","Currency=USD","Period=FY","BEST_FPERIOD_OVERRIDE=FY","FILING_STATUS=MR","SCALING_FORMAT=MLN","FA_ADJUSTED=Adjusted","Sort=A","Dates=H","DateFormat=P","Fill=—","Direction=H","UseDPDF=Y")</f>
        <v>1333.7574999999999</v>
      </c>
      <c r="Z25" s="16">
        <f>_xll.BDH("RMS FP Equity","IS_GENERAL_AND_ADMINISTRATIVE","FY 2014","FY 2014","Currency=USD","Period=FY","BEST_FPERIOD_OVERRIDE=FY","FILING_STATUS=MR","SCALING_FORMAT=MLN","FA_ADJUSTED=Adjusted","Sort=A","Dates=H","DateFormat=P","Fill=—","Direction=H","UseDPDF=Y")</f>
        <v>1440.4772</v>
      </c>
      <c r="AA25" s="16">
        <f>_xll.BDH("RMS FP Equity","IS_GENERAL_AND_ADMINISTRATIVE","FY 2015","FY 2015","Currency=USD","Period=FY","BEST_FPERIOD_OVERRIDE=FY","FILING_STATUS=MR","SCALING_FORMAT=MLN","FA_ADJUSTED=Adjusted","Sort=A","Dates=H","DateFormat=P","Fill=—","Direction=H","UseDPDF=Y")</f>
        <v>1336.7737999999999</v>
      </c>
      <c r="AB25" s="16">
        <f>_xll.BDH("RMS FP Equity","IS_GENERAL_AND_ADMINISTRATIVE","FY 2016","FY 2016","Currency=USD","Period=FY","BEST_FPERIOD_OVERRIDE=FY","FILING_STATUS=MR","SCALING_FORMAT=MLN","FA_ADJUSTED=Adjusted","Sort=A","Dates=H","DateFormat=P","Fill=—","Direction=H","UseDPDF=Y")</f>
        <v>1442.1977999999999</v>
      </c>
      <c r="AC25" s="16">
        <f>_xll.BDH("RMS FP Equity","IS_GENERAL_AND_ADMINISTRATIVE","FY 2017","FY 2017","Currency=USD","Period=FY","BEST_FPERIOD_OVERRIDE=FY","FILING_STATUS=MR","SCALING_FORMAT=MLN","FA_ADJUSTED=Adjusted","Sort=A","Dates=H","DateFormat=P","Fill=—","Direction=H","UseDPDF=Y")</f>
        <v>1560.0320999999999</v>
      </c>
      <c r="AD25" s="16"/>
      <c r="AE25" s="16"/>
    </row>
    <row r="26" spans="1:31" x14ac:dyDescent="0.25">
      <c r="A26" s="11" t="s">
        <v>65</v>
      </c>
      <c r="B26" s="11" t="s">
        <v>85</v>
      </c>
      <c r="C26" s="16" t="s">
        <v>66</v>
      </c>
      <c r="D26" s="16" t="s">
        <v>66</v>
      </c>
      <c r="E26" s="16" t="s">
        <v>66</v>
      </c>
      <c r="F26" s="16" t="s">
        <v>66</v>
      </c>
      <c r="G26" s="16" t="s">
        <v>66</v>
      </c>
      <c r="H26" s="16" t="s">
        <v>66</v>
      </c>
      <c r="I26" s="16" t="s">
        <v>66</v>
      </c>
      <c r="J26" s="16" t="s">
        <v>66</v>
      </c>
      <c r="K26" s="16" t="s">
        <v>66</v>
      </c>
      <c r="L26" s="16" t="s">
        <v>66</v>
      </c>
      <c r="M26" s="16" t="s">
        <v>66</v>
      </c>
      <c r="N26" s="16" t="s">
        <v>66</v>
      </c>
      <c r="O26" s="16" t="s">
        <v>66</v>
      </c>
      <c r="P26" s="16" t="s">
        <v>66</v>
      </c>
      <c r="Q26" s="16" t="s">
        <v>66</v>
      </c>
      <c r="R26" s="16" t="s">
        <v>66</v>
      </c>
      <c r="S26" s="16" t="s">
        <v>66</v>
      </c>
      <c r="T26" s="16" t="s">
        <v>66</v>
      </c>
      <c r="U26" s="16" t="s">
        <v>66</v>
      </c>
      <c r="V26" s="16">
        <v>12.9530943290175</v>
      </c>
      <c r="W26" s="16">
        <v>23.860704236714099</v>
      </c>
      <c r="X26" s="16">
        <v>9.8809755353158604</v>
      </c>
      <c r="Y26" s="16">
        <v>9.3099027767251492</v>
      </c>
      <c r="Z26" s="16">
        <v>8.0014902481589303</v>
      </c>
      <c r="AA26" s="16">
        <v>-7.1987493432682497</v>
      </c>
      <c r="AB26" s="16">
        <v>7.8861097136269196</v>
      </c>
      <c r="AC26" s="16">
        <v>8.1704830307361291</v>
      </c>
      <c r="AD26" s="16"/>
      <c r="AE26" s="16"/>
    </row>
    <row r="27" spans="1:31" x14ac:dyDescent="0.25">
      <c r="A27" s="10" t="s">
        <v>86</v>
      </c>
      <c r="B27" s="10" t="s">
        <v>87</v>
      </c>
      <c r="C27" s="12" t="str">
        <f>_xll.BDH("RMS FP Equity","IS_OPEX_R&amp;D","FY 1991","FY 1991","Currency=USD","Period=FY","BEST_FPERIOD_OVERRIDE=FY","FILING_STATUS=MR","SCALING_FORMAT=MLN","Sort=A","Dates=H","DateFormat=P","Fill=—","Direction=H","UseDPDF=Y")</f>
        <v>—</v>
      </c>
      <c r="D27" s="12" t="str">
        <f>_xll.BDH("RMS FP Equity","IS_OPEX_R&amp;D","FY 1992","FY 1992","Currency=USD","Period=FY","BEST_FPERIOD_OVERRIDE=FY","FILING_STATUS=MR","SCALING_FORMAT=MLN","Sort=A","Dates=H","DateFormat=P","Fill=—","Direction=H","UseDPDF=Y")</f>
        <v>—</v>
      </c>
      <c r="E27" s="12" t="str">
        <f>_xll.BDH("RMS FP Equity","IS_OPEX_R&amp;D","FY 1993","FY 1993","Currency=USD","Period=FY","BEST_FPERIOD_OVERRIDE=FY","FILING_STATUS=MR","SCALING_FORMAT=MLN","Sort=A","Dates=H","DateFormat=P","Fill=—","Direction=H","UseDPDF=Y")</f>
        <v>—</v>
      </c>
      <c r="F27" s="12" t="str">
        <f>_xll.BDH("RMS FP Equity","IS_OPEX_R&amp;D","FY 1994","FY 1994","Currency=USD","Period=FY","BEST_FPERIOD_OVERRIDE=FY","FILING_STATUS=MR","SCALING_FORMAT=MLN","Sort=A","Dates=H","DateFormat=P","Fill=—","Direction=H","UseDPDF=Y")</f>
        <v>—</v>
      </c>
      <c r="G27" s="12" t="str">
        <f>_xll.BDH("RMS FP Equity","IS_OPEX_R&amp;D","FY 1995","FY 1995","Currency=USD","Period=FY","BEST_FPERIOD_OVERRIDE=FY","FILING_STATUS=MR","SCALING_FORMAT=MLN","Sort=A","Dates=H","DateFormat=P","Fill=—","Direction=H","UseDPDF=Y")</f>
        <v>—</v>
      </c>
      <c r="H27" s="12" t="str">
        <f>_xll.BDH("RMS FP Equity","IS_OPEX_R&amp;D","FY 1996","FY 1996","Currency=USD","Period=FY","BEST_FPERIOD_OVERRIDE=FY","FILING_STATUS=MR","SCALING_FORMAT=MLN","Sort=A","Dates=H","DateFormat=P","Fill=—","Direction=H","UseDPDF=Y")</f>
        <v>—</v>
      </c>
      <c r="I27" s="12" t="str">
        <f>_xll.BDH("RMS FP Equity","IS_OPEX_R&amp;D","FY 1997","FY 1997","Currency=USD","Period=FY","BEST_FPERIOD_OVERRIDE=FY","FILING_STATUS=MR","SCALING_FORMAT=MLN","Sort=A","Dates=H","DateFormat=P","Fill=—","Direction=H","UseDPDF=Y")</f>
        <v>—</v>
      </c>
      <c r="J27" s="12" t="str">
        <f>_xll.BDH("RMS FP Equity","IS_OPEX_R&amp;D","FY 1998","FY 1998","Currency=USD","Period=FY","BEST_FPERIOD_OVERRIDE=FY","FILING_STATUS=MR","SCALING_FORMAT=MLN","Sort=A","Dates=H","DateFormat=P","Fill=—","Direction=H","UseDPDF=Y")</f>
        <v>—</v>
      </c>
      <c r="K27" s="12" t="str">
        <f>_xll.BDH("RMS FP Equity","IS_OPEX_R&amp;D","FY 1999","FY 1999","Currency=USD","Period=FY","BEST_FPERIOD_OVERRIDE=FY","FILING_STATUS=MR","SCALING_FORMAT=MLN","Sort=A","Dates=H","DateFormat=P","Fill=—","Direction=H","UseDPDF=Y")</f>
        <v>—</v>
      </c>
      <c r="L27" s="12" t="str">
        <f>_xll.BDH("RMS FP Equity","IS_OPEX_R&amp;D","FY 2000","FY 2000","Currency=USD","Period=FY","BEST_FPERIOD_OVERRIDE=FY","FILING_STATUS=MR","SCALING_FORMAT=MLN","Sort=A","Dates=H","DateFormat=P","Fill=—","Direction=H","UseDPDF=Y")</f>
        <v>—</v>
      </c>
      <c r="M27" s="12" t="str">
        <f>_xll.BDH("RMS FP Equity","IS_OPEX_R&amp;D","FY 2001","FY 2001","Currency=USD","Period=FY","BEST_FPERIOD_OVERRIDE=FY","FILING_STATUS=MR","SCALING_FORMAT=MLN","Sort=A","Dates=H","DateFormat=P","Fill=—","Direction=H","UseDPDF=Y")</f>
        <v>—</v>
      </c>
      <c r="N27" s="12" t="str">
        <f>_xll.BDH("RMS FP Equity","IS_OPEX_R&amp;D","FY 2002","FY 2002","Currency=USD","Period=FY","BEST_FPERIOD_OVERRIDE=FY","FILING_STATUS=MR","SCALING_FORMAT=MLN","Sort=A","Dates=H","DateFormat=P","Fill=—","Direction=H","UseDPDF=Y")</f>
        <v>—</v>
      </c>
      <c r="O27" s="12" t="str">
        <f>_xll.BDH("RMS FP Equity","IS_OPEX_R&amp;D","FY 2003","FY 2003","Currency=USD","Period=FY","BEST_FPERIOD_OVERRIDE=FY","FILING_STATUS=MR","SCALING_FORMAT=MLN","Sort=A","Dates=H","DateFormat=P","Fill=—","Direction=H","UseDPDF=Y")</f>
        <v>—</v>
      </c>
      <c r="P27" s="12" t="str">
        <f>_xll.BDH("RMS FP Equity","IS_OPEX_R&amp;D","FY 2004","FY 2004","Currency=USD","Period=FY","BEST_FPERIOD_OVERRIDE=FY","FILING_STATUS=MR","SCALING_FORMAT=MLN","Sort=A","Dates=H","DateFormat=P","Fill=—","Direction=H","UseDPDF=Y")</f>
        <v>—</v>
      </c>
      <c r="Q27" s="12" t="str">
        <f>_xll.BDH("RMS FP Equity","IS_OPEX_R&amp;D","FY 2005","FY 2005","Currency=USD","Period=FY","BEST_FPERIOD_OVERRIDE=FY","FILING_STATUS=MR","SCALING_FORMAT=MLN","Sort=A","Dates=H","DateFormat=P","Fill=—","Direction=H","UseDPDF=Y")</f>
        <v>—</v>
      </c>
      <c r="R27" s="12" t="str">
        <f>_xll.BDH("RMS FP Equity","IS_OPEX_R&amp;D","FY 2006","FY 2006","Currency=USD","Period=FY","BEST_FPERIOD_OVERRIDE=FY","FILING_STATUS=MR","SCALING_FORMAT=MLN","Sort=A","Dates=H","DateFormat=P","Fill=—","Direction=H","UseDPDF=Y")</f>
        <v>—</v>
      </c>
      <c r="S27" s="12" t="str">
        <f>_xll.BDH("RMS FP Equity","IS_OPEX_R&amp;D","FY 2007","FY 2007","Currency=USD","Period=FY","BEST_FPERIOD_OVERRIDE=FY","FILING_STATUS=MR","SCALING_FORMAT=MLN","Sort=A","Dates=H","DateFormat=P","Fill=—","Direction=H","UseDPDF=Y")</f>
        <v>—</v>
      </c>
      <c r="T27" s="12" t="str">
        <f>_xll.BDH("RMS FP Equity","IS_OPEX_R&amp;D","FY 2008","FY 2008","Currency=USD","Period=FY","BEST_FPERIOD_OVERRIDE=FY","FILING_STATUS=MR","SCALING_FORMAT=MLN","Sort=A","Dates=H","DateFormat=P","Fill=—","Direction=H","UseDPDF=Y")</f>
        <v>—</v>
      </c>
      <c r="U27" s="12">
        <f>_xll.BDH("RMS FP Equity","IS_OPEX_R&amp;D","FY 2009","FY 2009","Currency=USD","Period=FY","BEST_FPERIOD_OVERRIDE=FY","FILING_STATUS=MR","SCALING_FORMAT=MLN","Sort=A","Dates=H","DateFormat=P","Fill=—","Direction=H","UseDPDF=Y")</f>
        <v>0</v>
      </c>
      <c r="V27" s="12">
        <f>_xll.BDH("RMS FP Equity","IS_OPEX_R&amp;D","FY 2010","FY 2010","Currency=USD","Period=FY","BEST_FPERIOD_OVERRIDE=FY","FILING_STATUS=MR","SCALING_FORMAT=MLN","Sort=A","Dates=H","DateFormat=P","Fill=—","Direction=H","UseDPDF=Y")</f>
        <v>0</v>
      </c>
      <c r="W27" s="12">
        <f>_xll.BDH("RMS FP Equity","IS_OPEX_R&amp;D","FY 2011","FY 2011","Currency=USD","Period=FY","BEST_FPERIOD_OVERRIDE=FY","FILING_STATUS=MR","SCALING_FORMAT=MLN","Sort=A","Dates=H","DateFormat=P","Fill=—","Direction=H","UseDPDF=Y")</f>
        <v>0</v>
      </c>
      <c r="X27" s="12">
        <f>_xll.BDH("RMS FP Equity","IS_OPEX_R&amp;D","FY 2012","FY 2012","Currency=USD","Period=FY","BEST_FPERIOD_OVERRIDE=FY","FILING_STATUS=MR","SCALING_FORMAT=MLN","Sort=A","Dates=H","DateFormat=P","Fill=—","Direction=H","UseDPDF=Y")</f>
        <v>0</v>
      </c>
      <c r="Y27" s="12">
        <f>_xll.BDH("RMS FP Equity","IS_OPEX_R&amp;D","FY 2013","FY 2013","Currency=USD","Period=FY","BEST_FPERIOD_OVERRIDE=FY","FILING_STATUS=MR","SCALING_FORMAT=MLN","Sort=A","Dates=H","DateFormat=P","Fill=—","Direction=H","UseDPDF=Y")</f>
        <v>0</v>
      </c>
      <c r="Z27" s="12">
        <f>_xll.BDH("RMS FP Equity","IS_OPEX_R&amp;D","FY 2014","FY 2014","Currency=USD","Period=FY","BEST_FPERIOD_OVERRIDE=FY","FILING_STATUS=MR","SCALING_FORMAT=MLN","Sort=A","Dates=H","DateFormat=P","Fill=—","Direction=H","UseDPDF=Y")</f>
        <v>0</v>
      </c>
      <c r="AA27" s="12">
        <f>_xll.BDH("RMS FP Equity","IS_OPEX_R&amp;D","FY 2015","FY 2015","Currency=USD","Period=FY","BEST_FPERIOD_OVERRIDE=FY","FILING_STATUS=MR","SCALING_FORMAT=MLN","Sort=A","Dates=H","DateFormat=P","Fill=—","Direction=H","UseDPDF=Y")</f>
        <v>0</v>
      </c>
      <c r="AB27" s="12">
        <f>_xll.BDH("RMS FP Equity","IS_OPEX_R&amp;D","FY 2016","FY 2016","Currency=USD","Period=FY","BEST_FPERIOD_OVERRIDE=FY","FILING_STATUS=MR","SCALING_FORMAT=MLN","Sort=A","Dates=H","DateFormat=P","Fill=—","Direction=H","UseDPDF=Y")</f>
        <v>0</v>
      </c>
      <c r="AC27" s="12">
        <f>_xll.BDH("RMS FP Equity","IS_OPEX_R&amp;D","FY 2017","FY 2017","Currency=USD","Period=FY","BEST_FPERIOD_OVERRIDE=FY","FILING_STATUS=MR","SCALING_FORMAT=MLN","Sort=A","Dates=H","DateFormat=P","Fill=—","Direction=H","UseDPDF=Y")</f>
        <v>0</v>
      </c>
      <c r="AD27" s="12"/>
      <c r="AE27" s="12"/>
    </row>
    <row r="28" spans="1:31" x14ac:dyDescent="0.25">
      <c r="A28" s="10" t="s">
        <v>73</v>
      </c>
      <c r="B28" s="10" t="s">
        <v>88</v>
      </c>
      <c r="C28" s="12" t="str">
        <f>_xll.BDH("RMS FP Equity","IS_DEPRECIATION_AND_AMORTIZATION","FY 1991","FY 1991","Currency=USD","Period=FY","BEST_FPERIOD_OVERRIDE=FY","FILING_STATUS=MR","SCALING_FORMAT=MLN","FA_ADJUSTED=Adjusted","Sort=A","Dates=H","DateFormat=P","Fill=—","Direction=H","UseDPDF=Y")</f>
        <v>—</v>
      </c>
      <c r="D28" s="12" t="str">
        <f>_xll.BDH("RMS FP Equity","IS_DEPRECIATION_AND_AMORTIZATION","FY 1992","FY 1992","Currency=USD","Period=FY","BEST_FPERIOD_OVERRIDE=FY","FILING_STATUS=MR","SCALING_FORMAT=MLN","FA_ADJUSTED=Adjusted","Sort=A","Dates=H","DateFormat=P","Fill=—","Direction=H","UseDPDF=Y")</f>
        <v>—</v>
      </c>
      <c r="E28" s="12" t="str">
        <f>_xll.BDH("RMS FP Equity","IS_DEPRECIATION_AND_AMORTIZATION","FY 1993","FY 1993","Currency=USD","Period=FY","BEST_FPERIOD_OVERRIDE=FY","FILING_STATUS=MR","SCALING_FORMAT=MLN","FA_ADJUSTED=Adjusted","Sort=A","Dates=H","DateFormat=P","Fill=—","Direction=H","UseDPDF=Y")</f>
        <v>—</v>
      </c>
      <c r="F28" s="12" t="str">
        <f>_xll.BDH("RMS FP Equity","IS_DEPRECIATION_AND_AMORTIZATION","FY 1994","FY 1994","Currency=USD","Period=FY","BEST_FPERIOD_OVERRIDE=FY","FILING_STATUS=MR","SCALING_FORMAT=MLN","FA_ADJUSTED=Adjusted","Sort=A","Dates=H","DateFormat=P","Fill=—","Direction=H","UseDPDF=Y")</f>
        <v>—</v>
      </c>
      <c r="G28" s="12" t="str">
        <f>_xll.BDH("RMS FP Equity","IS_DEPRECIATION_AND_AMORTIZATION","FY 1995","FY 1995","Currency=USD","Period=FY","BEST_FPERIOD_OVERRIDE=FY","FILING_STATUS=MR","SCALING_FORMAT=MLN","FA_ADJUSTED=Adjusted","Sort=A","Dates=H","DateFormat=P","Fill=—","Direction=H","UseDPDF=Y")</f>
        <v>—</v>
      </c>
      <c r="H28" s="12" t="str">
        <f>_xll.BDH("RMS FP Equity","IS_DEPRECIATION_AND_AMORTIZATION","FY 1996","FY 1996","Currency=USD","Period=FY","BEST_FPERIOD_OVERRIDE=FY","FILING_STATUS=MR","SCALING_FORMAT=MLN","FA_ADJUSTED=Adjusted","Sort=A","Dates=H","DateFormat=P","Fill=—","Direction=H","UseDPDF=Y")</f>
        <v>—</v>
      </c>
      <c r="I28" s="12" t="str">
        <f>_xll.BDH("RMS FP Equity","IS_DEPRECIATION_AND_AMORTIZATION","FY 1997","FY 1997","Currency=USD","Period=FY","BEST_FPERIOD_OVERRIDE=FY","FILING_STATUS=MR","SCALING_FORMAT=MLN","FA_ADJUSTED=Adjusted","Sort=A","Dates=H","DateFormat=P","Fill=—","Direction=H","UseDPDF=Y")</f>
        <v>—</v>
      </c>
      <c r="J28" s="12" t="str">
        <f>_xll.BDH("RMS FP Equity","IS_DEPRECIATION_AND_AMORTIZATION","FY 1998","FY 1998","Currency=USD","Period=FY","BEST_FPERIOD_OVERRIDE=FY","FILING_STATUS=MR","SCALING_FORMAT=MLN","FA_ADJUSTED=Adjusted","Sort=A","Dates=H","DateFormat=P","Fill=—","Direction=H","UseDPDF=Y")</f>
        <v>—</v>
      </c>
      <c r="K28" s="12" t="str">
        <f>_xll.BDH("RMS FP Equity","IS_DEPRECIATION_AND_AMORTIZATION","FY 1999","FY 1999","Currency=USD","Period=FY","BEST_FPERIOD_OVERRIDE=FY","FILING_STATUS=MR","SCALING_FORMAT=MLN","FA_ADJUSTED=Adjusted","Sort=A","Dates=H","DateFormat=P","Fill=—","Direction=H","UseDPDF=Y")</f>
        <v>—</v>
      </c>
      <c r="L28" s="12" t="str">
        <f>_xll.BDH("RMS FP Equity","IS_DEPRECIATION_AND_AMORTIZATION","FY 2000","FY 2000","Currency=USD","Period=FY","BEST_FPERIOD_OVERRIDE=FY","FILING_STATUS=MR","SCALING_FORMAT=MLN","FA_ADJUSTED=Adjusted","Sort=A","Dates=H","DateFormat=P","Fill=—","Direction=H","UseDPDF=Y")</f>
        <v>—</v>
      </c>
      <c r="M28" s="12" t="str">
        <f>_xll.BDH("RMS FP Equity","IS_DEPRECIATION_AND_AMORTIZATION","FY 2001","FY 2001","Currency=USD","Period=FY","BEST_FPERIOD_OVERRIDE=FY","FILING_STATUS=MR","SCALING_FORMAT=MLN","FA_ADJUSTED=Adjusted","Sort=A","Dates=H","DateFormat=P","Fill=—","Direction=H","UseDPDF=Y")</f>
        <v>—</v>
      </c>
      <c r="N28" s="12" t="str">
        <f>_xll.BDH("RMS FP Equity","IS_DEPRECIATION_AND_AMORTIZATION","FY 2002","FY 2002","Currency=USD","Period=FY","BEST_FPERIOD_OVERRIDE=FY","FILING_STATUS=MR","SCALING_FORMAT=MLN","FA_ADJUSTED=Adjusted","Sort=A","Dates=H","DateFormat=P","Fill=—","Direction=H","UseDPDF=Y")</f>
        <v>—</v>
      </c>
      <c r="O28" s="12" t="str">
        <f>_xll.BDH("RMS FP Equity","IS_DEPRECIATION_AND_AMORTIZATION","FY 2003","FY 2003","Currency=USD","Period=FY","BEST_FPERIOD_OVERRIDE=FY","FILING_STATUS=MR","SCALING_FORMAT=MLN","FA_ADJUSTED=Adjusted","Sort=A","Dates=H","DateFormat=P","Fill=—","Direction=H","UseDPDF=Y")</f>
        <v>—</v>
      </c>
      <c r="P28" s="12" t="str">
        <f>_xll.BDH("RMS FP Equity","IS_DEPRECIATION_AND_AMORTIZATION","FY 2004","FY 2004","Currency=USD","Period=FY","BEST_FPERIOD_OVERRIDE=FY","FILING_STATUS=MR","SCALING_FORMAT=MLN","FA_ADJUSTED=Adjusted","Sort=A","Dates=H","DateFormat=P","Fill=—","Direction=H","UseDPDF=Y")</f>
        <v>—</v>
      </c>
      <c r="Q28" s="12" t="str">
        <f>_xll.BDH("RMS FP Equity","IS_DEPRECIATION_AND_AMORTIZATION","FY 2005","FY 2005","Currency=USD","Period=FY","BEST_FPERIOD_OVERRIDE=FY","FILING_STATUS=MR","SCALING_FORMAT=MLN","FA_ADJUSTED=Adjusted","Sort=A","Dates=H","DateFormat=P","Fill=—","Direction=H","UseDPDF=Y")</f>
        <v>—</v>
      </c>
      <c r="R28" s="12" t="str">
        <f>_xll.BDH("RMS FP Equity","IS_DEPRECIATION_AND_AMORTIZATION","FY 2006","FY 2006","Currency=USD","Period=FY","BEST_FPERIOD_OVERRIDE=FY","FILING_STATUS=MR","SCALING_FORMAT=MLN","FA_ADJUSTED=Adjusted","Sort=A","Dates=H","DateFormat=P","Fill=—","Direction=H","UseDPDF=Y")</f>
        <v>—</v>
      </c>
      <c r="S28" s="12" t="str">
        <f>_xll.BDH("RMS FP Equity","IS_DEPRECIATION_AND_AMORTIZATION","FY 2007","FY 2007","Currency=USD","Period=FY","BEST_FPERIOD_OVERRIDE=FY","FILING_STATUS=MR","SCALING_FORMAT=MLN","FA_ADJUSTED=Adjusted","Sort=A","Dates=H","DateFormat=P","Fill=—","Direction=H","UseDPDF=Y")</f>
        <v>—</v>
      </c>
      <c r="T28" s="12" t="str">
        <f>_xll.BDH("RMS FP Equity","IS_DEPRECIATION_AND_AMORTIZATION","FY 2008","FY 2008","Currency=USD","Period=FY","BEST_FPERIOD_OVERRIDE=FY","FILING_STATUS=MR","SCALING_FORMAT=MLN","FA_ADJUSTED=Adjusted","Sort=A","Dates=H","DateFormat=P","Fill=—","Direction=H","UseDPDF=Y")</f>
        <v>—</v>
      </c>
      <c r="U28" s="12">
        <f>_xll.BDH("RMS FP Equity","IS_DEPRECIATION_AND_AMORTIZATION","FY 2009","FY 2009","Currency=USD","Period=FY","BEST_FPERIOD_OVERRIDE=FY","FILING_STATUS=MR","SCALING_FORMAT=MLN","FA_ADJUSTED=Adjusted","Sort=A","Dates=H","DateFormat=P","Fill=—","Direction=H","UseDPDF=Y")</f>
        <v>98.586699999999993</v>
      </c>
      <c r="V28" s="12">
        <f>_xll.BDH("RMS FP Equity","IS_DEPRECIATION_AND_AMORTIZATION","FY 2010","FY 2010","Currency=USD","Period=FY","BEST_FPERIOD_OVERRIDE=FY","FILING_STATUS=MR","SCALING_FORMAT=MLN","FA_ADJUSTED=Adjusted","Sort=A","Dates=H","DateFormat=P","Fill=—","Direction=H","UseDPDF=Y")</f>
        <v>112.0986</v>
      </c>
      <c r="W28" s="12">
        <f>_xll.BDH("RMS FP Equity","IS_DEPRECIATION_AND_AMORTIZATION","FY 2011","FY 2011","Currency=USD","Period=FY","BEST_FPERIOD_OVERRIDE=FY","FILING_STATUS=MR","SCALING_FORMAT=MLN","FA_ADJUSTED=Adjusted","Sort=A","Dates=H","DateFormat=P","Fill=—","Direction=H","UseDPDF=Y")</f>
        <v>134.506</v>
      </c>
      <c r="X28" s="12">
        <f>_xll.BDH("RMS FP Equity","IS_DEPRECIATION_AND_AMORTIZATION","FY 2012","FY 2012","Currency=USD","Period=FY","BEST_FPERIOD_OVERRIDE=FY","FILING_STATUS=MR","SCALING_FORMAT=MLN","FA_ADJUSTED=Adjusted","Sort=A","Dates=H","DateFormat=P","Fill=—","Direction=H","UseDPDF=Y")</f>
        <v>130.2587</v>
      </c>
      <c r="Y28" s="12">
        <f>_xll.BDH("RMS FP Equity","IS_DEPRECIATION_AND_AMORTIZATION","FY 2013","FY 2013","Currency=USD","Period=FY","BEST_FPERIOD_OVERRIDE=FY","FILING_STATUS=MR","SCALING_FORMAT=MLN","FA_ADJUSTED=Adjusted","Sort=A","Dates=H","DateFormat=P","Fill=—","Direction=H","UseDPDF=Y")</f>
        <v>153.0215</v>
      </c>
      <c r="Z28" s="12">
        <f>_xll.BDH("RMS FP Equity","IS_DEPRECIATION_AND_AMORTIZATION","FY 2014","FY 2014","Currency=USD","Period=FY","BEST_FPERIOD_OVERRIDE=FY","FILING_STATUS=MR","SCALING_FORMAT=MLN","FA_ADJUSTED=Adjusted","Sort=A","Dates=H","DateFormat=P","Fill=—","Direction=H","UseDPDF=Y")</f>
        <v>157.2927</v>
      </c>
      <c r="AA28" s="12">
        <f>_xll.BDH("RMS FP Equity","IS_DEPRECIATION_AND_AMORTIZATION","FY 2015","FY 2015","Currency=USD","Period=FY","BEST_FPERIOD_OVERRIDE=FY","FILING_STATUS=MR","SCALING_FORMAT=MLN","FA_ADJUSTED=Adjusted","Sort=A","Dates=H","DateFormat=P","Fill=—","Direction=H","UseDPDF=Y")</f>
        <v>163.50309999999999</v>
      </c>
      <c r="AB28" s="12">
        <f>_xll.BDH("RMS FP Equity","IS_DEPRECIATION_AND_AMORTIZATION","FY 2016","FY 2016","Currency=USD","Period=FY","BEST_FPERIOD_OVERRIDE=FY","FILING_STATUS=MR","SCALING_FORMAT=MLN","FA_ADJUSTED=Adjusted","Sort=A","Dates=H","DateFormat=P","Fill=—","Direction=H","UseDPDF=Y")</f>
        <v>186.05789999999999</v>
      </c>
      <c r="AC28" s="12">
        <f>_xll.BDH("RMS FP Equity","IS_DEPRECIATION_AND_AMORTIZATION","FY 2017","FY 2017","Currency=USD","Period=FY","BEST_FPERIOD_OVERRIDE=FY","FILING_STATUS=MR","SCALING_FORMAT=MLN","FA_ADJUSTED=Adjusted","Sort=A","Dates=H","DateFormat=P","Fill=—","Direction=H","UseDPDF=Y")</f>
        <v>188.7764</v>
      </c>
      <c r="AD28" s="12"/>
      <c r="AE28" s="12"/>
    </row>
    <row r="29" spans="1:31" x14ac:dyDescent="0.25">
      <c r="A29" s="11" t="s">
        <v>65</v>
      </c>
      <c r="B29" s="11" t="s">
        <v>88</v>
      </c>
      <c r="C29" s="16" t="s">
        <v>66</v>
      </c>
      <c r="D29" s="16" t="s">
        <v>66</v>
      </c>
      <c r="E29" s="16" t="s">
        <v>66</v>
      </c>
      <c r="F29" s="16" t="s">
        <v>66</v>
      </c>
      <c r="G29" s="16" t="s">
        <v>66</v>
      </c>
      <c r="H29" s="16" t="s">
        <v>66</v>
      </c>
      <c r="I29" s="16" t="s">
        <v>66</v>
      </c>
      <c r="J29" s="16" t="s">
        <v>66</v>
      </c>
      <c r="K29" s="16" t="s">
        <v>66</v>
      </c>
      <c r="L29" s="16" t="s">
        <v>66</v>
      </c>
      <c r="M29" s="16" t="s">
        <v>66</v>
      </c>
      <c r="N29" s="16" t="s">
        <v>66</v>
      </c>
      <c r="O29" s="16" t="s">
        <v>66</v>
      </c>
      <c r="P29" s="16" t="s">
        <v>66</v>
      </c>
      <c r="Q29" s="16" t="s">
        <v>66</v>
      </c>
      <c r="R29" s="16" t="s">
        <v>66</v>
      </c>
      <c r="S29" s="16" t="s">
        <v>66</v>
      </c>
      <c r="T29" s="16" t="s">
        <v>66</v>
      </c>
      <c r="U29" s="16" t="s">
        <v>66</v>
      </c>
      <c r="V29" s="16">
        <v>13.705672837690001</v>
      </c>
      <c r="W29" s="16">
        <v>19.989006824801699</v>
      </c>
      <c r="X29" s="16">
        <v>-3.1577056394922298</v>
      </c>
      <c r="Y29" s="16">
        <v>17.4751535484287</v>
      </c>
      <c r="Z29" s="16">
        <v>2.7913290913542199</v>
      </c>
      <c r="AA29" s="16">
        <v>3.94883957768648</v>
      </c>
      <c r="AB29" s="16">
        <v>13.7943680996362</v>
      </c>
      <c r="AC29" s="16">
        <v>1.46112930140581</v>
      </c>
      <c r="AD29" s="16"/>
      <c r="AE29" s="16"/>
    </row>
    <row r="30" spans="1:31" x14ac:dyDescent="0.25">
      <c r="A30" s="10" t="s">
        <v>89</v>
      </c>
      <c r="B30" s="10" t="s">
        <v>90</v>
      </c>
      <c r="C30" s="12" t="str">
        <f>_xll.BDH("RMS FP Equity","IS_PROVISION_DOUBTFUL_ACCOUNTS","FY 1991","FY 1991","Currency=USD","Period=FY","BEST_FPERIOD_OVERRIDE=FY","FILING_STATUS=MR","SCALING_FORMAT=MLN","FA_ADJUSTED=Adjusted","Sort=A","Dates=H","DateFormat=P","Fill=—","Direction=H","UseDPDF=Y")</f>
        <v>—</v>
      </c>
      <c r="D30" s="12" t="str">
        <f>_xll.BDH("RMS FP Equity","IS_PROVISION_DOUBTFUL_ACCOUNTS","FY 1992","FY 1992","Currency=USD","Period=FY","BEST_FPERIOD_OVERRIDE=FY","FILING_STATUS=MR","SCALING_FORMAT=MLN","FA_ADJUSTED=Adjusted","Sort=A","Dates=H","DateFormat=P","Fill=—","Direction=H","UseDPDF=Y")</f>
        <v>—</v>
      </c>
      <c r="E30" s="12" t="str">
        <f>_xll.BDH("RMS FP Equity","IS_PROVISION_DOUBTFUL_ACCOUNTS","FY 1993","FY 1993","Currency=USD","Period=FY","BEST_FPERIOD_OVERRIDE=FY","FILING_STATUS=MR","SCALING_FORMAT=MLN","FA_ADJUSTED=Adjusted","Sort=A","Dates=H","DateFormat=P","Fill=—","Direction=H","UseDPDF=Y")</f>
        <v>—</v>
      </c>
      <c r="F30" s="12" t="str">
        <f>_xll.BDH("RMS FP Equity","IS_PROVISION_DOUBTFUL_ACCOUNTS","FY 1994","FY 1994","Currency=USD","Period=FY","BEST_FPERIOD_OVERRIDE=FY","FILING_STATUS=MR","SCALING_FORMAT=MLN","FA_ADJUSTED=Adjusted","Sort=A","Dates=H","DateFormat=P","Fill=—","Direction=H","UseDPDF=Y")</f>
        <v>—</v>
      </c>
      <c r="G30" s="12" t="str">
        <f>_xll.BDH("RMS FP Equity","IS_PROVISION_DOUBTFUL_ACCOUNTS","FY 1995","FY 1995","Currency=USD","Period=FY","BEST_FPERIOD_OVERRIDE=FY","FILING_STATUS=MR","SCALING_FORMAT=MLN","FA_ADJUSTED=Adjusted","Sort=A","Dates=H","DateFormat=P","Fill=—","Direction=H","UseDPDF=Y")</f>
        <v>—</v>
      </c>
      <c r="H30" s="12" t="str">
        <f>_xll.BDH("RMS FP Equity","IS_PROVISION_DOUBTFUL_ACCOUNTS","FY 1996","FY 1996","Currency=USD","Period=FY","BEST_FPERIOD_OVERRIDE=FY","FILING_STATUS=MR","SCALING_FORMAT=MLN","FA_ADJUSTED=Adjusted","Sort=A","Dates=H","DateFormat=P","Fill=—","Direction=H","UseDPDF=Y")</f>
        <v>—</v>
      </c>
      <c r="I30" s="12" t="str">
        <f>_xll.BDH("RMS FP Equity","IS_PROVISION_DOUBTFUL_ACCOUNTS","FY 1997","FY 1997","Currency=USD","Period=FY","BEST_FPERIOD_OVERRIDE=FY","FILING_STATUS=MR","SCALING_FORMAT=MLN","FA_ADJUSTED=Adjusted","Sort=A","Dates=H","DateFormat=P","Fill=—","Direction=H","UseDPDF=Y")</f>
        <v>—</v>
      </c>
      <c r="J30" s="12" t="str">
        <f>_xll.BDH("RMS FP Equity","IS_PROVISION_DOUBTFUL_ACCOUNTS","FY 1998","FY 1998","Currency=USD","Period=FY","BEST_FPERIOD_OVERRIDE=FY","FILING_STATUS=MR","SCALING_FORMAT=MLN","FA_ADJUSTED=Adjusted","Sort=A","Dates=H","DateFormat=P","Fill=—","Direction=H","UseDPDF=Y")</f>
        <v>—</v>
      </c>
      <c r="K30" s="12" t="str">
        <f>_xll.BDH("RMS FP Equity","IS_PROVISION_DOUBTFUL_ACCOUNTS","FY 1999","FY 1999","Currency=USD","Period=FY","BEST_FPERIOD_OVERRIDE=FY","FILING_STATUS=MR","SCALING_FORMAT=MLN","FA_ADJUSTED=Adjusted","Sort=A","Dates=H","DateFormat=P","Fill=—","Direction=H","UseDPDF=Y")</f>
        <v>—</v>
      </c>
      <c r="L30" s="12" t="str">
        <f>_xll.BDH("RMS FP Equity","IS_PROVISION_DOUBTFUL_ACCOUNTS","FY 2000","FY 2000","Currency=USD","Period=FY","BEST_FPERIOD_OVERRIDE=FY","FILING_STATUS=MR","SCALING_FORMAT=MLN","FA_ADJUSTED=Adjusted","Sort=A","Dates=H","DateFormat=P","Fill=—","Direction=H","UseDPDF=Y")</f>
        <v>—</v>
      </c>
      <c r="M30" s="12" t="str">
        <f>_xll.BDH("RMS FP Equity","IS_PROVISION_DOUBTFUL_ACCOUNTS","FY 2001","FY 2001","Currency=USD","Period=FY","BEST_FPERIOD_OVERRIDE=FY","FILING_STATUS=MR","SCALING_FORMAT=MLN","FA_ADJUSTED=Adjusted","Sort=A","Dates=H","DateFormat=P","Fill=—","Direction=H","UseDPDF=Y")</f>
        <v>—</v>
      </c>
      <c r="N30" s="12" t="str">
        <f>_xll.BDH("RMS FP Equity","IS_PROVISION_DOUBTFUL_ACCOUNTS","FY 2002","FY 2002","Currency=USD","Period=FY","BEST_FPERIOD_OVERRIDE=FY","FILING_STATUS=MR","SCALING_FORMAT=MLN","FA_ADJUSTED=Adjusted","Sort=A","Dates=H","DateFormat=P","Fill=—","Direction=H","UseDPDF=Y")</f>
        <v>—</v>
      </c>
      <c r="O30" s="12" t="str">
        <f>_xll.BDH("RMS FP Equity","IS_PROVISION_DOUBTFUL_ACCOUNTS","FY 2003","FY 2003","Currency=USD","Period=FY","BEST_FPERIOD_OVERRIDE=FY","FILING_STATUS=MR","SCALING_FORMAT=MLN","FA_ADJUSTED=Adjusted","Sort=A","Dates=H","DateFormat=P","Fill=—","Direction=H","UseDPDF=Y")</f>
        <v>—</v>
      </c>
      <c r="P30" s="12" t="str">
        <f>_xll.BDH("RMS FP Equity","IS_PROVISION_DOUBTFUL_ACCOUNTS","FY 2004","FY 2004","Currency=USD","Period=FY","BEST_FPERIOD_OVERRIDE=FY","FILING_STATUS=MR","SCALING_FORMAT=MLN","FA_ADJUSTED=Adjusted","Sort=A","Dates=H","DateFormat=P","Fill=—","Direction=H","UseDPDF=Y")</f>
        <v>—</v>
      </c>
      <c r="Q30" s="12" t="str">
        <f>_xll.BDH("RMS FP Equity","IS_PROVISION_DOUBTFUL_ACCOUNTS","FY 2005","FY 2005","Currency=USD","Period=FY","BEST_FPERIOD_OVERRIDE=FY","FILING_STATUS=MR","SCALING_FORMAT=MLN","FA_ADJUSTED=Adjusted","Sort=A","Dates=H","DateFormat=P","Fill=—","Direction=H","UseDPDF=Y")</f>
        <v>—</v>
      </c>
      <c r="R30" s="12" t="str">
        <f>_xll.BDH("RMS FP Equity","IS_PROVISION_DOUBTFUL_ACCOUNTS","FY 2006","FY 2006","Currency=USD","Period=FY","BEST_FPERIOD_OVERRIDE=FY","FILING_STATUS=MR","SCALING_FORMAT=MLN","FA_ADJUSTED=Adjusted","Sort=A","Dates=H","DateFormat=P","Fill=—","Direction=H","UseDPDF=Y")</f>
        <v>—</v>
      </c>
      <c r="S30" s="12" t="str">
        <f>_xll.BDH("RMS FP Equity","IS_PROVISION_DOUBTFUL_ACCOUNTS","FY 2007","FY 2007","Currency=USD","Period=FY","BEST_FPERIOD_OVERRIDE=FY","FILING_STATUS=MR","SCALING_FORMAT=MLN","FA_ADJUSTED=Adjusted","Sort=A","Dates=H","DateFormat=P","Fill=—","Direction=H","UseDPDF=Y")</f>
        <v>—</v>
      </c>
      <c r="T30" s="12" t="str">
        <f>_xll.BDH("RMS FP Equity","IS_PROVISION_DOUBTFUL_ACCOUNTS","FY 2008","FY 2008","Currency=USD","Period=FY","BEST_FPERIOD_OVERRIDE=FY","FILING_STATUS=MR","SCALING_FORMAT=MLN","FA_ADJUSTED=Adjusted","Sort=A","Dates=H","DateFormat=P","Fill=—","Direction=H","UseDPDF=Y")</f>
        <v>—</v>
      </c>
      <c r="U30" s="12">
        <f>_xll.BDH("RMS FP Equity","IS_PROVISION_DOUBTFUL_ACCOUNTS","FY 2009","FY 2009","Currency=USD","Period=FY","BEST_FPERIOD_OVERRIDE=FY","FILING_STATUS=MR","SCALING_FORMAT=MLN","FA_ADJUSTED=Adjusted","Sort=A","Dates=H","DateFormat=P","Fill=—","Direction=H","UseDPDF=Y")</f>
        <v>14.3627</v>
      </c>
      <c r="V30" s="12">
        <f>_xll.BDH("RMS FP Equity","IS_PROVISION_DOUBTFUL_ACCOUNTS","FY 2010","FY 2010","Currency=USD","Period=FY","BEST_FPERIOD_OVERRIDE=FY","FILING_STATUS=MR","SCALING_FORMAT=MLN","FA_ADJUSTED=Adjusted","Sort=A","Dates=H","DateFormat=P","Fill=—","Direction=H","UseDPDF=Y")</f>
        <v>30.7774</v>
      </c>
      <c r="W30" s="12">
        <f>_xll.BDH("RMS FP Equity","IS_PROVISION_DOUBTFUL_ACCOUNTS","FY 2011","FY 2011","Currency=USD","Period=FY","BEST_FPERIOD_OVERRIDE=FY","FILING_STATUS=MR","SCALING_FORMAT=MLN","FA_ADJUSTED=Adjusted","Sort=A","Dates=H","DateFormat=P","Fill=—","Direction=H","UseDPDF=Y")</f>
        <v>19.075900000000001</v>
      </c>
      <c r="X30" s="12">
        <f>_xll.BDH("RMS FP Equity","IS_PROVISION_DOUBTFUL_ACCOUNTS","FY 2012","FY 2012","Currency=USD","Period=FY","BEST_FPERIOD_OVERRIDE=FY","FILING_STATUS=MR","SCALING_FORMAT=MLN","FA_ADJUSTED=Adjusted","Sort=A","Dates=H","DateFormat=P","Fill=—","Direction=H","UseDPDF=Y")</f>
        <v>20.573899999999998</v>
      </c>
      <c r="Y30" s="12">
        <f>_xll.BDH("RMS FP Equity","IS_PROVISION_DOUBTFUL_ACCOUNTS","FY 2013","FY 2013","Currency=USD","Period=FY","BEST_FPERIOD_OVERRIDE=FY","FILING_STATUS=MR","SCALING_FORMAT=MLN","FA_ADJUSTED=Adjusted","Sort=A","Dates=H","DateFormat=P","Fill=—","Direction=H","UseDPDF=Y")</f>
        <v>3.1879</v>
      </c>
      <c r="Z30" s="12">
        <f>_xll.BDH("RMS FP Equity","IS_PROVISION_DOUBTFUL_ACCOUNTS","FY 2014","FY 2014","Currency=USD","Period=FY","BEST_FPERIOD_OVERRIDE=FY","FILING_STATUS=MR","SCALING_FORMAT=MLN","FA_ADJUSTED=Adjusted","Sort=A","Dates=H","DateFormat=P","Fill=—","Direction=H","UseDPDF=Y")</f>
        <v>14.613300000000001</v>
      </c>
      <c r="AA30" s="12">
        <f>_xll.BDH("RMS FP Equity","IS_PROVISION_DOUBTFUL_ACCOUNTS","FY 2015","FY 2015","Currency=USD","Period=FY","BEST_FPERIOD_OVERRIDE=FY","FILING_STATUS=MR","SCALING_FORMAT=MLN","FA_ADJUSTED=Adjusted","Sort=A","Dates=H","DateFormat=P","Fill=—","Direction=H","UseDPDF=Y")</f>
        <v>24.198</v>
      </c>
      <c r="AB30" s="12">
        <f>_xll.BDH("RMS FP Equity","IS_PROVISION_DOUBTFUL_ACCOUNTS","FY 2016","FY 2016","Currency=USD","Period=FY","BEST_FPERIOD_OVERRIDE=FY","FILING_STATUS=MR","SCALING_FORMAT=MLN","FA_ADJUSTED=Adjusted","Sort=A","Dates=H","DateFormat=P","Fill=—","Direction=H","UseDPDF=Y")</f>
        <v>25.6784</v>
      </c>
      <c r="AC30" s="12">
        <f>_xll.BDH("RMS FP Equity","IS_PROVISION_DOUBTFUL_ACCOUNTS","FY 2017","FY 2017","Currency=USD","Period=FY","BEST_FPERIOD_OVERRIDE=FY","FILING_STATUS=MR","SCALING_FORMAT=MLN","FA_ADJUSTED=Adjusted","Sort=A","Dates=H","DateFormat=P","Fill=—","Direction=H","UseDPDF=Y")</f>
        <v>36.377000000000002</v>
      </c>
      <c r="AD30" s="12"/>
      <c r="AE30" s="12"/>
    </row>
    <row r="31" spans="1:31" x14ac:dyDescent="0.25">
      <c r="A31" s="11" t="s">
        <v>65</v>
      </c>
      <c r="B31" s="11" t="s">
        <v>90</v>
      </c>
      <c r="C31" s="16" t="s">
        <v>66</v>
      </c>
      <c r="D31" s="16" t="s">
        <v>66</v>
      </c>
      <c r="E31" s="16" t="s">
        <v>66</v>
      </c>
      <c r="F31" s="16" t="s">
        <v>66</v>
      </c>
      <c r="G31" s="16" t="s">
        <v>66</v>
      </c>
      <c r="H31" s="16" t="s">
        <v>66</v>
      </c>
      <c r="I31" s="16" t="s">
        <v>66</v>
      </c>
      <c r="J31" s="16" t="s">
        <v>66</v>
      </c>
      <c r="K31" s="16" t="s">
        <v>66</v>
      </c>
      <c r="L31" s="16" t="s">
        <v>66</v>
      </c>
      <c r="M31" s="16" t="s">
        <v>66</v>
      </c>
      <c r="N31" s="16" t="s">
        <v>66</v>
      </c>
      <c r="O31" s="16" t="s">
        <v>66</v>
      </c>
      <c r="P31" s="16" t="s">
        <v>66</v>
      </c>
      <c r="Q31" s="16" t="s">
        <v>66</v>
      </c>
      <c r="R31" s="16" t="s">
        <v>66</v>
      </c>
      <c r="S31" s="16" t="s">
        <v>66</v>
      </c>
      <c r="T31" s="16" t="s">
        <v>66</v>
      </c>
      <c r="U31" s="16" t="s">
        <v>66</v>
      </c>
      <c r="V31" s="16">
        <v>114.286883982383</v>
      </c>
      <c r="W31" s="16">
        <v>-38.019707201828602</v>
      </c>
      <c r="X31" s="16">
        <v>7.8529835721065897</v>
      </c>
      <c r="Y31" s="16">
        <v>-84.504905405319406</v>
      </c>
      <c r="Z31" s="16">
        <v>358.39377706871898</v>
      </c>
      <c r="AA31" s="16">
        <v>65.589358620862896</v>
      </c>
      <c r="AB31" s="16">
        <v>6.1175706408381698</v>
      </c>
      <c r="AC31" s="16">
        <v>41.663783258578903</v>
      </c>
      <c r="AD31" s="16"/>
      <c r="AE31" s="16"/>
    </row>
    <row r="32" spans="1:31" x14ac:dyDescent="0.25">
      <c r="A32" s="10" t="s">
        <v>91</v>
      </c>
      <c r="B32" s="10" t="s">
        <v>92</v>
      </c>
      <c r="C32" s="12" t="str">
        <f>_xll.BDH("RMS FP Equity","IS_OTHER_OPERATING_EXPENSES","FY 1991","FY 1991","Currency=USD","Period=FY","BEST_FPERIOD_OVERRIDE=FY","FILING_STATUS=MR","SCALING_FORMAT=MLN","FA_ADJUSTED=Adjusted","Sort=A","Dates=H","DateFormat=P","Fill=—","Direction=H","UseDPDF=Y")</f>
        <v>—</v>
      </c>
      <c r="D32" s="12" t="str">
        <f>_xll.BDH("RMS FP Equity","IS_OTHER_OPERATING_EXPENSES","FY 1992","FY 1992","Currency=USD","Period=FY","BEST_FPERIOD_OVERRIDE=FY","FILING_STATUS=MR","SCALING_FORMAT=MLN","FA_ADJUSTED=Adjusted","Sort=A","Dates=H","DateFormat=P","Fill=—","Direction=H","UseDPDF=Y")</f>
        <v>—</v>
      </c>
      <c r="E32" s="12" t="str">
        <f>_xll.BDH("RMS FP Equity","IS_OTHER_OPERATING_EXPENSES","FY 1993","FY 1993","Currency=USD","Period=FY","BEST_FPERIOD_OVERRIDE=FY","FILING_STATUS=MR","SCALING_FORMAT=MLN","FA_ADJUSTED=Adjusted","Sort=A","Dates=H","DateFormat=P","Fill=—","Direction=H","UseDPDF=Y")</f>
        <v>—</v>
      </c>
      <c r="F32" s="12" t="str">
        <f>_xll.BDH("RMS FP Equity","IS_OTHER_OPERATING_EXPENSES","FY 1994","FY 1994","Currency=USD","Period=FY","BEST_FPERIOD_OVERRIDE=FY","FILING_STATUS=MR","SCALING_FORMAT=MLN","FA_ADJUSTED=Adjusted","Sort=A","Dates=H","DateFormat=P","Fill=—","Direction=H","UseDPDF=Y")</f>
        <v>—</v>
      </c>
      <c r="G32" s="12" t="str">
        <f>_xll.BDH("RMS FP Equity","IS_OTHER_OPERATING_EXPENSES","FY 1995","FY 1995","Currency=USD","Period=FY","BEST_FPERIOD_OVERRIDE=FY","FILING_STATUS=MR","SCALING_FORMAT=MLN","FA_ADJUSTED=Adjusted","Sort=A","Dates=H","DateFormat=P","Fill=—","Direction=H","UseDPDF=Y")</f>
        <v>—</v>
      </c>
      <c r="H32" s="12" t="str">
        <f>_xll.BDH("RMS FP Equity","IS_OTHER_OPERATING_EXPENSES","FY 1996","FY 1996","Currency=USD","Period=FY","BEST_FPERIOD_OVERRIDE=FY","FILING_STATUS=MR","SCALING_FORMAT=MLN","FA_ADJUSTED=Adjusted","Sort=A","Dates=H","DateFormat=P","Fill=—","Direction=H","UseDPDF=Y")</f>
        <v>—</v>
      </c>
      <c r="I32" s="12" t="str">
        <f>_xll.BDH("RMS FP Equity","IS_OTHER_OPERATING_EXPENSES","FY 1997","FY 1997","Currency=USD","Period=FY","BEST_FPERIOD_OVERRIDE=FY","FILING_STATUS=MR","SCALING_FORMAT=MLN","FA_ADJUSTED=Adjusted","Sort=A","Dates=H","DateFormat=P","Fill=—","Direction=H","UseDPDF=Y")</f>
        <v>—</v>
      </c>
      <c r="J32" s="12" t="str">
        <f>_xll.BDH("RMS FP Equity","IS_OTHER_OPERATING_EXPENSES","FY 1998","FY 1998","Currency=USD","Period=FY","BEST_FPERIOD_OVERRIDE=FY","FILING_STATUS=MR","SCALING_FORMAT=MLN","FA_ADJUSTED=Adjusted","Sort=A","Dates=H","DateFormat=P","Fill=—","Direction=H","UseDPDF=Y")</f>
        <v>—</v>
      </c>
      <c r="K32" s="12" t="str">
        <f>_xll.BDH("RMS FP Equity","IS_OTHER_OPERATING_EXPENSES","FY 1999","FY 1999","Currency=USD","Period=FY","BEST_FPERIOD_OVERRIDE=FY","FILING_STATUS=MR","SCALING_FORMAT=MLN","FA_ADJUSTED=Adjusted","Sort=A","Dates=H","DateFormat=P","Fill=—","Direction=H","UseDPDF=Y")</f>
        <v>—</v>
      </c>
      <c r="L32" s="12" t="str">
        <f>_xll.BDH("RMS FP Equity","IS_OTHER_OPERATING_EXPENSES","FY 2000","FY 2000","Currency=USD","Period=FY","BEST_FPERIOD_OVERRIDE=FY","FILING_STATUS=MR","SCALING_FORMAT=MLN","FA_ADJUSTED=Adjusted","Sort=A","Dates=H","DateFormat=P","Fill=—","Direction=H","UseDPDF=Y")</f>
        <v>—</v>
      </c>
      <c r="M32" s="12" t="str">
        <f>_xll.BDH("RMS FP Equity","IS_OTHER_OPERATING_EXPENSES","FY 2001","FY 2001","Currency=USD","Period=FY","BEST_FPERIOD_OVERRIDE=FY","FILING_STATUS=MR","SCALING_FORMAT=MLN","FA_ADJUSTED=Adjusted","Sort=A","Dates=H","DateFormat=P","Fill=—","Direction=H","UseDPDF=Y")</f>
        <v>—</v>
      </c>
      <c r="N32" s="12" t="str">
        <f>_xll.BDH("RMS FP Equity","IS_OTHER_OPERATING_EXPENSES","FY 2002","FY 2002","Currency=USD","Period=FY","BEST_FPERIOD_OVERRIDE=FY","FILING_STATUS=MR","SCALING_FORMAT=MLN","FA_ADJUSTED=Adjusted","Sort=A","Dates=H","DateFormat=P","Fill=—","Direction=H","UseDPDF=Y")</f>
        <v>—</v>
      </c>
      <c r="O32" s="12" t="str">
        <f>_xll.BDH("RMS FP Equity","IS_OTHER_OPERATING_EXPENSES","FY 2003","FY 2003","Currency=USD","Period=FY","BEST_FPERIOD_OVERRIDE=FY","FILING_STATUS=MR","SCALING_FORMAT=MLN","FA_ADJUSTED=Adjusted","Sort=A","Dates=H","DateFormat=P","Fill=—","Direction=H","UseDPDF=Y")</f>
        <v>—</v>
      </c>
      <c r="P32" s="12" t="str">
        <f>_xll.BDH("RMS FP Equity","IS_OTHER_OPERATING_EXPENSES","FY 2004","FY 2004","Currency=USD","Period=FY","BEST_FPERIOD_OVERRIDE=FY","FILING_STATUS=MR","SCALING_FORMAT=MLN","FA_ADJUSTED=Adjusted","Sort=A","Dates=H","DateFormat=P","Fill=—","Direction=H","UseDPDF=Y")</f>
        <v>—</v>
      </c>
      <c r="Q32" s="12" t="str">
        <f>_xll.BDH("RMS FP Equity","IS_OTHER_OPERATING_EXPENSES","FY 2005","FY 2005","Currency=USD","Period=FY","BEST_FPERIOD_OVERRIDE=FY","FILING_STATUS=MR","SCALING_FORMAT=MLN","FA_ADJUSTED=Adjusted","Sort=A","Dates=H","DateFormat=P","Fill=—","Direction=H","UseDPDF=Y")</f>
        <v>—</v>
      </c>
      <c r="R32" s="12" t="str">
        <f>_xll.BDH("RMS FP Equity","IS_OTHER_OPERATING_EXPENSES","FY 2006","FY 2006","Currency=USD","Period=FY","BEST_FPERIOD_OVERRIDE=FY","FILING_STATUS=MR","SCALING_FORMAT=MLN","FA_ADJUSTED=Adjusted","Sort=A","Dates=H","DateFormat=P","Fill=—","Direction=H","UseDPDF=Y")</f>
        <v>—</v>
      </c>
      <c r="S32" s="12" t="str">
        <f>_xll.BDH("RMS FP Equity","IS_OTHER_OPERATING_EXPENSES","FY 2007","FY 2007","Currency=USD","Period=FY","BEST_FPERIOD_OVERRIDE=FY","FILING_STATUS=MR","SCALING_FORMAT=MLN","FA_ADJUSTED=Adjusted","Sort=A","Dates=H","DateFormat=P","Fill=—","Direction=H","UseDPDF=Y")</f>
        <v>—</v>
      </c>
      <c r="T32" s="12" t="str">
        <f>_xll.BDH("RMS FP Equity","IS_OTHER_OPERATING_EXPENSES","FY 2008","FY 2008","Currency=USD","Period=FY","BEST_FPERIOD_OVERRIDE=FY","FILING_STATUS=MR","SCALING_FORMAT=MLN","FA_ADJUSTED=Adjusted","Sort=A","Dates=H","DateFormat=P","Fill=—","Direction=H","UseDPDF=Y")</f>
        <v>—</v>
      </c>
      <c r="U32" s="12">
        <f>_xll.BDH("RMS FP Equity","IS_OTHER_OPERATING_EXPENSES","FY 2009","FY 2009","Currency=USD","Period=FY","BEST_FPERIOD_OVERRIDE=FY","FILING_STATUS=MR","SCALING_FORMAT=MLN","FA_ADJUSTED=Adjusted","Sort=A","Dates=H","DateFormat=P","Fill=—","Direction=H","UseDPDF=Y")</f>
        <v>7.3905000000000003</v>
      </c>
      <c r="V32" s="12">
        <f>_xll.BDH("RMS FP Equity","IS_OTHER_OPERATING_EXPENSES","FY 2010","FY 2010","Currency=USD","Period=FY","BEST_FPERIOD_OVERRIDE=FY","FILING_STATUS=MR","SCALING_FORMAT=MLN","FA_ADJUSTED=Adjusted","Sort=A","Dates=H","DateFormat=P","Fill=—","Direction=H","UseDPDF=Y")</f>
        <v>5.1738</v>
      </c>
      <c r="W32" s="12">
        <f>_xll.BDH("RMS FP Equity","IS_OTHER_OPERATING_EXPENSES","FY 2011","FY 2011","Currency=USD","Period=FY","BEST_FPERIOD_OVERRIDE=FY","FILING_STATUS=MR","SCALING_FORMAT=MLN","FA_ADJUSTED=Adjusted","Sort=A","Dates=H","DateFormat=P","Fill=—","Direction=H","UseDPDF=Y")</f>
        <v>16.012599999999999</v>
      </c>
      <c r="X32" s="12">
        <f>_xll.BDH("RMS FP Equity","IS_OTHER_OPERATING_EXPENSES","FY 2012","FY 2012","Currency=USD","Period=FY","BEST_FPERIOD_OVERRIDE=FY","FILING_STATUS=MR","SCALING_FORMAT=MLN","FA_ADJUSTED=Adjusted","Sort=A","Dates=H","DateFormat=P","Fill=—","Direction=H","UseDPDF=Y")</f>
        <v>12.987299999999999</v>
      </c>
      <c r="Y32" s="12">
        <f>_xll.BDH("RMS FP Equity","IS_OTHER_OPERATING_EXPENSES","FY 2013","FY 2013","Currency=USD","Period=FY","BEST_FPERIOD_OVERRIDE=FY","FILING_STATUS=MR","SCALING_FORMAT=MLN","FA_ADJUSTED=Adjusted","Sort=A","Dates=H","DateFormat=P","Fill=—","Direction=H","UseDPDF=Y")</f>
        <v>17.666499999999999</v>
      </c>
      <c r="Z32" s="12">
        <f>_xll.BDH("RMS FP Equity","IS_OTHER_OPERATING_EXPENSES","FY 2014","FY 2014","Currency=USD","Period=FY","BEST_FPERIOD_OVERRIDE=FY","FILING_STATUS=MR","SCALING_FORMAT=MLN","FA_ADJUSTED=Adjusted","Sort=A","Dates=H","DateFormat=P","Fill=—","Direction=H","UseDPDF=Y")</f>
        <v>10.6279</v>
      </c>
      <c r="AA32" s="12">
        <f>_xll.BDH("RMS FP Equity","IS_OTHER_OPERATING_EXPENSES","FY 2015","FY 2015","Currency=USD","Period=FY","BEST_FPERIOD_OVERRIDE=FY","FILING_STATUS=MR","SCALING_FORMAT=MLN","FA_ADJUSTED=Adjusted","Sort=A","Dates=H","DateFormat=P","Fill=—","Direction=H","UseDPDF=Y")</f>
        <v>51.948</v>
      </c>
      <c r="AB32" s="12">
        <f>_xll.BDH("RMS FP Equity","IS_OTHER_OPERATING_EXPENSES","FY 2016","FY 2016","Currency=USD","Period=FY","BEST_FPERIOD_OVERRIDE=FY","FILING_STATUS=MR","SCALING_FORMAT=MLN","FA_ADJUSTED=Adjusted","Sort=A","Dates=H","DateFormat=P","Fill=—","Direction=H","UseDPDF=Y")</f>
        <v>86.332599999999999</v>
      </c>
      <c r="AC32" s="12">
        <f>_xll.BDH("RMS FP Equity","IS_OTHER_OPERATING_EXPENSES","FY 2017","FY 2017","Currency=USD","Period=FY","BEST_FPERIOD_OVERRIDE=FY","FILING_STATUS=MR","SCALING_FORMAT=MLN","FA_ADJUSTED=Adjusted","Sort=A","Dates=H","DateFormat=P","Fill=—","Direction=H","UseDPDF=Y")</f>
        <v>79.419399999999996</v>
      </c>
      <c r="AD32" s="12"/>
      <c r="AE32" s="12"/>
    </row>
    <row r="33" spans="1:31" x14ac:dyDescent="0.25">
      <c r="A33" s="11" t="s">
        <v>65</v>
      </c>
      <c r="B33" s="11" t="s">
        <v>92</v>
      </c>
      <c r="C33" s="16" t="s">
        <v>66</v>
      </c>
      <c r="D33" s="16" t="s">
        <v>66</v>
      </c>
      <c r="E33" s="16" t="s">
        <v>66</v>
      </c>
      <c r="F33" s="16" t="s">
        <v>66</v>
      </c>
      <c r="G33" s="16" t="s">
        <v>66</v>
      </c>
      <c r="H33" s="16" t="s">
        <v>66</v>
      </c>
      <c r="I33" s="16" t="s">
        <v>66</v>
      </c>
      <c r="J33" s="16" t="s">
        <v>66</v>
      </c>
      <c r="K33" s="16" t="s">
        <v>66</v>
      </c>
      <c r="L33" s="16" t="s">
        <v>66</v>
      </c>
      <c r="M33" s="16" t="s">
        <v>66</v>
      </c>
      <c r="N33" s="16" t="s">
        <v>66</v>
      </c>
      <c r="O33" s="16" t="s">
        <v>66</v>
      </c>
      <c r="P33" s="16" t="s">
        <v>66</v>
      </c>
      <c r="Q33" s="16" t="s">
        <v>66</v>
      </c>
      <c r="R33" s="16" t="s">
        <v>66</v>
      </c>
      <c r="S33" s="16" t="s">
        <v>66</v>
      </c>
      <c r="T33" s="16" t="s">
        <v>66</v>
      </c>
      <c r="U33" s="16" t="s">
        <v>66</v>
      </c>
      <c r="V33" s="16">
        <v>-29.994273740635599</v>
      </c>
      <c r="W33" s="16">
        <v>209.4954890841</v>
      </c>
      <c r="X33" s="16">
        <v>-18.893385687855702</v>
      </c>
      <c r="Y33" s="16">
        <v>36.029549795500202</v>
      </c>
      <c r="Z33" s="16">
        <v>-39.841694165412903</v>
      </c>
      <c r="AA33" s="16">
        <v>388.79242898765102</v>
      </c>
      <c r="AB33" s="16">
        <v>66.189869773647501</v>
      </c>
      <c r="AC33" s="16">
        <v>-8.0076568662007208</v>
      </c>
      <c r="AD33" s="16"/>
      <c r="AE33" s="16"/>
    </row>
    <row r="34" spans="1:31" x14ac:dyDescent="0.25">
      <c r="A34" s="6" t="s">
        <v>93</v>
      </c>
      <c r="B34" s="6" t="s">
        <v>94</v>
      </c>
      <c r="C34" s="14">
        <f>_xll.BDH("RMS FP Equity","IS_OPER_INC","FY 1991","FY 1991","Currency=USD","Period=FY","BEST_FPERIOD_OVERRIDE=FY","FILING_STATUS=MR","SCALING_FORMAT=MLN","FA_ADJUSTED=Adjusted","Sort=A","Dates=H","DateFormat=P","Fill=—","Direction=H","UseDPDF=Y")</f>
        <v>52.333799999999997</v>
      </c>
      <c r="D34" s="14">
        <f>_xll.BDH("RMS FP Equity","IS_OPER_INC","FY 1992","FY 1992","Currency=USD","Period=FY","BEST_FPERIOD_OVERRIDE=FY","FILING_STATUS=MR","SCALING_FORMAT=MLN","FA_ADJUSTED=Adjusted","Sort=A","Dates=H","DateFormat=P","Fill=—","Direction=H","UseDPDF=Y")</f>
        <v>61.044699999999999</v>
      </c>
      <c r="E34" s="14">
        <f>_xll.BDH("RMS FP Equity","IS_OPER_INC","FY 1993","FY 1993","Currency=USD","Period=FY","BEST_FPERIOD_OVERRIDE=FY","FILING_STATUS=MR","SCALING_FORMAT=MLN","FA_ADJUSTED=Adjusted","Sort=A","Dates=H","DateFormat=P","Fill=—","Direction=H","UseDPDF=Y")</f>
        <v>62.5486</v>
      </c>
      <c r="F34" s="14">
        <f>_xll.BDH("RMS FP Equity","IS_OPER_INC","FY 1994","FY 1994","Currency=USD","Period=FY","BEST_FPERIOD_OVERRIDE=FY","FILING_STATUS=MR","SCALING_FORMAT=MLN","FA_ADJUSTED=Adjusted","Sort=A","Dates=H","DateFormat=P","Fill=—","Direction=H","UseDPDF=Y")</f>
        <v>103.18210000000001</v>
      </c>
      <c r="G34" s="14">
        <f>_xll.BDH("RMS FP Equity","IS_OPER_INC","FY 1995","FY 1995","Currency=USD","Period=FY","BEST_FPERIOD_OVERRIDE=FY","FILING_STATUS=MR","SCALING_FORMAT=MLN","FA_ADJUSTED=Adjusted","Sort=A","Dates=H","DateFormat=P","Fill=—","Direction=H","UseDPDF=Y")</f>
        <v>137.37540000000001</v>
      </c>
      <c r="H34" s="14">
        <f>_xll.BDH("RMS FP Equity","IS_OPER_INC","FY 1996","FY 1996","Currency=USD","Period=FY","BEST_FPERIOD_OVERRIDE=FY","FILING_STATUS=MR","SCALING_FORMAT=MLN","FA_ADJUSTED=Adjusted","Sort=A","Dates=H","DateFormat=P","Fill=—","Direction=H","UseDPDF=Y")</f>
        <v>147.34469999999999</v>
      </c>
      <c r="I34" s="14">
        <f>_xll.BDH("RMS FP Equity","IS_OPER_INC","FY 1997","FY 1997","Currency=USD","Period=FY","BEST_FPERIOD_OVERRIDE=FY","FILING_STATUS=MR","SCALING_FORMAT=MLN","FA_ADJUSTED=Adjusted","Sort=A","Dates=H","DateFormat=P","Fill=—","Direction=H","UseDPDF=Y")</f>
        <v>172.13650000000001</v>
      </c>
      <c r="J34" s="14">
        <f>_xll.BDH("RMS FP Equity","IS_OPER_INC","FY 1998","FY 1998","Currency=USD","Period=FY","BEST_FPERIOD_OVERRIDE=FY","FILING_STATUS=MR","SCALING_FORMAT=MLN","FA_ADJUSTED=Adjusted","Sort=A","Dates=H","DateFormat=P","Fill=—","Direction=H","UseDPDF=Y")</f>
        <v>177.3064</v>
      </c>
      <c r="K34" s="14">
        <f>_xll.BDH("RMS FP Equity","IS_OPER_INC","FY 1999","FY 1999","Currency=USD","Period=FY","BEST_FPERIOD_OVERRIDE=FY","FILING_STATUS=MR","SCALING_FORMAT=MLN","FA_ADJUSTED=Adjusted","Sort=A","Dates=H","DateFormat=P","Fill=—","Direction=H","UseDPDF=Y")</f>
        <v>204.517</v>
      </c>
      <c r="L34" s="14">
        <f>_xll.BDH("RMS FP Equity","IS_OPER_INC","FY 2000","FY 2000","Currency=USD","Period=FY","BEST_FPERIOD_OVERRIDE=FY","FILING_STATUS=MR","SCALING_FORMAT=MLN","FA_ADJUSTED=Adjusted","Sort=A","Dates=H","DateFormat=P","Fill=—","Direction=H","UseDPDF=Y")</f>
        <v>265.84219999999999</v>
      </c>
      <c r="M34" s="14">
        <f>_xll.BDH("RMS FP Equity","IS_OPER_INC","FY 2001","FY 2001","Currency=USD","Period=FY","BEST_FPERIOD_OVERRIDE=FY","FILING_STATUS=MR","SCALING_FORMAT=MLN","FA_ADJUSTED=Adjusted","Sort=A","Dates=H","DateFormat=P","Fill=—","Direction=H","UseDPDF=Y")</f>
        <v>275.04820000000001</v>
      </c>
      <c r="N34" s="14">
        <f>_xll.BDH("RMS FP Equity","IS_OPER_INC","FY 2002","FY 2002","Currency=USD","Period=FY","BEST_FPERIOD_OVERRIDE=FY","FILING_STATUS=MR","SCALING_FORMAT=MLN","FA_ADJUSTED=Adjusted","Sort=A","Dates=H","DateFormat=P","Fill=—","Direction=H","UseDPDF=Y")</f>
        <v>302.83699999999999</v>
      </c>
      <c r="O34" s="14">
        <f>_xll.BDH("RMS FP Equity","IS_OPER_INC","FY 2003","FY 2003","Currency=USD","Period=FY","BEST_FPERIOD_OVERRIDE=FY","FILING_STATUS=MR","SCALING_FORMAT=MLN","FA_ADJUSTED=Adjusted","Sort=A","Dates=H","DateFormat=P","Fill=—","Direction=H","UseDPDF=Y")</f>
        <v>376.88240000000002</v>
      </c>
      <c r="P34" s="14">
        <f>_xll.BDH("RMS FP Equity","IS_OPER_INC","FY 2004","FY 2004","Currency=USD","Period=FY","BEST_FPERIOD_OVERRIDE=FY","FILING_STATUS=MR","SCALING_FORMAT=MLN","FA_ADJUSTED=Adjusted","Sort=A","Dates=H","DateFormat=P","Fill=—","Direction=H","UseDPDF=Y")</f>
        <v>444.30990000000003</v>
      </c>
      <c r="Q34" s="14">
        <f>_xll.BDH("RMS FP Equity","IS_OPER_INC","FY 2005","FY 2005","Currency=USD","Period=FY","BEST_FPERIOD_OVERRIDE=FY","FILING_STATUS=MR","SCALING_FORMAT=MLN","FA_ADJUSTED=Adjusted","Sort=A","Dates=H","DateFormat=P","Fill=—","Direction=H","UseDPDF=Y")</f>
        <v>477.1574</v>
      </c>
      <c r="R34" s="14">
        <f>_xll.BDH("RMS FP Equity","IS_OPER_INC","FY 2006","FY 2006","Currency=USD","Period=FY","BEST_FPERIOD_OVERRIDE=FY","FILING_STATUS=MR","SCALING_FORMAT=MLN","FA_ADJUSTED=Adjusted","Sort=A","Dates=H","DateFormat=P","Fill=—","Direction=H","UseDPDF=Y")</f>
        <v>521.65250000000003</v>
      </c>
      <c r="S34" s="14">
        <f>_xll.BDH("RMS FP Equity","IS_OPER_INC","FY 2007","FY 2007","Currency=USD","Period=FY","BEST_FPERIOD_OVERRIDE=FY","FILING_STATUS=MR","SCALING_FORMAT=MLN","FA_ADJUSTED=Adjusted","Sort=A","Dates=H","DateFormat=P","Fill=—","Direction=H","UseDPDF=Y")</f>
        <v>568.19590000000005</v>
      </c>
      <c r="T34" s="14">
        <f>_xll.BDH("RMS FP Equity","IS_OPER_INC","FY 2008","FY 2008","Currency=USD","Period=FY","BEST_FPERIOD_OVERRIDE=FY","FILING_STATUS=MR","SCALING_FORMAT=MLN","FA_ADJUSTED=Adjusted","Sort=A","Dates=H","DateFormat=P","Fill=—","Direction=H","UseDPDF=Y")</f>
        <v>705.43859999999995</v>
      </c>
      <c r="U34" s="14">
        <f>_xll.BDH("RMS FP Equity","IS_OPER_INC","FY 2009","FY 2009","Currency=USD","Period=FY","BEST_FPERIOD_OVERRIDE=FY","FILING_STATUS=MR","SCALING_FORMAT=MLN","FA_ADJUSTED=Adjusted","Sort=A","Dates=H","DateFormat=P","Fill=—","Direction=H","UseDPDF=Y")</f>
        <v>649.38919999999996</v>
      </c>
      <c r="V34" s="14">
        <f>_xll.BDH("RMS FP Equity","IS_OPER_INC","FY 2010","FY 2010","Currency=USD","Period=FY","BEST_FPERIOD_OVERRIDE=FY","FILING_STATUS=MR","SCALING_FORMAT=MLN","FA_ADJUSTED=Adjusted","Sort=A","Dates=H","DateFormat=P","Fill=—","Direction=H","UseDPDF=Y")</f>
        <v>891.48270000000002</v>
      </c>
      <c r="W34" s="14">
        <f>_xll.BDH("RMS FP Equity","IS_OPER_INC","FY 2011","FY 2011","Currency=USD","Period=FY","BEST_FPERIOD_OVERRIDE=FY","FILING_STATUS=MR","SCALING_FORMAT=MLN","FA_ADJUSTED=Adjusted","Sort=A","Dates=H","DateFormat=P","Fill=—","Direction=H","UseDPDF=Y")</f>
        <v>1235.4784</v>
      </c>
      <c r="X34" s="14">
        <f>_xll.BDH("RMS FP Equity","IS_OPER_INC","FY 2012","FY 2012","Currency=USD","Period=FY","BEST_FPERIOD_OVERRIDE=FY","FILING_STATUS=MR","SCALING_FORMAT=MLN","FA_ADJUSTED=Adjusted","Sort=A","Dates=H","DateFormat=P","Fill=—","Direction=H","UseDPDF=Y")</f>
        <v>1433.8749</v>
      </c>
      <c r="Y34" s="14">
        <f>_xll.BDH("RMS FP Equity","IS_OPER_INC","FY 2013","FY 2013","Currency=USD","Period=FY","BEST_FPERIOD_OVERRIDE=FY","FILING_STATUS=MR","SCALING_FORMAT=MLN","FA_ADJUSTED=Adjusted","Sort=A","Dates=H","DateFormat=P","Fill=—","Direction=H","UseDPDF=Y")</f>
        <v>1644.8480999999999</v>
      </c>
      <c r="Z34" s="14">
        <f>_xll.BDH("RMS FP Equity","IS_OPER_INC","FY 2014","FY 2014","Currency=USD","Period=FY","BEST_FPERIOD_OVERRIDE=FY","FILING_STATUS=MR","SCALING_FORMAT=MLN","FA_ADJUSTED=Adjusted","Sort=A","Dates=H","DateFormat=P","Fill=—","Direction=H","UseDPDF=Y")</f>
        <v>1758.7824000000001</v>
      </c>
      <c r="AA34" s="14">
        <f>_xll.BDH("RMS FP Equity","IS_OPER_INC","FY 2015","FY 2015","Currency=USD","Period=FY","BEST_FPERIOD_OVERRIDE=FY","FILING_STATUS=MR","SCALING_FORMAT=MLN","FA_ADJUSTED=Adjusted","Sort=A","Dates=H","DateFormat=P","Fill=—","Direction=H","UseDPDF=Y")</f>
        <v>1735.7080000000001</v>
      </c>
      <c r="AB34" s="14">
        <f>_xll.BDH("RMS FP Equity","IS_OPER_INC","FY 2016","FY 2016","Currency=USD","Period=FY","BEST_FPERIOD_OVERRIDE=FY","FILING_STATUS=MR","SCALING_FORMAT=MLN","FA_ADJUSTED=Adjusted","Sort=A","Dates=H","DateFormat=P","Fill=—","Direction=H","UseDPDF=Y")</f>
        <v>1887.9177</v>
      </c>
      <c r="AC34" s="14">
        <f>_xll.BDH("RMS FP Equity","IS_OPER_INC","FY 2017","FY 2017","Currency=USD","Period=FY","BEST_FPERIOD_OVERRIDE=FY","FILING_STATUS=MR","SCALING_FORMAT=MLN","FA_ADJUSTED=Adjusted","Sort=A","Dates=H","DateFormat=P","Fill=—","Direction=H","UseDPDF=Y")</f>
        <v>2218.6596</v>
      </c>
      <c r="AD34" s="14">
        <v>2313.7869999999998</v>
      </c>
      <c r="AE34" s="14">
        <v>2475.27</v>
      </c>
    </row>
    <row r="35" spans="1:31" x14ac:dyDescent="0.25">
      <c r="A35" s="11" t="s">
        <v>65</v>
      </c>
      <c r="B35" s="11" t="s">
        <v>94</v>
      </c>
      <c r="C35" s="16" t="s">
        <v>66</v>
      </c>
      <c r="D35" s="16">
        <v>9.5480830000000001</v>
      </c>
      <c r="E35" s="16">
        <v>9.8014910000000004</v>
      </c>
      <c r="F35" s="16">
        <v>61.355936</v>
      </c>
      <c r="G35" s="16">
        <v>19.835432000000001</v>
      </c>
      <c r="H35" s="16">
        <v>10.051130000000001</v>
      </c>
      <c r="I35" s="16">
        <v>33.174038000000003</v>
      </c>
      <c r="J35" s="16">
        <v>4.0669839999999997</v>
      </c>
      <c r="K35" s="16">
        <v>20.565128999999999</v>
      </c>
      <c r="L35" s="16">
        <v>50.019871000000002</v>
      </c>
      <c r="M35" s="16">
        <v>6.6802910000000004</v>
      </c>
      <c r="N35" s="16">
        <v>4.2657090000000002</v>
      </c>
      <c r="O35" s="16">
        <v>3.935041</v>
      </c>
      <c r="P35" s="16">
        <v>7.301685</v>
      </c>
      <c r="Q35" s="16">
        <v>7.3928849999999997</v>
      </c>
      <c r="R35" s="16">
        <v>8.2659710000000004</v>
      </c>
      <c r="S35" s="16">
        <v>-0.16859299999999999</v>
      </c>
      <c r="T35" s="16">
        <v>15.705669</v>
      </c>
      <c r="U35" s="16">
        <v>-2.8982489999999999</v>
      </c>
      <c r="V35" s="16">
        <v>44.298904999999998</v>
      </c>
      <c r="W35" s="16">
        <v>32.038690000000003</v>
      </c>
      <c r="X35" s="16">
        <v>25.673390999999999</v>
      </c>
      <c r="Y35" s="16">
        <v>11.048336000000001</v>
      </c>
      <c r="Z35" s="16">
        <v>6.9127029999999996</v>
      </c>
      <c r="AA35" s="16">
        <v>18.113150999999998</v>
      </c>
      <c r="AB35" s="16">
        <v>9.0810259999999996</v>
      </c>
      <c r="AC35" s="16">
        <v>15.13748</v>
      </c>
      <c r="AD35" s="16">
        <v>4.2871911908683504</v>
      </c>
      <c r="AE35" s="16">
        <v>6.9791644606871603</v>
      </c>
    </row>
    <row r="36" spans="1:31" x14ac:dyDescent="0.25">
      <c r="A36" s="10" t="s">
        <v>95</v>
      </c>
      <c r="B36" s="10" t="s">
        <v>96</v>
      </c>
      <c r="C36" s="12" t="str">
        <f>_xll.BDH("RMS FP Equity","IS_NONOP_INCOME_LOSS","FY 1991","FY 1991","Currency=USD","Period=FY","BEST_FPERIOD_OVERRIDE=FY","FILING_STATUS=MR","SCALING_FORMAT=MLN","FA_ADJUSTED=Adjusted","Sort=A","Dates=H","DateFormat=P","Fill=—","Direction=H","UseDPDF=Y")</f>
        <v>—</v>
      </c>
      <c r="D36" s="12" t="str">
        <f>_xll.BDH("RMS FP Equity","IS_NONOP_INCOME_LOSS","FY 1992","FY 1992","Currency=USD","Period=FY","BEST_FPERIOD_OVERRIDE=FY","FILING_STATUS=MR","SCALING_FORMAT=MLN","FA_ADJUSTED=Adjusted","Sort=A","Dates=H","DateFormat=P","Fill=—","Direction=H","UseDPDF=Y")</f>
        <v>—</v>
      </c>
      <c r="E36" s="12" t="str">
        <f>_xll.BDH("RMS FP Equity","IS_NONOP_INCOME_LOSS","FY 1993","FY 1993","Currency=USD","Period=FY","BEST_FPERIOD_OVERRIDE=FY","FILING_STATUS=MR","SCALING_FORMAT=MLN","FA_ADJUSTED=Adjusted","Sort=A","Dates=H","DateFormat=P","Fill=—","Direction=H","UseDPDF=Y")</f>
        <v>—</v>
      </c>
      <c r="F36" s="12" t="str">
        <f>_xll.BDH("RMS FP Equity","IS_NONOP_INCOME_LOSS","FY 1994","FY 1994","Currency=USD","Period=FY","BEST_FPERIOD_OVERRIDE=FY","FILING_STATUS=MR","SCALING_FORMAT=MLN","FA_ADJUSTED=Adjusted","Sort=A","Dates=H","DateFormat=P","Fill=—","Direction=H","UseDPDF=Y")</f>
        <v>—</v>
      </c>
      <c r="G36" s="12" t="str">
        <f>_xll.BDH("RMS FP Equity","IS_NONOP_INCOME_LOSS","FY 1995","FY 1995","Currency=USD","Period=FY","BEST_FPERIOD_OVERRIDE=FY","FILING_STATUS=MR","SCALING_FORMAT=MLN","FA_ADJUSTED=Adjusted","Sort=A","Dates=H","DateFormat=P","Fill=—","Direction=H","UseDPDF=Y")</f>
        <v>—</v>
      </c>
      <c r="H36" s="12" t="str">
        <f>_xll.BDH("RMS FP Equity","IS_NONOP_INCOME_LOSS","FY 1996","FY 1996","Currency=USD","Period=FY","BEST_FPERIOD_OVERRIDE=FY","FILING_STATUS=MR","SCALING_FORMAT=MLN","FA_ADJUSTED=Adjusted","Sort=A","Dates=H","DateFormat=P","Fill=—","Direction=H","UseDPDF=Y")</f>
        <v>—</v>
      </c>
      <c r="I36" s="12" t="str">
        <f>_xll.BDH("RMS FP Equity","IS_NONOP_INCOME_LOSS","FY 1997","FY 1997","Currency=USD","Period=FY","BEST_FPERIOD_OVERRIDE=FY","FILING_STATUS=MR","SCALING_FORMAT=MLN","FA_ADJUSTED=Adjusted","Sort=A","Dates=H","DateFormat=P","Fill=—","Direction=H","UseDPDF=Y")</f>
        <v>—</v>
      </c>
      <c r="J36" s="12" t="str">
        <f>_xll.BDH("RMS FP Equity","IS_NONOP_INCOME_LOSS","FY 1998","FY 1998","Currency=USD","Period=FY","BEST_FPERIOD_OVERRIDE=FY","FILING_STATUS=MR","SCALING_FORMAT=MLN","FA_ADJUSTED=Adjusted","Sort=A","Dates=H","DateFormat=P","Fill=—","Direction=H","UseDPDF=Y")</f>
        <v>—</v>
      </c>
      <c r="K36" s="12" t="str">
        <f>_xll.BDH("RMS FP Equity","IS_NONOP_INCOME_LOSS","FY 1999","FY 1999","Currency=USD","Period=FY","BEST_FPERIOD_OVERRIDE=FY","FILING_STATUS=MR","SCALING_FORMAT=MLN","FA_ADJUSTED=Adjusted","Sort=A","Dates=H","DateFormat=P","Fill=—","Direction=H","UseDPDF=Y")</f>
        <v>—</v>
      </c>
      <c r="L36" s="12" t="str">
        <f>_xll.BDH("RMS FP Equity","IS_NONOP_INCOME_LOSS","FY 2000","FY 2000","Currency=USD","Period=FY","BEST_FPERIOD_OVERRIDE=FY","FILING_STATUS=MR","SCALING_FORMAT=MLN","FA_ADJUSTED=Adjusted","Sort=A","Dates=H","DateFormat=P","Fill=—","Direction=H","UseDPDF=Y")</f>
        <v>—</v>
      </c>
      <c r="M36" s="12" t="str">
        <f>_xll.BDH("RMS FP Equity","IS_NONOP_INCOME_LOSS","FY 2001","FY 2001","Currency=USD","Period=FY","BEST_FPERIOD_OVERRIDE=FY","FILING_STATUS=MR","SCALING_FORMAT=MLN","FA_ADJUSTED=Adjusted","Sort=A","Dates=H","DateFormat=P","Fill=—","Direction=H","UseDPDF=Y")</f>
        <v>—</v>
      </c>
      <c r="N36" s="12" t="str">
        <f>_xll.BDH("RMS FP Equity","IS_NONOP_INCOME_LOSS","FY 2002","FY 2002","Currency=USD","Period=FY","BEST_FPERIOD_OVERRIDE=FY","FILING_STATUS=MR","SCALING_FORMAT=MLN","FA_ADJUSTED=Adjusted","Sort=A","Dates=H","DateFormat=P","Fill=—","Direction=H","UseDPDF=Y")</f>
        <v>—</v>
      </c>
      <c r="O36" s="12" t="str">
        <f>_xll.BDH("RMS FP Equity","IS_NONOP_INCOME_LOSS","FY 2003","FY 2003","Currency=USD","Period=FY","BEST_FPERIOD_OVERRIDE=FY","FILING_STATUS=MR","SCALING_FORMAT=MLN","FA_ADJUSTED=Adjusted","Sort=A","Dates=H","DateFormat=P","Fill=—","Direction=H","UseDPDF=Y")</f>
        <v>—</v>
      </c>
      <c r="P36" s="12" t="str">
        <f>_xll.BDH("RMS FP Equity","IS_NONOP_INCOME_LOSS","FY 2004","FY 2004","Currency=USD","Period=FY","BEST_FPERIOD_OVERRIDE=FY","FILING_STATUS=MR","SCALING_FORMAT=MLN","FA_ADJUSTED=Adjusted","Sort=A","Dates=H","DateFormat=P","Fill=—","Direction=H","UseDPDF=Y")</f>
        <v>—</v>
      </c>
      <c r="Q36" s="12" t="str">
        <f>_xll.BDH("RMS FP Equity","IS_NONOP_INCOME_LOSS","FY 2005","FY 2005","Currency=USD","Period=FY","BEST_FPERIOD_OVERRIDE=FY","FILING_STATUS=MR","SCALING_FORMAT=MLN","FA_ADJUSTED=Adjusted","Sort=A","Dates=H","DateFormat=P","Fill=—","Direction=H","UseDPDF=Y")</f>
        <v>—</v>
      </c>
      <c r="R36" s="12" t="str">
        <f>_xll.BDH("RMS FP Equity","IS_NONOP_INCOME_LOSS","FY 2006","FY 2006","Currency=USD","Period=FY","BEST_FPERIOD_OVERRIDE=FY","FILING_STATUS=MR","SCALING_FORMAT=MLN","FA_ADJUSTED=Adjusted","Sort=A","Dates=H","DateFormat=P","Fill=—","Direction=H","UseDPDF=Y")</f>
        <v>—</v>
      </c>
      <c r="S36" s="12" t="str">
        <f>_xll.BDH("RMS FP Equity","IS_NONOP_INCOME_LOSS","FY 2007","FY 2007","Currency=USD","Period=FY","BEST_FPERIOD_OVERRIDE=FY","FILING_STATUS=MR","SCALING_FORMAT=MLN","FA_ADJUSTED=Adjusted","Sort=A","Dates=H","DateFormat=P","Fill=—","Direction=H","UseDPDF=Y")</f>
        <v>—</v>
      </c>
      <c r="T36" s="12" t="str">
        <f>_xll.BDH("RMS FP Equity","IS_NONOP_INCOME_LOSS","FY 2008","FY 2008","Currency=USD","Period=FY","BEST_FPERIOD_OVERRIDE=FY","FILING_STATUS=MR","SCALING_FORMAT=MLN","FA_ADJUSTED=Adjusted","Sort=A","Dates=H","DateFormat=P","Fill=—","Direction=H","UseDPDF=Y")</f>
        <v>—</v>
      </c>
      <c r="U36" s="12">
        <f>_xll.BDH("RMS FP Equity","IS_NONOP_INCOME_LOSS","FY 2009","FY 2009","Currency=USD","Period=FY","BEST_FPERIOD_OVERRIDE=FY","FILING_STATUS=MR","SCALING_FORMAT=MLN","FA_ADJUSTED=Adjusted","Sort=A","Dates=H","DateFormat=P","Fill=—","Direction=H","UseDPDF=Y")</f>
        <v>17.709299999999999</v>
      </c>
      <c r="V36" s="12">
        <f>_xll.BDH("RMS FP Equity","IS_NONOP_INCOME_LOSS","FY 2010","FY 2010","Currency=USD","Period=FY","BEST_FPERIOD_OVERRIDE=FY","FILING_STATUS=MR","SCALING_FORMAT=MLN","FA_ADJUSTED=Adjusted","Sort=A","Dates=H","DateFormat=P","Fill=—","Direction=H","UseDPDF=Y")</f>
        <v>16.582599999999999</v>
      </c>
      <c r="W36" s="12">
        <f>_xll.BDH("RMS FP Equity","IS_NONOP_INCOME_LOSS","FY 2011","FY 2011","Currency=USD","Period=FY","BEST_FPERIOD_OVERRIDE=FY","FILING_STATUS=MR","SCALING_FORMAT=MLN","FA_ADJUSTED=Adjusted","Sort=A","Dates=H","DateFormat=P","Fill=—","Direction=H","UseDPDF=Y")</f>
        <v>-17.405000000000001</v>
      </c>
      <c r="X36" s="12">
        <f>_xll.BDH("RMS FP Equity","IS_NONOP_INCOME_LOSS","FY 2012","FY 2012","Currency=USD","Period=FY","BEST_FPERIOD_OVERRIDE=FY","FILING_STATUS=MR","SCALING_FORMAT=MLN","FA_ADJUSTED=Adjusted","Sort=A","Dates=H","DateFormat=P","Fill=—","Direction=H","UseDPDF=Y")</f>
        <v>23.917200000000001</v>
      </c>
      <c r="Y36" s="12">
        <f>_xll.BDH("RMS FP Equity","IS_NONOP_INCOME_LOSS","FY 2013","FY 2013","Currency=USD","Period=FY","BEST_FPERIOD_OVERRIDE=FY","FILING_STATUS=MR","SCALING_FORMAT=MLN","FA_ADJUSTED=Adjusted","Sort=A","Dates=H","DateFormat=P","Fill=—","Direction=H","UseDPDF=Y")</f>
        <v>31.0825</v>
      </c>
      <c r="Z36" s="12">
        <f>_xll.BDH("RMS FP Equity","IS_NONOP_INCOME_LOSS","FY 2014","FY 2014","Currency=USD","Period=FY","BEST_FPERIOD_OVERRIDE=FY","FILING_STATUS=MR","SCALING_FORMAT=MLN","FA_ADJUSTED=Adjusted","Sort=A","Dates=H","DateFormat=P","Fill=—","Direction=H","UseDPDF=Y")</f>
        <v>32.813600000000001</v>
      </c>
      <c r="AA36" s="12">
        <f>_xll.BDH("RMS FP Equity","IS_NONOP_INCOME_LOSS","FY 2015","FY 2015","Currency=USD","Period=FY","BEST_FPERIOD_OVERRIDE=FY","FILING_STATUS=MR","SCALING_FORMAT=MLN","FA_ADJUSTED=Adjusted","Sort=A","Dates=H","DateFormat=P","Fill=—","Direction=H","UseDPDF=Y")</f>
        <v>50.616</v>
      </c>
      <c r="AB36" s="12">
        <f>_xll.BDH("RMS FP Equity","IS_NONOP_INCOME_LOSS","FY 2016","FY 2016","Currency=USD","Period=FY","BEST_FPERIOD_OVERRIDE=FY","FILING_STATUS=MR","SCALING_FORMAT=MLN","FA_ADJUSTED=Adjusted","Sort=A","Dates=H","DateFormat=P","Fill=—","Direction=H","UseDPDF=Y")</f>
        <v>52.795699999999997</v>
      </c>
      <c r="AC36" s="12">
        <f>_xll.BDH("RMS FP Equity","IS_NONOP_INCOME_LOSS","FY 2017","FY 2017","Currency=USD","Period=FY","BEST_FPERIOD_OVERRIDE=FY","FILING_STATUS=MR","SCALING_FORMAT=MLN","FA_ADJUSTED=Adjusted","Sort=A","Dates=H","DateFormat=P","Fill=—","Direction=H","UseDPDF=Y")</f>
        <v>36.377000000000002</v>
      </c>
      <c r="AD36" s="12"/>
      <c r="AE36" s="12"/>
    </row>
    <row r="37" spans="1:31" x14ac:dyDescent="0.25">
      <c r="A37" s="11" t="s">
        <v>65</v>
      </c>
      <c r="B37" s="11" t="s">
        <v>96</v>
      </c>
      <c r="C37" s="16" t="s">
        <v>66</v>
      </c>
      <c r="D37" s="16" t="s">
        <v>66</v>
      </c>
      <c r="E37" s="16" t="s">
        <v>66</v>
      </c>
      <c r="F37" s="16" t="s">
        <v>66</v>
      </c>
      <c r="G37" s="16" t="s">
        <v>66</v>
      </c>
      <c r="H37" s="16" t="s">
        <v>66</v>
      </c>
      <c r="I37" s="16" t="s">
        <v>66</v>
      </c>
      <c r="J37" s="16" t="s">
        <v>66</v>
      </c>
      <c r="K37" s="16" t="s">
        <v>66</v>
      </c>
      <c r="L37" s="16" t="s">
        <v>66</v>
      </c>
      <c r="M37" s="16" t="s">
        <v>66</v>
      </c>
      <c r="N37" s="16" t="s">
        <v>66</v>
      </c>
      <c r="O37" s="16" t="s">
        <v>66</v>
      </c>
      <c r="P37" s="16" t="s">
        <v>66</v>
      </c>
      <c r="Q37" s="16" t="s">
        <v>66</v>
      </c>
      <c r="R37" s="16" t="s">
        <v>66</v>
      </c>
      <c r="S37" s="16" t="s">
        <v>66</v>
      </c>
      <c r="T37" s="16" t="s">
        <v>66</v>
      </c>
      <c r="U37" s="16" t="s">
        <v>66</v>
      </c>
      <c r="V37" s="16">
        <v>-6.3622168768965199</v>
      </c>
      <c r="W37" s="16" t="s">
        <v>66</v>
      </c>
      <c r="X37" s="16" t="s">
        <v>66</v>
      </c>
      <c r="Y37" s="16">
        <v>29.958863917275899</v>
      </c>
      <c r="Z37" s="16">
        <v>5.5694737016852303</v>
      </c>
      <c r="AA37" s="16">
        <v>54.254016856457</v>
      </c>
      <c r="AB37" s="16">
        <v>4.3060128514909399</v>
      </c>
      <c r="AC37" s="16">
        <v>-31.098536152368698</v>
      </c>
      <c r="AD37" s="16"/>
      <c r="AE37" s="16"/>
    </row>
    <row r="38" spans="1:31" x14ac:dyDescent="0.25">
      <c r="A38" s="10" t="s">
        <v>97</v>
      </c>
      <c r="B38" s="10" t="s">
        <v>98</v>
      </c>
      <c r="C38" s="12" t="str">
        <f>_xll.BDH("RMS FP Equity","IS_NET_INTEREST_EXPENSE","FY 1991","FY 1991","Currency=USD","Period=FY","BEST_FPERIOD_OVERRIDE=FY","FILING_STATUS=MR","SCALING_FORMAT=MLN","FA_ADJUSTED=Adjusted","Sort=A","Dates=H","DateFormat=P","Fill=—","Direction=H","UseDPDF=Y")</f>
        <v>—</v>
      </c>
      <c r="D38" s="12" t="str">
        <f>_xll.BDH("RMS FP Equity","IS_NET_INTEREST_EXPENSE","FY 1992","FY 1992","Currency=USD","Period=FY","BEST_FPERIOD_OVERRIDE=FY","FILING_STATUS=MR","SCALING_FORMAT=MLN","FA_ADJUSTED=Adjusted","Sort=A","Dates=H","DateFormat=P","Fill=—","Direction=H","UseDPDF=Y")</f>
        <v>—</v>
      </c>
      <c r="E38" s="12" t="str">
        <f>_xll.BDH("RMS FP Equity","IS_NET_INTEREST_EXPENSE","FY 1993","FY 1993","Currency=USD","Period=FY","BEST_FPERIOD_OVERRIDE=FY","FILING_STATUS=MR","SCALING_FORMAT=MLN","FA_ADJUSTED=Adjusted","Sort=A","Dates=H","DateFormat=P","Fill=—","Direction=H","UseDPDF=Y")</f>
        <v>—</v>
      </c>
      <c r="F38" s="12" t="str">
        <f>_xll.BDH("RMS FP Equity","IS_NET_INTEREST_EXPENSE","FY 1994","FY 1994","Currency=USD","Period=FY","BEST_FPERIOD_OVERRIDE=FY","FILING_STATUS=MR","SCALING_FORMAT=MLN","FA_ADJUSTED=Adjusted","Sort=A","Dates=H","DateFormat=P","Fill=—","Direction=H","UseDPDF=Y")</f>
        <v>—</v>
      </c>
      <c r="G38" s="12" t="str">
        <f>_xll.BDH("RMS FP Equity","IS_NET_INTEREST_EXPENSE","FY 1995","FY 1995","Currency=USD","Period=FY","BEST_FPERIOD_OVERRIDE=FY","FILING_STATUS=MR","SCALING_FORMAT=MLN","FA_ADJUSTED=Adjusted","Sort=A","Dates=H","DateFormat=P","Fill=—","Direction=H","UseDPDF=Y")</f>
        <v>—</v>
      </c>
      <c r="H38" s="12" t="str">
        <f>_xll.BDH("RMS FP Equity","IS_NET_INTEREST_EXPENSE","FY 1996","FY 1996","Currency=USD","Period=FY","BEST_FPERIOD_OVERRIDE=FY","FILING_STATUS=MR","SCALING_FORMAT=MLN","FA_ADJUSTED=Adjusted","Sort=A","Dates=H","DateFormat=P","Fill=—","Direction=H","UseDPDF=Y")</f>
        <v>—</v>
      </c>
      <c r="I38" s="12" t="str">
        <f>_xll.BDH("RMS FP Equity","IS_NET_INTEREST_EXPENSE","FY 1997","FY 1997","Currency=USD","Period=FY","BEST_FPERIOD_OVERRIDE=FY","FILING_STATUS=MR","SCALING_FORMAT=MLN","FA_ADJUSTED=Adjusted","Sort=A","Dates=H","DateFormat=P","Fill=—","Direction=H","UseDPDF=Y")</f>
        <v>—</v>
      </c>
      <c r="J38" s="12" t="str">
        <f>_xll.BDH("RMS FP Equity","IS_NET_INTEREST_EXPENSE","FY 1998","FY 1998","Currency=USD","Period=FY","BEST_FPERIOD_OVERRIDE=FY","FILING_STATUS=MR","SCALING_FORMAT=MLN","FA_ADJUSTED=Adjusted","Sort=A","Dates=H","DateFormat=P","Fill=—","Direction=H","UseDPDF=Y")</f>
        <v>—</v>
      </c>
      <c r="K38" s="12" t="str">
        <f>_xll.BDH("RMS FP Equity","IS_NET_INTEREST_EXPENSE","FY 1999","FY 1999","Currency=USD","Period=FY","BEST_FPERIOD_OVERRIDE=FY","FILING_STATUS=MR","SCALING_FORMAT=MLN","FA_ADJUSTED=Adjusted","Sort=A","Dates=H","DateFormat=P","Fill=—","Direction=H","UseDPDF=Y")</f>
        <v>—</v>
      </c>
      <c r="L38" s="12" t="str">
        <f>_xll.BDH("RMS FP Equity","IS_NET_INTEREST_EXPENSE","FY 2000","FY 2000","Currency=USD","Period=FY","BEST_FPERIOD_OVERRIDE=FY","FILING_STATUS=MR","SCALING_FORMAT=MLN","FA_ADJUSTED=Adjusted","Sort=A","Dates=H","DateFormat=P","Fill=—","Direction=H","UseDPDF=Y")</f>
        <v>—</v>
      </c>
      <c r="M38" s="12" t="str">
        <f>_xll.BDH("RMS FP Equity","IS_NET_INTEREST_EXPENSE","FY 2001","FY 2001","Currency=USD","Period=FY","BEST_FPERIOD_OVERRIDE=FY","FILING_STATUS=MR","SCALING_FORMAT=MLN","FA_ADJUSTED=Adjusted","Sort=A","Dates=H","DateFormat=P","Fill=—","Direction=H","UseDPDF=Y")</f>
        <v>—</v>
      </c>
      <c r="N38" s="12" t="str">
        <f>_xll.BDH("RMS FP Equity","IS_NET_INTEREST_EXPENSE","FY 2002","FY 2002","Currency=USD","Period=FY","BEST_FPERIOD_OVERRIDE=FY","FILING_STATUS=MR","SCALING_FORMAT=MLN","FA_ADJUSTED=Adjusted","Sort=A","Dates=H","DateFormat=P","Fill=—","Direction=H","UseDPDF=Y")</f>
        <v>—</v>
      </c>
      <c r="O38" s="12" t="str">
        <f>_xll.BDH("RMS FP Equity","IS_NET_INTEREST_EXPENSE","FY 2003","FY 2003","Currency=USD","Period=FY","BEST_FPERIOD_OVERRIDE=FY","FILING_STATUS=MR","SCALING_FORMAT=MLN","FA_ADJUSTED=Adjusted","Sort=A","Dates=H","DateFormat=P","Fill=—","Direction=H","UseDPDF=Y")</f>
        <v>—</v>
      </c>
      <c r="P38" s="12" t="str">
        <f>_xll.BDH("RMS FP Equity","IS_NET_INTEREST_EXPENSE","FY 2004","FY 2004","Currency=USD","Period=FY","BEST_FPERIOD_OVERRIDE=FY","FILING_STATUS=MR","SCALING_FORMAT=MLN","FA_ADJUSTED=Adjusted","Sort=A","Dates=H","DateFormat=P","Fill=—","Direction=H","UseDPDF=Y")</f>
        <v>—</v>
      </c>
      <c r="Q38" s="12" t="str">
        <f>_xll.BDH("RMS FP Equity","IS_NET_INTEREST_EXPENSE","FY 2005","FY 2005","Currency=USD","Period=FY","BEST_FPERIOD_OVERRIDE=FY","FILING_STATUS=MR","SCALING_FORMAT=MLN","FA_ADJUSTED=Adjusted","Sort=A","Dates=H","DateFormat=P","Fill=—","Direction=H","UseDPDF=Y")</f>
        <v>—</v>
      </c>
      <c r="R38" s="12" t="str">
        <f>_xll.BDH("RMS FP Equity","IS_NET_INTEREST_EXPENSE","FY 2006","FY 2006","Currency=USD","Period=FY","BEST_FPERIOD_OVERRIDE=FY","FILING_STATUS=MR","SCALING_FORMAT=MLN","FA_ADJUSTED=Adjusted","Sort=A","Dates=H","DateFormat=P","Fill=—","Direction=H","UseDPDF=Y")</f>
        <v>—</v>
      </c>
      <c r="S38" s="12" t="str">
        <f>_xll.BDH("RMS FP Equity","IS_NET_INTEREST_EXPENSE","FY 2007","FY 2007","Currency=USD","Period=FY","BEST_FPERIOD_OVERRIDE=FY","FILING_STATUS=MR","SCALING_FORMAT=MLN","FA_ADJUSTED=Adjusted","Sort=A","Dates=H","DateFormat=P","Fill=—","Direction=H","UseDPDF=Y")</f>
        <v>—</v>
      </c>
      <c r="T38" s="12">
        <f>_xll.BDH("RMS FP Equity","IS_NET_INTEREST_EXPENSE","FY 2008","FY 2008","Currency=USD","Period=FY","BEST_FPERIOD_OVERRIDE=FY","FILING_STATUS=MR","SCALING_FORMAT=MLN","FA_ADJUSTED=Adjusted","Sort=A","Dates=H","DateFormat=P","Fill=—","Direction=H","UseDPDF=Y")</f>
        <v>-27.652699999999999</v>
      </c>
      <c r="U38" s="12">
        <f>_xll.BDH("RMS FP Equity","IS_NET_INTEREST_EXPENSE","FY 2009","FY 2009","Currency=USD","Period=FY","BEST_FPERIOD_OVERRIDE=FY","FILING_STATUS=MR","SCALING_FORMAT=MLN","FA_ADJUSTED=Adjusted","Sort=A","Dates=H","DateFormat=P","Fill=—","Direction=H","UseDPDF=Y")</f>
        <v>-7.8087999999999997</v>
      </c>
      <c r="V38" s="12">
        <f>_xll.BDH("RMS FP Equity","IS_NET_INTEREST_EXPENSE","FY 2010","FY 2010","Currency=USD","Period=FY","BEST_FPERIOD_OVERRIDE=FY","FILING_STATUS=MR","SCALING_FORMAT=MLN","FA_ADJUSTED=Adjusted","Sort=A","Dates=H","DateFormat=P","Fill=—","Direction=H","UseDPDF=Y")</f>
        <v>-6.3677000000000001</v>
      </c>
      <c r="W38" s="12">
        <f>_xll.BDH("RMS FP Equity","IS_NET_INTEREST_EXPENSE","FY 2011","FY 2011","Currency=USD","Period=FY","BEST_FPERIOD_OVERRIDE=FY","FILING_STATUS=MR","SCALING_FORMAT=MLN","FA_ADJUSTED=Adjusted","Sort=A","Dates=H","DateFormat=P","Fill=—","Direction=H","UseDPDF=Y")</f>
        <v>-14.620200000000001</v>
      </c>
      <c r="X38" s="12">
        <f>_xll.BDH("RMS FP Equity","IS_NET_INTEREST_EXPENSE","FY 2012","FY 2012","Currency=USD","Period=FY","BEST_FPERIOD_OVERRIDE=FY","FILING_STATUS=MR","SCALING_FORMAT=MLN","FA_ADJUSTED=Adjusted","Sort=A","Dates=H","DateFormat=P","Fill=—","Direction=H","UseDPDF=Y")</f>
        <v>-12.6015</v>
      </c>
      <c r="Y38" s="12">
        <f>_xll.BDH("RMS FP Equity","IS_NET_INTEREST_EXPENSE","FY 2013","FY 2013","Currency=USD","Period=FY","BEST_FPERIOD_OVERRIDE=FY","FILING_STATUS=MR","SCALING_FORMAT=MLN","FA_ADJUSTED=Adjusted","Sort=A","Dates=H","DateFormat=P","Fill=—","Direction=H","UseDPDF=Y")</f>
        <v>-6.9071999999999996</v>
      </c>
      <c r="Z38" s="12">
        <f>_xll.BDH("RMS FP Equity","IS_NET_INTEREST_EXPENSE","FY 2014","FY 2014","Currency=USD","Period=FY","BEST_FPERIOD_OVERRIDE=FY","FILING_STATUS=MR","SCALING_FORMAT=MLN","FA_ADJUSTED=Adjusted","Sort=A","Dates=H","DateFormat=P","Fill=—","Direction=H","UseDPDF=Y")</f>
        <v>-8.3695000000000004</v>
      </c>
      <c r="AA38" s="12">
        <f>_xll.BDH("RMS FP Equity","IS_NET_INTEREST_EXPENSE","FY 2015","FY 2015","Currency=USD","Period=FY","BEST_FPERIOD_OVERRIDE=FY","FILING_STATUS=MR","SCALING_FORMAT=MLN","FA_ADJUSTED=Adjusted","Sort=A","Dates=H","DateFormat=P","Fill=—","Direction=H","UseDPDF=Y")</f>
        <v>-7.3259999999999996</v>
      </c>
      <c r="AB38" s="12">
        <f>_xll.BDH("RMS FP Equity","IS_NET_INTEREST_EXPENSE","FY 2016","FY 2016","Currency=USD","Period=FY","BEST_FPERIOD_OVERRIDE=FY","FILING_STATUS=MR","SCALING_FORMAT=MLN","FA_ADJUSTED=Adjusted","Sort=A","Dates=H","DateFormat=P","Fill=—","Direction=H","UseDPDF=Y")</f>
        <v>-4.6486999999999998</v>
      </c>
      <c r="AC38" s="12">
        <f>_xll.BDH("RMS FP Equity","IS_NET_INTEREST_EXPENSE","FY 2017","FY 2017","Currency=USD","Period=FY","BEST_FPERIOD_OVERRIDE=FY","FILING_STATUS=MR","SCALING_FORMAT=MLN","FA_ADJUSTED=Adjusted","Sort=A","Dates=H","DateFormat=P","Fill=—","Direction=H","UseDPDF=Y")</f>
        <v>-9.7156000000000002</v>
      </c>
      <c r="AD38" s="12"/>
      <c r="AE38" s="12"/>
    </row>
    <row r="39" spans="1:31" x14ac:dyDescent="0.25">
      <c r="A39" s="11" t="s">
        <v>65</v>
      </c>
      <c r="B39" s="11" t="s">
        <v>98</v>
      </c>
      <c r="C39" s="16" t="s">
        <v>66</v>
      </c>
      <c r="D39" s="16" t="s">
        <v>66</v>
      </c>
      <c r="E39" s="16" t="s">
        <v>66</v>
      </c>
      <c r="F39" s="16" t="s">
        <v>66</v>
      </c>
      <c r="G39" s="16" t="s">
        <v>66</v>
      </c>
      <c r="H39" s="16" t="s">
        <v>66</v>
      </c>
      <c r="I39" s="16" t="s">
        <v>66</v>
      </c>
      <c r="J39" s="16" t="s">
        <v>66</v>
      </c>
      <c r="K39" s="16" t="s">
        <v>66</v>
      </c>
      <c r="L39" s="16" t="s">
        <v>66</v>
      </c>
      <c r="M39" s="16" t="s">
        <v>66</v>
      </c>
      <c r="N39" s="16" t="s">
        <v>66</v>
      </c>
      <c r="O39" s="16" t="s">
        <v>66</v>
      </c>
      <c r="P39" s="16" t="s">
        <v>66</v>
      </c>
      <c r="Q39" s="16" t="s">
        <v>66</v>
      </c>
      <c r="R39" s="16" t="s">
        <v>66</v>
      </c>
      <c r="S39" s="16" t="s">
        <v>66</v>
      </c>
      <c r="T39" s="16" t="s">
        <v>66</v>
      </c>
      <c r="U39" s="16">
        <v>71.761024891546796</v>
      </c>
      <c r="V39" s="16">
        <v>18.454867525223001</v>
      </c>
      <c r="W39" s="16">
        <v>-129.59854001416201</v>
      </c>
      <c r="X39" s="16">
        <v>13.807485276215401</v>
      </c>
      <c r="Y39" s="16">
        <v>45.187416423885402</v>
      </c>
      <c r="Z39" s="16">
        <v>-21.169809364914499</v>
      </c>
      <c r="AA39" s="16">
        <v>12.4669587996858</v>
      </c>
      <c r="AB39" s="16">
        <v>36.545693890409801</v>
      </c>
      <c r="AC39" s="16">
        <v>-108.997056810315</v>
      </c>
      <c r="AD39" s="16"/>
      <c r="AE39" s="16"/>
    </row>
    <row r="40" spans="1:31" x14ac:dyDescent="0.25">
      <c r="A40" s="11" t="s">
        <v>99</v>
      </c>
      <c r="B40" s="11" t="s">
        <v>100</v>
      </c>
      <c r="C40" s="16">
        <f>_xll.BDH("RMS FP Equity","IS_INT_EXPENSE","FY 1991","FY 1991","Currency=USD","Period=FY","BEST_FPERIOD_OVERRIDE=FY","FILING_STATUS=MR","SCALING_FORMAT=MLN","FA_ADJUSTED=Adjusted","Sort=A","Dates=H","DateFormat=P","Fill=—","Direction=H","UseDPDF=Y")</f>
        <v>11.5053</v>
      </c>
      <c r="D40" s="16">
        <f>_xll.BDH("RMS FP Equity","IS_INT_EXPENSE","FY 1992","FY 1992","Currency=USD","Period=FY","BEST_FPERIOD_OVERRIDE=FY","FILING_STATUS=MR","SCALING_FORMAT=MLN","FA_ADJUSTED=Adjusted","Sort=A","Dates=H","DateFormat=P","Fill=—","Direction=H","UseDPDF=Y")</f>
        <v>11.209199999999999</v>
      </c>
      <c r="E40" s="16">
        <f>_xll.BDH("RMS FP Equity","IS_INT_EXPENSE","FY 1993","FY 1993","Currency=USD","Period=FY","BEST_FPERIOD_OVERRIDE=FY","FILING_STATUS=MR","SCALING_FORMAT=MLN","FA_ADJUSTED=Adjusted","Sort=A","Dates=H","DateFormat=P","Fill=—","Direction=H","UseDPDF=Y")</f>
        <v>5.8131000000000004</v>
      </c>
      <c r="F40" s="16">
        <f>_xll.BDH("RMS FP Equity","IS_INT_EXPENSE","FY 1994","FY 1994","Currency=USD","Period=FY","BEST_FPERIOD_OVERRIDE=FY","FILING_STATUS=MR","SCALING_FORMAT=MLN","FA_ADJUSTED=Adjusted","Sort=A","Dates=H","DateFormat=P","Fill=—","Direction=H","UseDPDF=Y")</f>
        <v>4.6604999999999999</v>
      </c>
      <c r="G40" s="16">
        <f>_xll.BDH("RMS FP Equity","IS_INT_EXPENSE","FY 1995","FY 1995","Currency=USD","Period=FY","BEST_FPERIOD_OVERRIDE=FY","FILING_STATUS=MR","SCALING_FORMAT=MLN","FA_ADJUSTED=Adjusted","Sort=A","Dates=H","DateFormat=P","Fill=—","Direction=H","UseDPDF=Y")</f>
        <v>5.7198000000000002</v>
      </c>
      <c r="H40" s="16">
        <f>_xll.BDH("RMS FP Equity","IS_INT_EXPENSE","FY 1996","FY 1996","Currency=USD","Period=FY","BEST_FPERIOD_OVERRIDE=FY","FILING_STATUS=MR","SCALING_FORMAT=MLN","FA_ADJUSTED=Adjusted","Sort=A","Dates=H","DateFormat=P","Fill=—","Direction=H","UseDPDF=Y")</f>
        <v>5.0465</v>
      </c>
      <c r="I40" s="16">
        <f>_xll.BDH("RMS FP Equity","IS_INT_EXPENSE","FY 1997","FY 1997","Currency=USD","Period=FY","BEST_FPERIOD_OVERRIDE=FY","FILING_STATUS=MR","SCALING_FORMAT=MLN","FA_ADJUSTED=Adjusted","Sort=A","Dates=H","DateFormat=P","Fill=—","Direction=H","UseDPDF=Y")</f>
        <v>7.8071999999999999</v>
      </c>
      <c r="J40" s="16">
        <f>_xll.BDH("RMS FP Equity","IS_INT_EXPENSE","FY 1998","FY 1998","Currency=USD","Period=FY","BEST_FPERIOD_OVERRIDE=FY","FILING_STATUS=MR","SCALING_FORMAT=MLN","FA_ADJUSTED=Adjusted","Sort=A","Dates=H","DateFormat=P","Fill=—","Direction=H","UseDPDF=Y")</f>
        <v>7.7783999999999995</v>
      </c>
      <c r="K40" s="16">
        <f>_xll.BDH("RMS FP Equity","IS_INT_EXPENSE","FY 1999","FY 1999","Currency=USD","Period=FY","BEST_FPERIOD_OVERRIDE=FY","FILING_STATUS=MR","SCALING_FORMAT=MLN","FA_ADJUSTED=Adjusted","Sort=A","Dates=H","DateFormat=P","Fill=—","Direction=H","UseDPDF=Y")</f>
        <v>5.4268999999999998</v>
      </c>
      <c r="L40" s="16">
        <f>_xll.BDH("RMS FP Equity","IS_INT_EXPENSE","FY 2000","FY 2000","Currency=USD","Period=FY","BEST_FPERIOD_OVERRIDE=FY","FILING_STATUS=MR","SCALING_FORMAT=MLN","FA_ADJUSTED=Adjusted","Sort=A","Dates=H","DateFormat=P","Fill=—","Direction=H","UseDPDF=Y")</f>
        <v>5.7580999999999998</v>
      </c>
      <c r="M40" s="16">
        <f>_xll.BDH("RMS FP Equity","IS_INT_EXPENSE","FY 2001","FY 2001","Currency=USD","Period=FY","BEST_FPERIOD_OVERRIDE=FY","FILING_STATUS=MR","SCALING_FORMAT=MLN","FA_ADJUSTED=Adjusted","Sort=A","Dates=H","DateFormat=P","Fill=—","Direction=H","UseDPDF=Y")</f>
        <v>6.7172000000000001</v>
      </c>
      <c r="N40" s="16">
        <f>_xll.BDH("RMS FP Equity","IS_INT_EXPENSE","FY 2002","FY 2002","Currency=USD","Period=FY","BEST_FPERIOD_OVERRIDE=FY","FILING_STATUS=MR","SCALING_FORMAT=MLN","FA_ADJUSTED=Adjusted","Sort=A","Dates=H","DateFormat=P","Fill=—","Direction=H","UseDPDF=Y")</f>
        <v>4.9180000000000001</v>
      </c>
      <c r="O40" s="16">
        <f>_xll.BDH("RMS FP Equity","IS_INT_EXPENSE","FY 2003","FY 2003","Currency=USD","Period=FY","BEST_FPERIOD_OVERRIDE=FY","FILING_STATUS=MR","SCALING_FORMAT=MLN","FA_ADJUSTED=Adjusted","Sort=A","Dates=H","DateFormat=P","Fill=—","Direction=H","UseDPDF=Y")</f>
        <v>4.7562999999999995</v>
      </c>
      <c r="P40" s="16">
        <f>_xll.BDH("RMS FP Equity","IS_INT_EXPENSE","FY 2004","FY 2004","Currency=USD","Period=FY","BEST_FPERIOD_OVERRIDE=FY","FILING_STATUS=MR","SCALING_FORMAT=MLN","FA_ADJUSTED=Adjusted","Sort=A","Dates=H","DateFormat=P","Fill=—","Direction=H","UseDPDF=Y")</f>
        <v>1.3686</v>
      </c>
      <c r="Q40" s="16">
        <f>_xll.BDH("RMS FP Equity","IS_INT_EXPENSE","FY 2005","FY 2005","Currency=USD","Period=FY","BEST_FPERIOD_OVERRIDE=FY","FILING_STATUS=MR","SCALING_FORMAT=MLN","FA_ADJUSTED=Adjusted","Sort=A","Dates=H","DateFormat=P","Fill=—","Direction=H","UseDPDF=Y")</f>
        <v>0.24879999999999999</v>
      </c>
      <c r="R40" s="16">
        <f>_xll.BDH("RMS FP Equity","IS_INT_EXPENSE","FY 2006","FY 2006","Currency=USD","Period=FY","BEST_FPERIOD_OVERRIDE=FY","FILING_STATUS=MR","SCALING_FORMAT=MLN","FA_ADJUSTED=Adjusted","Sort=A","Dates=H","DateFormat=P","Fill=—","Direction=H","UseDPDF=Y")</f>
        <v>1.0051000000000001</v>
      </c>
      <c r="S40" s="16">
        <f>_xll.BDH("RMS FP Equity","IS_INT_EXPENSE","FY 2007","FY 2007","Currency=USD","Period=FY","BEST_FPERIOD_OVERRIDE=FY","FILING_STATUS=MR","SCALING_FORMAT=MLN","FA_ADJUSTED=Adjusted","Sort=A","Dates=H","DateFormat=P","Fill=—","Direction=H","UseDPDF=Y")</f>
        <v>0</v>
      </c>
      <c r="T40" s="16">
        <f>_xll.BDH("RMS FP Equity","IS_INT_EXPENSE","FY 2008","FY 2008","Currency=USD","Period=FY","BEST_FPERIOD_OVERRIDE=FY","FILING_STATUS=MR","SCALING_FORMAT=MLN","FA_ADJUSTED=Adjusted","Sort=A","Dates=H","DateFormat=P","Fill=—","Direction=H","UseDPDF=Y")</f>
        <v>0</v>
      </c>
      <c r="U40" s="16">
        <f>_xll.BDH("RMS FP Equity","IS_INT_EXPENSE","FY 2009","FY 2009","Currency=USD","Period=FY","BEST_FPERIOD_OVERRIDE=FY","FILING_STATUS=MR","SCALING_FORMAT=MLN","FA_ADJUSTED=Adjusted","Sort=A","Dates=H","DateFormat=P","Fill=—","Direction=H","UseDPDF=Y")</f>
        <v>0</v>
      </c>
      <c r="V40" s="16">
        <f>_xll.BDH("RMS FP Equity","IS_INT_EXPENSE","FY 2010","FY 2010","Currency=USD","Period=FY","BEST_FPERIOD_OVERRIDE=FY","FILING_STATUS=MR","SCALING_FORMAT=MLN","FA_ADJUSTED=Adjusted","Sort=A","Dates=H","DateFormat=P","Fill=—","Direction=H","UseDPDF=Y")</f>
        <v>0.39800000000000002</v>
      </c>
      <c r="W40" s="16">
        <f>_xll.BDH("RMS FP Equity","IS_INT_EXPENSE","FY 2011","FY 2011","Currency=USD","Period=FY","BEST_FPERIOD_OVERRIDE=FY","FILING_STATUS=MR","SCALING_FORMAT=MLN","FA_ADJUSTED=Adjusted","Sort=A","Dates=H","DateFormat=P","Fill=—","Direction=H","UseDPDF=Y")</f>
        <v>0.55700000000000005</v>
      </c>
      <c r="X40" s="16">
        <f>_xll.BDH("RMS FP Equity","IS_INT_EXPENSE","FY 2012","FY 2012","Currency=USD","Period=FY","BEST_FPERIOD_OVERRIDE=FY","FILING_STATUS=MR","SCALING_FORMAT=MLN","FA_ADJUSTED=Adjusted","Sort=A","Dates=H","DateFormat=P","Fill=—","Direction=H","UseDPDF=Y")</f>
        <v>1.9287999999999998</v>
      </c>
      <c r="Y40" s="16">
        <f>_xll.BDH("RMS FP Equity","IS_INT_EXPENSE","FY 2013","FY 2013","Currency=USD","Period=FY","BEST_FPERIOD_OVERRIDE=FY","FILING_STATUS=MR","SCALING_FORMAT=MLN","FA_ADJUSTED=Adjusted","Sort=A","Dates=H","DateFormat=P","Fill=—","Direction=H","UseDPDF=Y")</f>
        <v>1.3283</v>
      </c>
      <c r="Z40" s="16">
        <f>_xll.BDH("RMS FP Equity","IS_INT_EXPENSE","FY 2014","FY 2014","Currency=USD","Period=FY","BEST_FPERIOD_OVERRIDE=FY","FILING_STATUS=MR","SCALING_FORMAT=MLN","FA_ADJUSTED=Adjusted","Sort=A","Dates=H","DateFormat=P","Fill=—","Direction=H","UseDPDF=Y")</f>
        <v>0.53139999999999998</v>
      </c>
      <c r="AA40" s="16">
        <f>_xll.BDH("RMS FP Equity","IS_INT_EXPENSE","FY 2015","FY 2015","Currency=USD","Period=FY","BEST_FPERIOD_OVERRIDE=FY","FILING_STATUS=MR","SCALING_FORMAT=MLN","FA_ADJUSTED=Adjusted","Sort=A","Dates=H","DateFormat=P","Fill=—","Direction=H","UseDPDF=Y")</f>
        <v>0.77700000000000002</v>
      </c>
      <c r="AB40" s="16">
        <f>_xll.BDH("RMS FP Equity","IS_INT_EXPENSE","FY 2016","FY 2016","Currency=USD","Period=FY","BEST_FPERIOD_OVERRIDE=FY","FILING_STATUS=MR","SCALING_FORMAT=MLN","FA_ADJUSTED=Adjusted","Sort=A","Dates=H","DateFormat=P","Fill=—","Direction=H","UseDPDF=Y")</f>
        <v>1.6602000000000001</v>
      </c>
      <c r="AC40" s="16">
        <f>_xll.BDH("RMS FP Equity","IS_INT_EXPENSE","FY 2017","FY 2017","Currency=USD","Period=FY","BEST_FPERIOD_OVERRIDE=FY","FILING_STATUS=MR","SCALING_FORMAT=MLN","FA_ADJUSTED=Adjusted","Sort=A","Dates=H","DateFormat=P","Fill=—","Direction=H","UseDPDF=Y")</f>
        <v>0</v>
      </c>
      <c r="AD40" s="16"/>
      <c r="AE40" s="16"/>
    </row>
    <row r="41" spans="1:31" x14ac:dyDescent="0.25">
      <c r="A41" s="11" t="s">
        <v>65</v>
      </c>
      <c r="B41" s="11" t="s">
        <v>100</v>
      </c>
      <c r="C41" s="16" t="s">
        <v>66</v>
      </c>
      <c r="D41" s="16">
        <v>-8.5007669999999997</v>
      </c>
      <c r="E41" s="16">
        <v>-44.425674000000001</v>
      </c>
      <c r="F41" s="16">
        <v>-21.580552999999998</v>
      </c>
      <c r="G41" s="16">
        <v>10.465120000000001</v>
      </c>
      <c r="H41" s="16">
        <v>-9.473687</v>
      </c>
      <c r="I41" s="16">
        <v>76.356594000000001</v>
      </c>
      <c r="J41" s="16">
        <v>0.65933900000000001</v>
      </c>
      <c r="K41" s="16">
        <v>-27.074231000000001</v>
      </c>
      <c r="L41" s="16">
        <v>22.455089999999998</v>
      </c>
      <c r="M41" s="16">
        <v>20.285508</v>
      </c>
      <c r="N41" s="16">
        <v>-30.666667</v>
      </c>
      <c r="O41" s="16">
        <v>-19.230768999999999</v>
      </c>
      <c r="P41" s="16">
        <v>-73.809522999999999</v>
      </c>
      <c r="Q41" s="16">
        <v>-81.818181999999993</v>
      </c>
      <c r="R41" s="16">
        <v>299.99999400000002</v>
      </c>
      <c r="S41" s="16" t="s">
        <v>66</v>
      </c>
      <c r="T41" s="16" t="s">
        <v>66</v>
      </c>
      <c r="U41" s="16" t="s">
        <v>66</v>
      </c>
      <c r="V41" s="16" t="s">
        <v>66</v>
      </c>
      <c r="W41" s="16">
        <v>33.333333000000003</v>
      </c>
      <c r="X41" s="16">
        <v>275</v>
      </c>
      <c r="Y41" s="16">
        <v>-33.333333000000003</v>
      </c>
      <c r="Z41" s="16">
        <v>-60</v>
      </c>
      <c r="AA41" s="16">
        <v>75</v>
      </c>
      <c r="AB41" s="16">
        <v>114.285714</v>
      </c>
      <c r="AC41" s="16" t="s">
        <v>66</v>
      </c>
      <c r="AD41" s="16"/>
      <c r="AE41" s="16"/>
    </row>
    <row r="42" spans="1:31" x14ac:dyDescent="0.25">
      <c r="A42" s="11" t="s">
        <v>101</v>
      </c>
      <c r="B42" s="11" t="s">
        <v>102</v>
      </c>
      <c r="C42" s="16" t="str">
        <f>_xll.BDH("RMS FP Equity","IS_INT_INC","FY 1991","FY 1991","Currency=USD","Period=FY","BEST_FPERIOD_OVERRIDE=FY","FILING_STATUS=MR","SCALING_FORMAT=MLN","FA_ADJUSTED=Adjusted","Sort=A","Dates=H","DateFormat=P","Fill=—","Direction=H","UseDPDF=Y")</f>
        <v>—</v>
      </c>
      <c r="D42" s="16" t="str">
        <f>_xll.BDH("RMS FP Equity","IS_INT_INC","FY 1992","FY 1992","Currency=USD","Period=FY","BEST_FPERIOD_OVERRIDE=FY","FILING_STATUS=MR","SCALING_FORMAT=MLN","FA_ADJUSTED=Adjusted","Sort=A","Dates=H","DateFormat=P","Fill=—","Direction=H","UseDPDF=Y")</f>
        <v>—</v>
      </c>
      <c r="E42" s="16" t="str">
        <f>_xll.BDH("RMS FP Equity","IS_INT_INC","FY 1993","FY 1993","Currency=USD","Period=FY","BEST_FPERIOD_OVERRIDE=FY","FILING_STATUS=MR","SCALING_FORMAT=MLN","FA_ADJUSTED=Adjusted","Sort=A","Dates=H","DateFormat=P","Fill=—","Direction=H","UseDPDF=Y")</f>
        <v>—</v>
      </c>
      <c r="F42" s="16" t="str">
        <f>_xll.BDH("RMS FP Equity","IS_INT_INC","FY 1994","FY 1994","Currency=USD","Period=FY","BEST_FPERIOD_OVERRIDE=FY","FILING_STATUS=MR","SCALING_FORMAT=MLN","FA_ADJUSTED=Adjusted","Sort=A","Dates=H","DateFormat=P","Fill=—","Direction=H","UseDPDF=Y")</f>
        <v>—</v>
      </c>
      <c r="G42" s="16" t="str">
        <f>_xll.BDH("RMS FP Equity","IS_INT_INC","FY 1995","FY 1995","Currency=USD","Period=FY","BEST_FPERIOD_OVERRIDE=FY","FILING_STATUS=MR","SCALING_FORMAT=MLN","FA_ADJUSTED=Adjusted","Sort=A","Dates=H","DateFormat=P","Fill=—","Direction=H","UseDPDF=Y")</f>
        <v>—</v>
      </c>
      <c r="H42" s="16" t="str">
        <f>_xll.BDH("RMS FP Equity","IS_INT_INC","FY 1996","FY 1996","Currency=USD","Period=FY","BEST_FPERIOD_OVERRIDE=FY","FILING_STATUS=MR","SCALING_FORMAT=MLN","FA_ADJUSTED=Adjusted","Sort=A","Dates=H","DateFormat=P","Fill=—","Direction=H","UseDPDF=Y")</f>
        <v>—</v>
      </c>
      <c r="I42" s="16" t="str">
        <f>_xll.BDH("RMS FP Equity","IS_INT_INC","FY 1997","FY 1997","Currency=USD","Period=FY","BEST_FPERIOD_OVERRIDE=FY","FILING_STATUS=MR","SCALING_FORMAT=MLN","FA_ADJUSTED=Adjusted","Sort=A","Dates=H","DateFormat=P","Fill=—","Direction=H","UseDPDF=Y")</f>
        <v>—</v>
      </c>
      <c r="J42" s="16" t="str">
        <f>_xll.BDH("RMS FP Equity","IS_INT_INC","FY 1998","FY 1998","Currency=USD","Period=FY","BEST_FPERIOD_OVERRIDE=FY","FILING_STATUS=MR","SCALING_FORMAT=MLN","FA_ADJUSTED=Adjusted","Sort=A","Dates=H","DateFormat=P","Fill=—","Direction=H","UseDPDF=Y")</f>
        <v>—</v>
      </c>
      <c r="K42" s="16" t="str">
        <f>_xll.BDH("RMS FP Equity","IS_INT_INC","FY 1999","FY 1999","Currency=USD","Period=FY","BEST_FPERIOD_OVERRIDE=FY","FILING_STATUS=MR","SCALING_FORMAT=MLN","FA_ADJUSTED=Adjusted","Sort=A","Dates=H","DateFormat=P","Fill=—","Direction=H","UseDPDF=Y")</f>
        <v>—</v>
      </c>
      <c r="L42" s="16" t="str">
        <f>_xll.BDH("RMS FP Equity","IS_INT_INC","FY 2000","FY 2000","Currency=USD","Period=FY","BEST_FPERIOD_OVERRIDE=FY","FILING_STATUS=MR","SCALING_FORMAT=MLN","FA_ADJUSTED=Adjusted","Sort=A","Dates=H","DateFormat=P","Fill=—","Direction=H","UseDPDF=Y")</f>
        <v>—</v>
      </c>
      <c r="M42" s="16" t="str">
        <f>_xll.BDH("RMS FP Equity","IS_INT_INC","FY 2001","FY 2001","Currency=USD","Period=FY","BEST_FPERIOD_OVERRIDE=FY","FILING_STATUS=MR","SCALING_FORMAT=MLN","FA_ADJUSTED=Adjusted","Sort=A","Dates=H","DateFormat=P","Fill=—","Direction=H","UseDPDF=Y")</f>
        <v>—</v>
      </c>
      <c r="N42" s="16">
        <f>_xll.BDH("RMS FP Equity","IS_INT_INC","FY 2002","FY 2002","Currency=USD","Period=FY","BEST_FPERIOD_OVERRIDE=FY","FILING_STATUS=MR","SCALING_FORMAT=MLN","FA_ADJUSTED=Adjusted","Sort=A","Dates=H","DateFormat=P","Fill=—","Direction=H","UseDPDF=Y")</f>
        <v>12.1059</v>
      </c>
      <c r="O42" s="16">
        <f>_xll.BDH("RMS FP Equity","IS_INT_INC","FY 2003","FY 2003","Currency=USD","Period=FY","BEST_FPERIOD_OVERRIDE=FY","FILING_STATUS=MR","SCALING_FORMAT=MLN","FA_ADJUSTED=Adjusted","Sort=A","Dates=H","DateFormat=P","Fill=—","Direction=H","UseDPDF=Y")</f>
        <v>12.230600000000001</v>
      </c>
      <c r="P42" s="16">
        <f>_xll.BDH("RMS FP Equity","IS_INT_INC","FY 2004","FY 2004","Currency=USD","Period=FY","BEST_FPERIOD_OVERRIDE=FY","FILING_STATUS=MR","SCALING_FORMAT=MLN","FA_ADJUSTED=Adjusted","Sort=A","Dates=H","DateFormat=P","Fill=—","Direction=H","UseDPDF=Y")</f>
        <v>10.8247</v>
      </c>
      <c r="Q42" s="16">
        <f>_xll.BDH("RMS FP Equity","IS_INT_INC","FY 2005","FY 2005","Currency=USD","Period=FY","BEST_FPERIOD_OVERRIDE=FY","FILING_STATUS=MR","SCALING_FORMAT=MLN","FA_ADJUSTED=Adjusted","Sort=A","Dates=H","DateFormat=P","Fill=—","Direction=H","UseDPDF=Y")</f>
        <v>13.9352</v>
      </c>
      <c r="R42" s="16">
        <f>_xll.BDH("RMS FP Equity","IS_INT_INC","FY 2006","FY 2006","Currency=USD","Period=FY","BEST_FPERIOD_OVERRIDE=FY","FILING_STATUS=MR","SCALING_FORMAT=MLN","FA_ADJUSTED=Adjusted","Sort=A","Dates=H","DateFormat=P","Fill=—","Direction=H","UseDPDF=Y")</f>
        <v>17.212499999999999</v>
      </c>
      <c r="S42" s="16">
        <f>_xll.BDH("RMS FP Equity","IS_INT_INC","FY 2007","FY 2007","Currency=USD","Period=FY","BEST_FPERIOD_OVERRIDE=FY","FILING_STATUS=MR","SCALING_FORMAT=MLN","FA_ADJUSTED=Adjusted","Sort=A","Dates=H","DateFormat=P","Fill=—","Direction=H","UseDPDF=Y")</f>
        <v>26.182200000000002</v>
      </c>
      <c r="T42" s="16">
        <f>_xll.BDH("RMS FP Equity","IS_INT_INC","FY 2008","FY 2008","Currency=USD","Period=FY","BEST_FPERIOD_OVERRIDE=FY","FILING_STATUS=MR","SCALING_FORMAT=MLN","FA_ADJUSTED=Adjusted","Sort=A","Dates=H","DateFormat=P","Fill=—","Direction=H","UseDPDF=Y")</f>
        <v>27.652699999999999</v>
      </c>
      <c r="U42" s="16">
        <f>_xll.BDH("RMS FP Equity","IS_INT_INC","FY 2009","FY 2009","Currency=USD","Period=FY","BEST_FPERIOD_OVERRIDE=FY","FILING_STATUS=MR","SCALING_FORMAT=MLN","FA_ADJUSTED=Adjusted","Sort=A","Dates=H","DateFormat=P","Fill=—","Direction=H","UseDPDF=Y")</f>
        <v>7.8087999999999997</v>
      </c>
      <c r="V42" s="16">
        <f>_xll.BDH("RMS FP Equity","IS_INT_INC","FY 2010","FY 2010","Currency=USD","Period=FY","BEST_FPERIOD_OVERRIDE=FY","FILING_STATUS=MR","SCALING_FORMAT=MLN","FA_ADJUSTED=Adjusted","Sort=A","Dates=H","DateFormat=P","Fill=—","Direction=H","UseDPDF=Y")</f>
        <v>6.7656999999999998</v>
      </c>
      <c r="W42" s="16">
        <f>_xll.BDH("RMS FP Equity","IS_INT_INC","FY 2011","FY 2011","Currency=USD","Period=FY","BEST_FPERIOD_OVERRIDE=FY","FILING_STATUS=MR","SCALING_FORMAT=MLN","FA_ADJUSTED=Adjusted","Sort=A","Dates=H","DateFormat=P","Fill=—","Direction=H","UseDPDF=Y")</f>
        <v>15.177199999999999</v>
      </c>
      <c r="X42" s="16">
        <f>_xll.BDH("RMS FP Equity","IS_INT_INC","FY 2012","FY 2012","Currency=USD","Period=FY","BEST_FPERIOD_OVERRIDE=FY","FILING_STATUS=MR","SCALING_FORMAT=MLN","FA_ADJUSTED=Adjusted","Sort=A","Dates=H","DateFormat=P","Fill=—","Direction=H","UseDPDF=Y")</f>
        <v>14.5303</v>
      </c>
      <c r="Y42" s="16">
        <f>_xll.BDH("RMS FP Equity","IS_INT_INC","FY 2013","FY 2013","Currency=USD","Period=FY","BEST_FPERIOD_OVERRIDE=FY","FILING_STATUS=MR","SCALING_FORMAT=MLN","FA_ADJUSTED=Adjusted","Sort=A","Dates=H","DateFormat=P","Fill=—","Direction=H","UseDPDF=Y")</f>
        <v>8.2355</v>
      </c>
      <c r="Z42" s="16">
        <f>_xll.BDH("RMS FP Equity","IS_INT_INC","FY 2014","FY 2014","Currency=USD","Period=FY","BEST_FPERIOD_OVERRIDE=FY","FILING_STATUS=MR","SCALING_FORMAT=MLN","FA_ADJUSTED=Adjusted","Sort=A","Dates=H","DateFormat=P","Fill=—","Direction=H","UseDPDF=Y")</f>
        <v>8.9009</v>
      </c>
      <c r="AA42" s="16">
        <f>_xll.BDH("RMS FP Equity","IS_INT_INC","FY 2015","FY 2015","Currency=USD","Period=FY","BEST_FPERIOD_OVERRIDE=FY","FILING_STATUS=MR","SCALING_FORMAT=MLN","FA_ADJUSTED=Adjusted","Sort=A","Dates=H","DateFormat=P","Fill=—","Direction=H","UseDPDF=Y")</f>
        <v>8.1029999999999998</v>
      </c>
      <c r="AB42" s="16">
        <f>_xll.BDH("RMS FP Equity","IS_INT_INC","FY 2016","FY 2016","Currency=USD","Period=FY","BEST_FPERIOD_OVERRIDE=FY","FILING_STATUS=MR","SCALING_FORMAT=MLN","FA_ADJUSTED=Adjusted","Sort=A","Dates=H","DateFormat=P","Fill=—","Direction=H","UseDPDF=Y")</f>
        <v>6.3089000000000004</v>
      </c>
      <c r="AC42" s="16">
        <f>_xll.BDH("RMS FP Equity","IS_INT_INC","FY 2017","FY 2017","Currency=USD","Period=FY","BEST_FPERIOD_OVERRIDE=FY","FILING_STATUS=MR","SCALING_FORMAT=MLN","FA_ADJUSTED=Adjusted","Sort=A","Dates=H","DateFormat=P","Fill=—","Direction=H","UseDPDF=Y")</f>
        <v>9.7156000000000002</v>
      </c>
      <c r="AD42" s="16"/>
      <c r="AE42" s="16"/>
    </row>
    <row r="43" spans="1:31" x14ac:dyDescent="0.25">
      <c r="A43" s="11" t="s">
        <v>65</v>
      </c>
      <c r="B43" s="11" t="s">
        <v>102</v>
      </c>
      <c r="C43" s="16" t="s">
        <v>66</v>
      </c>
      <c r="D43" s="16" t="s">
        <v>66</v>
      </c>
      <c r="E43" s="16" t="s">
        <v>66</v>
      </c>
      <c r="F43" s="16" t="s">
        <v>66</v>
      </c>
      <c r="G43" s="16" t="s">
        <v>66</v>
      </c>
      <c r="H43" s="16" t="s">
        <v>66</v>
      </c>
      <c r="I43" s="16" t="s">
        <v>66</v>
      </c>
      <c r="J43" s="16" t="s">
        <v>66</v>
      </c>
      <c r="K43" s="16" t="s">
        <v>66</v>
      </c>
      <c r="L43" s="16" t="s">
        <v>66</v>
      </c>
      <c r="M43" s="16" t="s">
        <v>66</v>
      </c>
      <c r="N43" s="16" t="s">
        <v>66</v>
      </c>
      <c r="O43" s="16">
        <v>1.0296042083232999</v>
      </c>
      <c r="P43" s="16">
        <v>-11.494725873891101</v>
      </c>
      <c r="Q43" s="16">
        <v>28.735673490081201</v>
      </c>
      <c r="R43" s="16">
        <v>23.517981576916299</v>
      </c>
      <c r="S43" s="16">
        <v>52.111651744680501</v>
      </c>
      <c r="T43" s="16">
        <v>5.6162896618892599</v>
      </c>
      <c r="U43" s="16">
        <v>-71.761024891546796</v>
      </c>
      <c r="V43" s="16">
        <v>-13.3582879414305</v>
      </c>
      <c r="W43" s="16">
        <v>124.32482765684701</v>
      </c>
      <c r="X43" s="16">
        <v>-4.2619239683675101</v>
      </c>
      <c r="Y43" s="16">
        <v>-43.3217715507473</v>
      </c>
      <c r="Z43" s="16">
        <v>8.0787528105318103</v>
      </c>
      <c r="AA43" s="16">
        <v>-8.9632586477501608</v>
      </c>
      <c r="AB43" s="16">
        <v>-22.1411856406874</v>
      </c>
      <c r="AC43" s="16">
        <v>53.997813898608797</v>
      </c>
      <c r="AD43" s="16"/>
      <c r="AE43" s="16"/>
    </row>
    <row r="44" spans="1:31" x14ac:dyDescent="0.25">
      <c r="A44" s="10" t="s">
        <v>103</v>
      </c>
      <c r="B44" s="10" t="s">
        <v>104</v>
      </c>
      <c r="C44" s="12">
        <f>_xll.BDH("RMS FP Equity","IS_FOREIGN_EXCH_LOSS","FY 1991","FY 1991","Currency=USD","Period=FY","BEST_FPERIOD_OVERRIDE=FY","FILING_STATUS=MR","SCALING_FORMAT=MLN","FA_ADJUSTED=Adjusted","Sort=A","Dates=H","DateFormat=P","Fill=—","Direction=H","UseDPDF=Y")</f>
        <v>-0.4446</v>
      </c>
      <c r="D44" s="12">
        <f>_xll.BDH("RMS FP Equity","IS_FOREIGN_EXCH_LOSS","FY 1992","FY 1992","Currency=USD","Period=FY","BEST_FPERIOD_OVERRIDE=FY","FILING_STATUS=MR","SCALING_FORMAT=MLN","FA_ADJUSTED=Adjusted","Sort=A","Dates=H","DateFormat=P","Fill=—","Direction=H","UseDPDF=Y")</f>
        <v>-1.0414000000000001</v>
      </c>
      <c r="E44" s="12">
        <f>_xll.BDH("RMS FP Equity","IS_FOREIGN_EXCH_LOSS","FY 1993","FY 1993","Currency=USD","Period=FY","BEST_FPERIOD_OVERRIDE=FY","FILING_STATUS=MR","SCALING_FORMAT=MLN","FA_ADJUSTED=Adjusted","Sort=A","Dates=H","DateFormat=P","Fill=—","Direction=H","UseDPDF=Y")</f>
        <v>-3.2334000000000001</v>
      </c>
      <c r="F44" s="12">
        <f>_xll.BDH("RMS FP Equity","IS_FOREIGN_EXCH_LOSS","FY 1994","FY 1994","Currency=USD","Period=FY","BEST_FPERIOD_OVERRIDE=FY","FILING_STATUS=MR","SCALING_FORMAT=MLN","FA_ADJUSTED=Adjusted","Sort=A","Dates=H","DateFormat=P","Fill=—","Direction=H","UseDPDF=Y")</f>
        <v>-1.2464</v>
      </c>
      <c r="G44" s="12">
        <f>_xll.BDH("RMS FP Equity","IS_FOREIGN_EXCH_LOSS","FY 1995","FY 1995","Currency=USD","Period=FY","BEST_FPERIOD_OVERRIDE=FY","FILING_STATUS=MR","SCALING_FORMAT=MLN","FA_ADJUSTED=Adjusted","Sort=A","Dates=H","DateFormat=P","Fill=—","Direction=H","UseDPDF=Y")</f>
        <v>0.18060000000000001</v>
      </c>
      <c r="H44" s="12">
        <f>_xll.BDH("RMS FP Equity","IS_FOREIGN_EXCH_LOSS","FY 1996","FY 1996","Currency=USD","Period=FY","BEST_FPERIOD_OVERRIDE=FY","FILING_STATUS=MR","SCALING_FORMAT=MLN","FA_ADJUSTED=Adjusted","Sort=A","Dates=H","DateFormat=P","Fill=—","Direction=H","UseDPDF=Y")</f>
        <v>-0.313</v>
      </c>
      <c r="I44" s="12">
        <f>_xll.BDH("RMS FP Equity","IS_FOREIGN_EXCH_LOSS","FY 1997","FY 1997","Currency=USD","Period=FY","BEST_FPERIOD_OVERRIDE=FY","FILING_STATUS=MR","SCALING_FORMAT=MLN","FA_ADJUSTED=Adjusted","Sort=A","Dates=H","DateFormat=P","Fill=—","Direction=H","UseDPDF=Y")</f>
        <v>0.29170000000000001</v>
      </c>
      <c r="J44" s="12">
        <f>_xll.BDH("RMS FP Equity","IS_FOREIGN_EXCH_LOSS","FY 1998","FY 1998","Currency=USD","Period=FY","BEST_FPERIOD_OVERRIDE=FY","FILING_STATUS=MR","SCALING_FORMAT=MLN","FA_ADJUSTED=Adjusted","Sort=A","Dates=H","DateFormat=P","Fill=—","Direction=H","UseDPDF=Y")</f>
        <v>0</v>
      </c>
      <c r="K44" s="12">
        <f>_xll.BDH("RMS FP Equity","IS_FOREIGN_EXCH_LOSS","FY 1999","FY 1999","Currency=USD","Period=FY","BEST_FPERIOD_OVERRIDE=FY","FILING_STATUS=MR","SCALING_FORMAT=MLN","FA_ADJUSTED=Adjusted","Sort=A","Dates=H","DateFormat=P","Fill=—","Direction=H","UseDPDF=Y")</f>
        <v>0</v>
      </c>
      <c r="L44" s="12">
        <f>_xll.BDH("RMS FP Equity","IS_FOREIGN_EXCH_LOSS","FY 2000","FY 2000","Currency=USD","Period=FY","BEST_FPERIOD_OVERRIDE=FY","FILING_STATUS=MR","SCALING_FORMAT=MLN","FA_ADJUSTED=Adjusted","Sort=A","Dates=H","DateFormat=P","Fill=—","Direction=H","UseDPDF=Y")</f>
        <v>0</v>
      </c>
      <c r="M44" s="12">
        <f>_xll.BDH("RMS FP Equity","IS_FOREIGN_EXCH_LOSS","FY 2001","FY 2001","Currency=USD","Period=FY","BEST_FPERIOD_OVERRIDE=FY","FILING_STATUS=MR","SCALING_FORMAT=MLN","FA_ADJUSTED=Adjusted","Sort=A","Dates=H","DateFormat=P","Fill=—","Direction=H","UseDPDF=Y")</f>
        <v>0</v>
      </c>
      <c r="N44" s="12" t="str">
        <f>_xll.BDH("RMS FP Equity","IS_FOREIGN_EXCH_LOSS","FY 2002","FY 2002","Currency=USD","Period=FY","BEST_FPERIOD_OVERRIDE=FY","FILING_STATUS=MR","SCALING_FORMAT=MLN","FA_ADJUSTED=Adjusted","Sort=A","Dates=H","DateFormat=P","Fill=—","Direction=H","UseDPDF=Y")</f>
        <v>—</v>
      </c>
      <c r="O44" s="12" t="str">
        <f>_xll.BDH("RMS FP Equity","IS_FOREIGN_EXCH_LOSS","FY 2003","FY 2003","Currency=USD","Period=FY","BEST_FPERIOD_OVERRIDE=FY","FILING_STATUS=MR","SCALING_FORMAT=MLN","FA_ADJUSTED=Adjusted","Sort=A","Dates=H","DateFormat=P","Fill=—","Direction=H","UseDPDF=Y")</f>
        <v>—</v>
      </c>
      <c r="P44" s="12" t="str">
        <f>_xll.BDH("RMS FP Equity","IS_FOREIGN_EXCH_LOSS","FY 2004","FY 2004","Currency=USD","Period=FY","BEST_FPERIOD_OVERRIDE=FY","FILING_STATUS=MR","SCALING_FORMAT=MLN","FA_ADJUSTED=Adjusted","Sort=A","Dates=H","DateFormat=P","Fill=—","Direction=H","UseDPDF=Y")</f>
        <v>—</v>
      </c>
      <c r="Q44" s="12" t="str">
        <f>_xll.BDH("RMS FP Equity","IS_FOREIGN_EXCH_LOSS","FY 2005","FY 2005","Currency=USD","Period=FY","BEST_FPERIOD_OVERRIDE=FY","FILING_STATUS=MR","SCALING_FORMAT=MLN","FA_ADJUSTED=Adjusted","Sort=A","Dates=H","DateFormat=P","Fill=—","Direction=H","UseDPDF=Y")</f>
        <v>—</v>
      </c>
      <c r="R44" s="12" t="str">
        <f>_xll.BDH("RMS FP Equity","IS_FOREIGN_EXCH_LOSS","FY 2006","FY 2006","Currency=USD","Period=FY","BEST_FPERIOD_OVERRIDE=FY","FILING_STATUS=MR","SCALING_FORMAT=MLN","FA_ADJUSTED=Adjusted","Sort=A","Dates=H","DateFormat=P","Fill=—","Direction=H","UseDPDF=Y")</f>
        <v>—</v>
      </c>
      <c r="S44" s="12" t="str">
        <f>_xll.BDH("RMS FP Equity","IS_FOREIGN_EXCH_LOSS","FY 2007","FY 2007","Currency=USD","Period=FY","BEST_FPERIOD_OVERRIDE=FY","FILING_STATUS=MR","SCALING_FORMAT=MLN","FA_ADJUSTED=Adjusted","Sort=A","Dates=H","DateFormat=P","Fill=—","Direction=H","UseDPDF=Y")</f>
        <v>—</v>
      </c>
      <c r="T44" s="12" t="str">
        <f>_xll.BDH("RMS FP Equity","IS_FOREIGN_EXCH_LOSS","FY 2008","FY 2008","Currency=USD","Period=FY","BEST_FPERIOD_OVERRIDE=FY","FILING_STATUS=MR","SCALING_FORMAT=MLN","FA_ADJUSTED=Adjusted","Sort=A","Dates=H","DateFormat=P","Fill=—","Direction=H","UseDPDF=Y")</f>
        <v>—</v>
      </c>
      <c r="U44" s="12" t="str">
        <f>_xll.BDH("RMS FP Equity","IS_FOREIGN_EXCH_LOSS","FY 2009","FY 2009","Currency=USD","Period=FY","BEST_FPERIOD_OVERRIDE=FY","FILING_STATUS=MR","SCALING_FORMAT=MLN","FA_ADJUSTED=Adjusted","Sort=A","Dates=H","DateFormat=P","Fill=—","Direction=H","UseDPDF=Y")</f>
        <v>—</v>
      </c>
      <c r="V44" s="12" t="str">
        <f>_xll.BDH("RMS FP Equity","IS_FOREIGN_EXCH_LOSS","FY 2010","FY 2010","Currency=USD","Period=FY","BEST_FPERIOD_OVERRIDE=FY","FILING_STATUS=MR","SCALING_FORMAT=MLN","FA_ADJUSTED=Adjusted","Sort=A","Dates=H","DateFormat=P","Fill=—","Direction=H","UseDPDF=Y")</f>
        <v>—</v>
      </c>
      <c r="W44" s="12" t="str">
        <f>_xll.BDH("RMS FP Equity","IS_FOREIGN_EXCH_LOSS","FY 2011","FY 2011","Currency=USD","Period=FY","BEST_FPERIOD_OVERRIDE=FY","FILING_STATUS=MR","SCALING_FORMAT=MLN","FA_ADJUSTED=Adjusted","Sort=A","Dates=H","DateFormat=P","Fill=—","Direction=H","UseDPDF=Y")</f>
        <v>—</v>
      </c>
      <c r="X44" s="12" t="str">
        <f>_xll.BDH("RMS FP Equity","IS_FOREIGN_EXCH_LOSS","FY 2012","FY 2012","Currency=USD","Period=FY","BEST_FPERIOD_OVERRIDE=FY","FILING_STATUS=MR","SCALING_FORMAT=MLN","FA_ADJUSTED=Adjusted","Sort=A","Dates=H","DateFormat=P","Fill=—","Direction=H","UseDPDF=Y")</f>
        <v>—</v>
      </c>
      <c r="Y44" s="12" t="str">
        <f>_xll.BDH("RMS FP Equity","IS_FOREIGN_EXCH_LOSS","FY 2013","FY 2013","Currency=USD","Period=FY","BEST_FPERIOD_OVERRIDE=FY","FILING_STATUS=MR","SCALING_FORMAT=MLN","FA_ADJUSTED=Adjusted","Sort=A","Dates=H","DateFormat=P","Fill=—","Direction=H","UseDPDF=Y")</f>
        <v>—</v>
      </c>
      <c r="Z44" s="12" t="str">
        <f>_xll.BDH("RMS FP Equity","IS_FOREIGN_EXCH_LOSS","FY 2014","FY 2014","Currency=USD","Period=FY","BEST_FPERIOD_OVERRIDE=FY","FILING_STATUS=MR","SCALING_FORMAT=MLN","FA_ADJUSTED=Adjusted","Sort=A","Dates=H","DateFormat=P","Fill=—","Direction=H","UseDPDF=Y")</f>
        <v>—</v>
      </c>
      <c r="AA44" s="12">
        <f>_xll.BDH("RMS FP Equity","IS_FOREIGN_EXCH_LOSS","FY 2015","FY 2015","Currency=USD","Period=FY","BEST_FPERIOD_OVERRIDE=FY","FILING_STATUS=MR","SCALING_FORMAT=MLN","FA_ADJUSTED=Adjusted","Sort=A","Dates=H","DateFormat=P","Fill=—","Direction=H","UseDPDF=Y")</f>
        <v>0</v>
      </c>
      <c r="AB44" s="12">
        <f>_xll.BDH("RMS FP Equity","IS_FOREIGN_EXCH_LOSS","FY 2016","FY 2016","Currency=USD","Period=FY","BEST_FPERIOD_OVERRIDE=FY","FILING_STATUS=MR","SCALING_FORMAT=MLN","FA_ADJUSTED=Adjusted","Sort=A","Dates=H","DateFormat=P","Fill=—","Direction=H","UseDPDF=Y")</f>
        <v>0</v>
      </c>
      <c r="AC44" s="12">
        <f>_xll.BDH("RMS FP Equity","IS_FOREIGN_EXCH_LOSS","FY 2017","FY 2017","Currency=USD","Period=FY","BEST_FPERIOD_OVERRIDE=FY","FILING_STATUS=MR","SCALING_FORMAT=MLN","FA_ADJUSTED=Adjusted","Sort=A","Dates=H","DateFormat=P","Fill=—","Direction=H","UseDPDF=Y")</f>
        <v>0</v>
      </c>
      <c r="AD44" s="12"/>
      <c r="AE44" s="12"/>
    </row>
    <row r="45" spans="1:31" x14ac:dyDescent="0.25">
      <c r="A45" s="11" t="s">
        <v>65</v>
      </c>
      <c r="B45" s="11" t="s">
        <v>104</v>
      </c>
      <c r="C45" s="16" t="s">
        <v>66</v>
      </c>
      <c r="D45" s="16">
        <v>-120</v>
      </c>
      <c r="E45" s="16">
        <v>-232.727259</v>
      </c>
      <c r="F45" s="16">
        <v>62.295079999999999</v>
      </c>
      <c r="G45" s="16" t="s">
        <v>66</v>
      </c>
      <c r="H45" s="16" t="s">
        <v>66</v>
      </c>
      <c r="I45" s="16" t="s">
        <v>66</v>
      </c>
      <c r="J45" s="16" t="s">
        <v>66</v>
      </c>
      <c r="K45" s="16" t="s">
        <v>66</v>
      </c>
      <c r="L45" s="16" t="s">
        <v>66</v>
      </c>
      <c r="M45" s="16" t="s">
        <v>66</v>
      </c>
      <c r="N45" s="16" t="s">
        <v>66</v>
      </c>
      <c r="O45" s="16" t="s">
        <v>66</v>
      </c>
      <c r="P45" s="16" t="s">
        <v>66</v>
      </c>
      <c r="Q45" s="16" t="s">
        <v>66</v>
      </c>
      <c r="R45" s="16" t="s">
        <v>66</v>
      </c>
      <c r="S45" s="16" t="s">
        <v>66</v>
      </c>
      <c r="T45" s="16" t="s">
        <v>66</v>
      </c>
      <c r="U45" s="16" t="s">
        <v>66</v>
      </c>
      <c r="V45" s="16" t="s">
        <v>66</v>
      </c>
      <c r="W45" s="16" t="s">
        <v>66</v>
      </c>
      <c r="X45" s="16" t="s">
        <v>66</v>
      </c>
      <c r="Y45" s="16" t="s">
        <v>66</v>
      </c>
      <c r="Z45" s="16" t="s">
        <v>66</v>
      </c>
      <c r="AA45" s="16" t="s">
        <v>66</v>
      </c>
      <c r="AB45" s="16" t="s">
        <v>66</v>
      </c>
      <c r="AC45" s="16" t="s">
        <v>66</v>
      </c>
      <c r="AD45" s="16"/>
      <c r="AE45" s="16"/>
    </row>
    <row r="46" spans="1:31" x14ac:dyDescent="0.25">
      <c r="A46" s="10" t="s">
        <v>105</v>
      </c>
      <c r="B46" s="10" t="s">
        <v>106</v>
      </c>
      <c r="C46" s="12">
        <f>_xll.BDH("RMS FP Equity","INCOME_LOSS_FROM_AFFILIATES","FY 1991","FY 1991","Currency=USD","Period=FY","BEST_FPERIOD_OVERRIDE=FY","FILING_STATUS=MR","SCALING_FORMAT=MLN","FA_ADJUSTED=Adjusted","Sort=A","Dates=H","DateFormat=P","Fill=—","Direction=H","UseDPDF=Y")</f>
        <v>2.6318000000000001</v>
      </c>
      <c r="D46" s="12">
        <f>_xll.BDH("RMS FP Equity","INCOME_LOSS_FROM_AFFILIATES","FY 1992","FY 1992","Currency=USD","Period=FY","BEST_FPERIOD_OVERRIDE=FY","FILING_STATUS=MR","SCALING_FORMAT=MLN","FA_ADJUSTED=Adjusted","Sort=A","Dates=H","DateFormat=P","Fill=—","Direction=H","UseDPDF=Y")</f>
        <v>-0.1515</v>
      </c>
      <c r="E46" s="12">
        <f>_xll.BDH("RMS FP Equity","INCOME_LOSS_FROM_AFFILIATES","FY 1993","FY 1993","Currency=USD","Period=FY","BEST_FPERIOD_OVERRIDE=FY","FILING_STATUS=MR","SCALING_FORMAT=MLN","FA_ADJUSTED=Adjusted","Sort=A","Dates=H","DateFormat=P","Fill=—","Direction=H","UseDPDF=Y")</f>
        <v>-1.77E-2</v>
      </c>
      <c r="F46" s="12">
        <f>_xll.BDH("RMS FP Equity","INCOME_LOSS_FROM_AFFILIATES","FY 1994","FY 1994","Currency=USD","Period=FY","BEST_FPERIOD_OVERRIDE=FY","FILING_STATUS=MR","SCALING_FORMAT=MLN","FA_ADJUSTED=Adjusted","Sort=A","Dates=H","DateFormat=P","Fill=—","Direction=H","UseDPDF=Y")</f>
        <v>-9.0300000000000005E-2</v>
      </c>
      <c r="G46" s="12">
        <f>_xll.BDH("RMS FP Equity","INCOME_LOSS_FROM_AFFILIATES","FY 1995","FY 1995","Currency=USD","Period=FY","BEST_FPERIOD_OVERRIDE=FY","FILING_STATUS=MR","SCALING_FORMAT=MLN","FA_ADJUSTED=Adjusted","Sort=A","Dates=H","DateFormat=P","Fill=—","Direction=H","UseDPDF=Y")</f>
        <v>0.50170000000000003</v>
      </c>
      <c r="H46" s="12">
        <f>_xll.BDH("RMS FP Equity","INCOME_LOSS_FROM_AFFILIATES","FY 1996","FY 1996","Currency=USD","Period=FY","BEST_FPERIOD_OVERRIDE=FY","FILING_STATUS=MR","SCALING_FORMAT=MLN","FA_ADJUSTED=Adjusted","Sort=A","Dates=H","DateFormat=P","Fill=—","Direction=H","UseDPDF=Y")</f>
        <v>3.9100000000000003E-2</v>
      </c>
      <c r="I46" s="12">
        <f>_xll.BDH("RMS FP Equity","INCOME_LOSS_FROM_AFFILIATES","FY 1997","FY 1997","Currency=USD","Period=FY","BEST_FPERIOD_OVERRIDE=FY","FILING_STATUS=MR","SCALING_FORMAT=MLN","FA_ADJUSTED=Adjusted","Sort=A","Dates=H","DateFormat=P","Fill=—","Direction=H","UseDPDF=Y")</f>
        <v>0.8236</v>
      </c>
      <c r="J46" s="12">
        <f>_xll.BDH("RMS FP Equity","INCOME_LOSS_FROM_AFFILIATES","FY 1998","FY 1998","Currency=USD","Period=FY","BEST_FPERIOD_OVERRIDE=FY","FILING_STATUS=MR","SCALING_FORMAT=MLN","FA_ADJUSTED=Adjusted","Sort=A","Dates=H","DateFormat=P","Fill=—","Direction=H","UseDPDF=Y")</f>
        <v>0.81520000000000004</v>
      </c>
      <c r="K46" s="12">
        <f>_xll.BDH("RMS FP Equity","INCOME_LOSS_FROM_AFFILIATES","FY 1999","FY 1999","Currency=USD","Period=FY","BEST_FPERIOD_OVERRIDE=FY","FILING_STATUS=MR","SCALING_FORMAT=MLN","FA_ADJUSTED=Adjusted","Sort=A","Dates=H","DateFormat=P","Fill=—","Direction=H","UseDPDF=Y")</f>
        <v>-0.37369999999999998</v>
      </c>
      <c r="L46" s="12">
        <f>_xll.BDH("RMS FP Equity","INCOME_LOSS_FROM_AFFILIATES","FY 2000","FY 2000","Currency=USD","Period=FY","BEST_FPERIOD_OVERRIDE=FY","FILING_STATUS=MR","SCALING_FORMAT=MLN","FA_ADJUSTED=Adjusted","Sort=A","Dates=H","DateFormat=P","Fill=—","Direction=H","UseDPDF=Y")</f>
        <v>-1.9990999999999999</v>
      </c>
      <c r="M46" s="12">
        <f>_xll.BDH("RMS FP Equity","INCOME_LOSS_FROM_AFFILIATES","FY 2001","FY 2001","Currency=USD","Period=FY","BEST_FPERIOD_OVERRIDE=FY","FILING_STATUS=MR","SCALING_FORMAT=MLN","FA_ADJUSTED=Adjusted","Sort=A","Dates=H","DateFormat=P","Fill=—","Direction=H","UseDPDF=Y")</f>
        <v>-1.3433999999999999</v>
      </c>
      <c r="N46" s="12" t="str">
        <f>_xll.BDH("RMS FP Equity","INCOME_LOSS_FROM_AFFILIATES","FY 2002","FY 2002","Currency=USD","Period=FY","BEST_FPERIOD_OVERRIDE=FY","FILING_STATUS=MR","SCALING_FORMAT=MLN","FA_ADJUSTED=Adjusted","Sort=A","Dates=H","DateFormat=P","Fill=—","Direction=H","UseDPDF=Y")</f>
        <v>—</v>
      </c>
      <c r="O46" s="12" t="str">
        <f>_xll.BDH("RMS FP Equity","INCOME_LOSS_FROM_AFFILIATES","FY 2003","FY 2003","Currency=USD","Period=FY","BEST_FPERIOD_OVERRIDE=FY","FILING_STATUS=MR","SCALING_FORMAT=MLN","FA_ADJUSTED=Adjusted","Sort=A","Dates=H","DateFormat=P","Fill=—","Direction=H","UseDPDF=Y")</f>
        <v>—</v>
      </c>
      <c r="P46" s="12">
        <f>_xll.BDH("RMS FP Equity","INCOME_LOSS_FROM_AFFILIATES","FY 2004","FY 2004","Currency=USD","Period=FY","BEST_FPERIOD_OVERRIDE=FY","FILING_STATUS=MR","SCALING_FORMAT=MLN","FA_ADJUSTED=Adjusted","Sort=A","Dates=H","DateFormat=P","Fill=—","Direction=H","UseDPDF=Y")</f>
        <v>26.128599999999999</v>
      </c>
      <c r="Q46" s="12">
        <f>_xll.BDH("RMS FP Equity","INCOME_LOSS_FROM_AFFILIATES","FY 2005","FY 2005","Currency=USD","Period=FY","BEST_FPERIOD_OVERRIDE=FY","FILING_STATUS=MR","SCALING_FORMAT=MLN","FA_ADJUSTED=Adjusted","Sort=A","Dates=H","DateFormat=P","Fill=—","Direction=H","UseDPDF=Y")</f>
        <v>-0.24879999999999999</v>
      </c>
      <c r="R46" s="12">
        <f>_xll.BDH("RMS FP Equity","INCOME_LOSS_FROM_AFFILIATES","FY 2006","FY 2006","Currency=USD","Period=FY","BEST_FPERIOD_OVERRIDE=FY","FILING_STATUS=MR","SCALING_FORMAT=MLN","FA_ADJUSTED=Adjusted","Sort=A","Dates=H","DateFormat=P","Fill=—","Direction=H","UseDPDF=Y")</f>
        <v>7.4127000000000001</v>
      </c>
      <c r="S46" s="12">
        <f>_xll.BDH("RMS FP Equity","INCOME_LOSS_FROM_AFFILIATES","FY 2007","FY 2007","Currency=USD","Period=FY","BEST_FPERIOD_OVERRIDE=FY","FILING_STATUS=MR","SCALING_FORMAT=MLN","FA_ADJUSTED=Adjusted","Sort=A","Dates=H","DateFormat=P","Fill=—","Direction=H","UseDPDF=Y")</f>
        <v>-2.1932999999999998</v>
      </c>
      <c r="T46" s="12">
        <f>_xll.BDH("RMS FP Equity","INCOME_LOSS_FROM_AFFILIATES","FY 2008","FY 2008","Currency=USD","Period=FY","BEST_FPERIOD_OVERRIDE=FY","FILING_STATUS=MR","SCALING_FORMAT=MLN","FA_ADJUSTED=Adjusted","Sort=A","Dates=H","DateFormat=P","Fill=—","Direction=H","UseDPDF=Y")</f>
        <v>16.7681</v>
      </c>
      <c r="U46" s="12" t="str">
        <f>_xll.BDH("RMS FP Equity","INCOME_LOSS_FROM_AFFILIATES","FY 2009","FY 2009","Currency=USD","Period=FY","BEST_FPERIOD_OVERRIDE=FY","FILING_STATUS=MR","SCALING_FORMAT=MLN","FA_ADJUSTED=Adjusted","Sort=A","Dates=H","DateFormat=P","Fill=—","Direction=H","UseDPDF=Y")</f>
        <v>—</v>
      </c>
      <c r="V46" s="12" t="str">
        <f>_xll.BDH("RMS FP Equity","INCOME_LOSS_FROM_AFFILIATES","FY 2010","FY 2010","Currency=USD","Period=FY","BEST_FPERIOD_OVERRIDE=FY","FILING_STATUS=MR","SCALING_FORMAT=MLN","FA_ADJUSTED=Adjusted","Sort=A","Dates=H","DateFormat=P","Fill=—","Direction=H","UseDPDF=Y")</f>
        <v>—</v>
      </c>
      <c r="W46" s="12" t="str">
        <f>_xll.BDH("RMS FP Equity","INCOME_LOSS_FROM_AFFILIATES","FY 2011","FY 2011","Currency=USD","Period=FY","BEST_FPERIOD_OVERRIDE=FY","FILING_STATUS=MR","SCALING_FORMAT=MLN","FA_ADJUSTED=Adjusted","Sort=A","Dates=H","DateFormat=P","Fill=—","Direction=H","UseDPDF=Y")</f>
        <v>—</v>
      </c>
      <c r="X46" s="12" t="str">
        <f>_xll.BDH("RMS FP Equity","INCOME_LOSS_FROM_AFFILIATES","FY 2012","FY 2012","Currency=USD","Period=FY","BEST_FPERIOD_OVERRIDE=FY","FILING_STATUS=MR","SCALING_FORMAT=MLN","FA_ADJUSTED=Adjusted","Sort=A","Dates=H","DateFormat=P","Fill=—","Direction=H","UseDPDF=Y")</f>
        <v>—</v>
      </c>
      <c r="Y46" s="12" t="str">
        <f>_xll.BDH("RMS FP Equity","INCOME_LOSS_FROM_AFFILIATES","FY 2013","FY 2013","Currency=USD","Period=FY","BEST_FPERIOD_OVERRIDE=FY","FILING_STATUS=MR","SCALING_FORMAT=MLN","FA_ADJUSTED=Adjusted","Sort=A","Dates=H","DateFormat=P","Fill=—","Direction=H","UseDPDF=Y")</f>
        <v>—</v>
      </c>
      <c r="Z46" s="12" t="str">
        <f>_xll.BDH("RMS FP Equity","INCOME_LOSS_FROM_AFFILIATES","FY 2014","FY 2014","Currency=USD","Period=FY","BEST_FPERIOD_OVERRIDE=FY","FILING_STATUS=MR","SCALING_FORMAT=MLN","FA_ADJUSTED=Adjusted","Sort=A","Dates=H","DateFormat=P","Fill=—","Direction=H","UseDPDF=Y")</f>
        <v>—</v>
      </c>
      <c r="AA46" s="12" t="str">
        <f>_xll.BDH("RMS FP Equity","INCOME_LOSS_FROM_AFFILIATES","FY 2015","FY 2015","Currency=USD","Period=FY","BEST_FPERIOD_OVERRIDE=FY","FILING_STATUS=MR","SCALING_FORMAT=MLN","FA_ADJUSTED=Adjusted","Sort=A","Dates=H","DateFormat=P","Fill=—","Direction=H","UseDPDF=Y")</f>
        <v>—</v>
      </c>
      <c r="AB46" s="12" t="str">
        <f>_xll.BDH("RMS FP Equity","INCOME_LOSS_FROM_AFFILIATES","FY 2016","FY 2016","Currency=USD","Period=FY","BEST_FPERIOD_OVERRIDE=FY","FILING_STATUS=MR","SCALING_FORMAT=MLN","FA_ADJUSTED=Adjusted","Sort=A","Dates=H","DateFormat=P","Fill=—","Direction=H","UseDPDF=Y")</f>
        <v>—</v>
      </c>
      <c r="AC46" s="12" t="str">
        <f>_xll.BDH("RMS FP Equity","INCOME_LOSS_FROM_AFFILIATES","FY 2017","FY 2017","Currency=USD","Period=FY","BEST_FPERIOD_OVERRIDE=FY","FILING_STATUS=MR","SCALING_FORMAT=MLN","FA_ADJUSTED=Adjusted","Sort=A","Dates=H","DateFormat=P","Fill=—","Direction=H","UseDPDF=Y")</f>
        <v>—</v>
      </c>
      <c r="AD46" s="12"/>
      <c r="AE46" s="12"/>
    </row>
    <row r="47" spans="1:31" x14ac:dyDescent="0.25">
      <c r="A47" s="11" t="s">
        <v>65</v>
      </c>
      <c r="B47" s="11" t="s">
        <v>106</v>
      </c>
      <c r="C47" s="16" t="s">
        <v>66</v>
      </c>
      <c r="D47" s="16" t="s">
        <v>66</v>
      </c>
      <c r="E47" s="16">
        <v>88.3354458792152</v>
      </c>
      <c r="F47" s="16">
        <v>-411.177768973909</v>
      </c>
      <c r="G47" s="16" t="s">
        <v>66</v>
      </c>
      <c r="H47" s="16">
        <v>-92.203070937704297</v>
      </c>
      <c r="I47" s="16">
        <v>2005.36554192229</v>
      </c>
      <c r="J47" s="16">
        <v>-1.02195311181505</v>
      </c>
      <c r="K47" s="16" t="s">
        <v>66</v>
      </c>
      <c r="L47" s="16">
        <v>-434.94179979128199</v>
      </c>
      <c r="M47" s="16">
        <v>32.798500948662202</v>
      </c>
      <c r="N47" s="16" t="s">
        <v>66</v>
      </c>
      <c r="O47" s="16" t="s">
        <v>66</v>
      </c>
      <c r="P47" s="16" t="s">
        <v>66</v>
      </c>
      <c r="Q47" s="16" t="s">
        <v>66</v>
      </c>
      <c r="R47" s="16" t="s">
        <v>66</v>
      </c>
      <c r="S47" s="16" t="s">
        <v>66</v>
      </c>
      <c r="T47" s="16" t="s">
        <v>66</v>
      </c>
      <c r="U47" s="16" t="s">
        <v>66</v>
      </c>
      <c r="V47" s="16" t="s">
        <v>66</v>
      </c>
      <c r="W47" s="16" t="s">
        <v>66</v>
      </c>
      <c r="X47" s="16" t="s">
        <v>66</v>
      </c>
      <c r="Y47" s="16" t="s">
        <v>66</v>
      </c>
      <c r="Z47" s="16" t="s">
        <v>66</v>
      </c>
      <c r="AA47" s="16" t="s">
        <v>66</v>
      </c>
      <c r="AB47" s="16" t="s">
        <v>66</v>
      </c>
      <c r="AC47" s="16" t="s">
        <v>66</v>
      </c>
      <c r="AD47" s="16"/>
      <c r="AE47" s="16"/>
    </row>
    <row r="48" spans="1:31" x14ac:dyDescent="0.25">
      <c r="A48" s="10" t="s">
        <v>107</v>
      </c>
      <c r="B48" s="10" t="s">
        <v>108</v>
      </c>
      <c r="C48" s="12" t="str">
        <f>_xll.BDH("RMS FP Equity","IS_OTHER_NON_OPERATING_INC_LOSS","FY 1991","FY 1991","Currency=USD","Period=FY","BEST_FPERIOD_OVERRIDE=FY","FILING_STATUS=MR","SCALING_FORMAT=MLN","FA_ADJUSTED=Adjusted","Sort=A","Dates=H","DateFormat=P","Fill=—","Direction=H","UseDPDF=Y")</f>
        <v>—</v>
      </c>
      <c r="D48" s="12" t="str">
        <f>_xll.BDH("RMS FP Equity","IS_OTHER_NON_OPERATING_INC_LOSS","FY 1992","FY 1992","Currency=USD","Period=FY","BEST_FPERIOD_OVERRIDE=FY","FILING_STATUS=MR","SCALING_FORMAT=MLN","FA_ADJUSTED=Adjusted","Sort=A","Dates=H","DateFormat=P","Fill=—","Direction=H","UseDPDF=Y")</f>
        <v>—</v>
      </c>
      <c r="E48" s="12" t="str">
        <f>_xll.BDH("RMS FP Equity","IS_OTHER_NON_OPERATING_INC_LOSS","FY 1993","FY 1993","Currency=USD","Period=FY","BEST_FPERIOD_OVERRIDE=FY","FILING_STATUS=MR","SCALING_FORMAT=MLN","FA_ADJUSTED=Adjusted","Sort=A","Dates=H","DateFormat=P","Fill=—","Direction=H","UseDPDF=Y")</f>
        <v>—</v>
      </c>
      <c r="F48" s="12" t="str">
        <f>_xll.BDH("RMS FP Equity","IS_OTHER_NON_OPERATING_INC_LOSS","FY 1994","FY 1994","Currency=USD","Period=FY","BEST_FPERIOD_OVERRIDE=FY","FILING_STATUS=MR","SCALING_FORMAT=MLN","FA_ADJUSTED=Adjusted","Sort=A","Dates=H","DateFormat=P","Fill=—","Direction=H","UseDPDF=Y")</f>
        <v>—</v>
      </c>
      <c r="G48" s="12" t="str">
        <f>_xll.BDH("RMS FP Equity","IS_OTHER_NON_OPERATING_INC_LOSS","FY 1995","FY 1995","Currency=USD","Period=FY","BEST_FPERIOD_OVERRIDE=FY","FILING_STATUS=MR","SCALING_FORMAT=MLN","FA_ADJUSTED=Adjusted","Sort=A","Dates=H","DateFormat=P","Fill=—","Direction=H","UseDPDF=Y")</f>
        <v>—</v>
      </c>
      <c r="H48" s="12" t="str">
        <f>_xll.BDH("RMS FP Equity","IS_OTHER_NON_OPERATING_INC_LOSS","FY 1996","FY 1996","Currency=USD","Period=FY","BEST_FPERIOD_OVERRIDE=FY","FILING_STATUS=MR","SCALING_FORMAT=MLN","FA_ADJUSTED=Adjusted","Sort=A","Dates=H","DateFormat=P","Fill=—","Direction=H","UseDPDF=Y")</f>
        <v>—</v>
      </c>
      <c r="I48" s="12" t="str">
        <f>_xll.BDH("RMS FP Equity","IS_OTHER_NON_OPERATING_INC_LOSS","FY 1997","FY 1997","Currency=USD","Period=FY","BEST_FPERIOD_OVERRIDE=FY","FILING_STATUS=MR","SCALING_FORMAT=MLN","FA_ADJUSTED=Adjusted","Sort=A","Dates=H","DateFormat=P","Fill=—","Direction=H","UseDPDF=Y")</f>
        <v>—</v>
      </c>
      <c r="J48" s="12" t="str">
        <f>_xll.BDH("RMS FP Equity","IS_OTHER_NON_OPERATING_INC_LOSS","FY 1998","FY 1998","Currency=USD","Period=FY","BEST_FPERIOD_OVERRIDE=FY","FILING_STATUS=MR","SCALING_FORMAT=MLN","FA_ADJUSTED=Adjusted","Sort=A","Dates=H","DateFormat=P","Fill=—","Direction=H","UseDPDF=Y")</f>
        <v>—</v>
      </c>
      <c r="K48" s="12" t="str">
        <f>_xll.BDH("RMS FP Equity","IS_OTHER_NON_OPERATING_INC_LOSS","FY 1999","FY 1999","Currency=USD","Period=FY","BEST_FPERIOD_OVERRIDE=FY","FILING_STATUS=MR","SCALING_FORMAT=MLN","FA_ADJUSTED=Adjusted","Sort=A","Dates=H","DateFormat=P","Fill=—","Direction=H","UseDPDF=Y")</f>
        <v>—</v>
      </c>
      <c r="L48" s="12" t="str">
        <f>_xll.BDH("RMS FP Equity","IS_OTHER_NON_OPERATING_INC_LOSS","FY 2000","FY 2000","Currency=USD","Period=FY","BEST_FPERIOD_OVERRIDE=FY","FILING_STATUS=MR","SCALING_FORMAT=MLN","FA_ADJUSTED=Adjusted","Sort=A","Dates=H","DateFormat=P","Fill=—","Direction=H","UseDPDF=Y")</f>
        <v>—</v>
      </c>
      <c r="M48" s="12" t="str">
        <f>_xll.BDH("RMS FP Equity","IS_OTHER_NON_OPERATING_INC_LOSS","FY 2001","FY 2001","Currency=USD","Period=FY","BEST_FPERIOD_OVERRIDE=FY","FILING_STATUS=MR","SCALING_FORMAT=MLN","FA_ADJUSTED=Adjusted","Sort=A","Dates=H","DateFormat=P","Fill=—","Direction=H","UseDPDF=Y")</f>
        <v>—</v>
      </c>
      <c r="N48" s="12" t="str">
        <f>_xll.BDH("RMS FP Equity","IS_OTHER_NON_OPERATING_INC_LOSS","FY 2002","FY 2002","Currency=USD","Period=FY","BEST_FPERIOD_OVERRIDE=FY","FILING_STATUS=MR","SCALING_FORMAT=MLN","FA_ADJUSTED=Adjusted","Sort=A","Dates=H","DateFormat=P","Fill=—","Direction=H","UseDPDF=Y")</f>
        <v>—</v>
      </c>
      <c r="O48" s="12" t="str">
        <f>_xll.BDH("RMS FP Equity","IS_OTHER_NON_OPERATING_INC_LOSS","FY 2003","FY 2003","Currency=USD","Period=FY","BEST_FPERIOD_OVERRIDE=FY","FILING_STATUS=MR","SCALING_FORMAT=MLN","FA_ADJUSTED=Adjusted","Sort=A","Dates=H","DateFormat=P","Fill=—","Direction=H","UseDPDF=Y")</f>
        <v>—</v>
      </c>
      <c r="P48" s="12" t="str">
        <f>_xll.BDH("RMS FP Equity","IS_OTHER_NON_OPERATING_INC_LOSS","FY 2004","FY 2004","Currency=USD","Period=FY","BEST_FPERIOD_OVERRIDE=FY","FILING_STATUS=MR","SCALING_FORMAT=MLN","FA_ADJUSTED=Adjusted","Sort=A","Dates=H","DateFormat=P","Fill=—","Direction=H","UseDPDF=Y")</f>
        <v>—</v>
      </c>
      <c r="Q48" s="12" t="str">
        <f>_xll.BDH("RMS FP Equity","IS_OTHER_NON_OPERATING_INC_LOSS","FY 2005","FY 2005","Currency=USD","Period=FY","BEST_FPERIOD_OVERRIDE=FY","FILING_STATUS=MR","SCALING_FORMAT=MLN","FA_ADJUSTED=Adjusted","Sort=A","Dates=H","DateFormat=P","Fill=—","Direction=H","UseDPDF=Y")</f>
        <v>—</v>
      </c>
      <c r="R48" s="12" t="str">
        <f>_xll.BDH("RMS FP Equity","IS_OTHER_NON_OPERATING_INC_LOSS","FY 2006","FY 2006","Currency=USD","Period=FY","BEST_FPERIOD_OVERRIDE=FY","FILING_STATUS=MR","SCALING_FORMAT=MLN","FA_ADJUSTED=Adjusted","Sort=A","Dates=H","DateFormat=P","Fill=—","Direction=H","UseDPDF=Y")</f>
        <v>—</v>
      </c>
      <c r="S48" s="12" t="str">
        <f>_xll.BDH("RMS FP Equity","IS_OTHER_NON_OPERATING_INC_LOSS","FY 2007","FY 2007","Currency=USD","Period=FY","BEST_FPERIOD_OVERRIDE=FY","FILING_STATUS=MR","SCALING_FORMAT=MLN","FA_ADJUSTED=Adjusted","Sort=A","Dates=H","DateFormat=P","Fill=—","Direction=H","UseDPDF=Y")</f>
        <v>—</v>
      </c>
      <c r="T48" s="12" t="str">
        <f>_xll.BDH("RMS FP Equity","IS_OTHER_NON_OPERATING_INC_LOSS","FY 2008","FY 2008","Currency=USD","Period=FY","BEST_FPERIOD_OVERRIDE=FY","FILING_STATUS=MR","SCALING_FORMAT=MLN","FA_ADJUSTED=Adjusted","Sort=A","Dates=H","DateFormat=P","Fill=—","Direction=H","UseDPDF=Y")</f>
        <v>—</v>
      </c>
      <c r="U48" s="12">
        <f>_xll.BDH("RMS FP Equity","IS_OTHER_NON_OPERATING_INC_LOSS","FY 2009","FY 2009","Currency=USD","Period=FY","BEST_FPERIOD_OVERRIDE=FY","FILING_STATUS=MR","SCALING_FORMAT=MLN","FA_ADJUSTED=Adjusted","Sort=A","Dates=H","DateFormat=P","Fill=—","Direction=H","UseDPDF=Y")</f>
        <v>25.5182</v>
      </c>
      <c r="V48" s="12">
        <f>_xll.BDH("RMS FP Equity","IS_OTHER_NON_OPERATING_INC_LOSS","FY 2010","FY 2010","Currency=USD","Period=FY","BEST_FPERIOD_OVERRIDE=FY","FILING_STATUS=MR","SCALING_FORMAT=MLN","FA_ADJUSTED=Adjusted","Sort=A","Dates=H","DateFormat=P","Fill=—","Direction=H","UseDPDF=Y")</f>
        <v>22.950399999999998</v>
      </c>
      <c r="W48" s="12">
        <f>_xll.BDH("RMS FP Equity","IS_OTHER_NON_OPERATING_INC_LOSS","FY 2011","FY 2011","Currency=USD","Period=FY","BEST_FPERIOD_OVERRIDE=FY","FILING_STATUS=MR","SCALING_FORMAT=MLN","FA_ADJUSTED=Adjusted","Sort=A","Dates=H","DateFormat=P","Fill=—","Direction=H","UseDPDF=Y")</f>
        <v>-2.7848000000000002</v>
      </c>
      <c r="X48" s="12">
        <f>_xll.BDH("RMS FP Equity","IS_OTHER_NON_OPERATING_INC_LOSS","FY 2012","FY 2012","Currency=USD","Period=FY","BEST_FPERIOD_OVERRIDE=FY","FILING_STATUS=MR","SCALING_FORMAT=MLN","FA_ADJUSTED=Adjusted","Sort=A","Dates=H","DateFormat=P","Fill=—","Direction=H","UseDPDF=Y")</f>
        <v>36.518700000000003</v>
      </c>
      <c r="Y48" s="12">
        <f>_xll.BDH("RMS FP Equity","IS_OTHER_NON_OPERATING_INC_LOSS","FY 2013","FY 2013","Currency=USD","Period=FY","BEST_FPERIOD_OVERRIDE=FY","FILING_STATUS=MR","SCALING_FORMAT=MLN","FA_ADJUSTED=Adjusted","Sort=A","Dates=H","DateFormat=P","Fill=—","Direction=H","UseDPDF=Y")</f>
        <v>37.989699999999999</v>
      </c>
      <c r="Z48" s="12">
        <f>_xll.BDH("RMS FP Equity","IS_OTHER_NON_OPERATING_INC_LOSS","FY 2014","FY 2014","Currency=USD","Period=FY","BEST_FPERIOD_OVERRIDE=FY","FILING_STATUS=MR","SCALING_FORMAT=MLN","FA_ADJUSTED=Adjusted","Sort=A","Dates=H","DateFormat=P","Fill=—","Direction=H","UseDPDF=Y")</f>
        <v>41.183100000000003</v>
      </c>
      <c r="AA48" s="12">
        <f>_xll.BDH("RMS FP Equity","IS_OTHER_NON_OPERATING_INC_LOSS","FY 2015","FY 2015","Currency=USD","Period=FY","BEST_FPERIOD_OVERRIDE=FY","FILING_STATUS=MR","SCALING_FORMAT=MLN","FA_ADJUSTED=Adjusted","Sort=A","Dates=H","DateFormat=P","Fill=—","Direction=H","UseDPDF=Y")</f>
        <v>57.942</v>
      </c>
      <c r="AB48" s="12">
        <f>_xll.BDH("RMS FP Equity","IS_OTHER_NON_OPERATING_INC_LOSS","FY 2016","FY 2016","Currency=USD","Period=FY","BEST_FPERIOD_OVERRIDE=FY","FILING_STATUS=MR","SCALING_FORMAT=MLN","FA_ADJUSTED=Adjusted","Sort=A","Dates=H","DateFormat=P","Fill=—","Direction=H","UseDPDF=Y")</f>
        <v>57.444400000000002</v>
      </c>
      <c r="AC48" s="12">
        <f>_xll.BDH("RMS FP Equity","IS_OTHER_NON_OPERATING_INC_LOSS","FY 2017","FY 2017","Currency=USD","Period=FY","BEST_FPERIOD_OVERRIDE=FY","FILING_STATUS=MR","SCALING_FORMAT=MLN","FA_ADJUSTED=Adjusted","Sort=A","Dates=H","DateFormat=P","Fill=—","Direction=H","UseDPDF=Y")</f>
        <v>46.092599999999997</v>
      </c>
      <c r="AD48" s="12"/>
      <c r="AE48" s="12"/>
    </row>
    <row r="49" spans="1:31" x14ac:dyDescent="0.25">
      <c r="A49" s="11" t="s">
        <v>65</v>
      </c>
      <c r="B49" s="11" t="s">
        <v>108</v>
      </c>
      <c r="C49" s="16" t="s">
        <v>66</v>
      </c>
      <c r="D49" s="16" t="s">
        <v>66</v>
      </c>
      <c r="E49" s="16" t="s">
        <v>66</v>
      </c>
      <c r="F49" s="16" t="s">
        <v>66</v>
      </c>
      <c r="G49" s="16" t="s">
        <v>66</v>
      </c>
      <c r="H49" s="16" t="s">
        <v>66</v>
      </c>
      <c r="I49" s="16" t="s">
        <v>66</v>
      </c>
      <c r="J49" s="16" t="s">
        <v>66</v>
      </c>
      <c r="K49" s="16" t="s">
        <v>66</v>
      </c>
      <c r="L49" s="16" t="s">
        <v>66</v>
      </c>
      <c r="M49" s="16" t="s">
        <v>66</v>
      </c>
      <c r="N49" s="16" t="s">
        <v>66</v>
      </c>
      <c r="O49" s="16" t="s">
        <v>66</v>
      </c>
      <c r="P49" s="16" t="s">
        <v>66</v>
      </c>
      <c r="Q49" s="16" t="s">
        <v>66</v>
      </c>
      <c r="R49" s="16" t="s">
        <v>66</v>
      </c>
      <c r="S49" s="16" t="s">
        <v>66</v>
      </c>
      <c r="T49" s="16" t="s">
        <v>66</v>
      </c>
      <c r="U49" s="16" t="s">
        <v>66</v>
      </c>
      <c r="V49" s="16">
        <v>-10.062696058666599</v>
      </c>
      <c r="W49" s="16" t="s">
        <v>66</v>
      </c>
      <c r="X49" s="16" t="s">
        <v>66</v>
      </c>
      <c r="Y49" s="16">
        <v>4.0281018465615803</v>
      </c>
      <c r="Z49" s="16">
        <v>8.4059013706091505</v>
      </c>
      <c r="AA49" s="16">
        <v>40.6945931164245</v>
      </c>
      <c r="AB49" s="16">
        <v>-0.85914573152252705</v>
      </c>
      <c r="AC49" s="16">
        <v>-19.761323208104901</v>
      </c>
      <c r="AD49" s="16"/>
      <c r="AE49" s="16"/>
    </row>
    <row r="50" spans="1:31" x14ac:dyDescent="0.25">
      <c r="A50" s="6" t="s">
        <v>109</v>
      </c>
      <c r="B50" s="6" t="s">
        <v>110</v>
      </c>
      <c r="C50" s="14">
        <f>_xll.BDH("RMS FP Equity","PRETAX_INC","FY 1991","FY 1991","Currency=USD","Period=FY","BEST_FPERIOD_OVERRIDE=FY","FILING_STATUS=MR","SCALING_FORMAT=MLN","FA_ADJUSTED=Adjusted","Sort=A","Dates=H","DateFormat=P","Fill=—","Direction=H","UseDPDF=Y")</f>
        <v>42.535699999999999</v>
      </c>
      <c r="D50" s="14">
        <f>_xll.BDH("RMS FP Equity","PRETAX_INC","FY 1992","FY 1992","Currency=USD","Period=FY","BEST_FPERIOD_OVERRIDE=FY","FILING_STATUS=MR","SCALING_FORMAT=MLN","FA_ADJUSTED=Adjusted","Sort=A","Dates=H","DateFormat=P","Fill=—","Direction=H","UseDPDF=Y")</f>
        <v>57.352499999999999</v>
      </c>
      <c r="E50" s="14">
        <f>_xll.BDH("RMS FP Equity","PRETAX_INC","FY 1993","FY 1993","Currency=USD","Period=FY","BEST_FPERIOD_OVERRIDE=FY","FILING_STATUS=MR","SCALING_FORMAT=MLN","FA_ADJUSTED=Adjusted","Sort=A","Dates=H","DateFormat=P","Fill=—","Direction=H","UseDPDF=Y")</f>
        <v>68.467699999999994</v>
      </c>
      <c r="F50" s="14">
        <f>_xll.BDH("RMS FP Equity","PRETAX_INC","FY 1994","FY 1994","Currency=USD","Period=FY","BEST_FPERIOD_OVERRIDE=FY","FILING_STATUS=MR","SCALING_FORMAT=MLN","FA_ADJUSTED=Adjusted","Sort=A","Dates=H","DateFormat=P","Fill=—","Direction=H","UseDPDF=Y")</f>
        <v>105.65689999999999</v>
      </c>
      <c r="G50" s="14">
        <f>_xll.BDH("RMS FP Equity","PRETAX_INC","FY 1995","FY 1995","Currency=USD","Period=FY","BEST_FPERIOD_OVERRIDE=FY","FILING_STATUS=MR","SCALING_FORMAT=MLN","FA_ADJUSTED=Adjusted","Sort=A","Dates=H","DateFormat=P","Fill=—","Direction=H","UseDPDF=Y")</f>
        <v>143.73740000000001</v>
      </c>
      <c r="H50" s="14">
        <f>_xll.BDH("RMS FP Equity","PRETAX_INC","FY 1996","FY 1996","Currency=USD","Period=FY","BEST_FPERIOD_OVERRIDE=FY","FILING_STATUS=MR","SCALING_FORMAT=MLN","FA_ADJUSTED=Adjusted","Sort=A","Dates=H","DateFormat=P","Fill=—","Direction=H","UseDPDF=Y")</f>
        <v>157.5941</v>
      </c>
      <c r="I50" s="14">
        <f>_xll.BDH("RMS FP Equity","PRETAX_INC","FY 1997","FY 1997","Currency=USD","Period=FY","BEST_FPERIOD_OVERRIDE=FY","FILING_STATUS=MR","SCALING_FORMAT=MLN","FA_ADJUSTED=Adjusted","Sort=A","Dates=H","DateFormat=P","Fill=—","Direction=H","UseDPDF=Y")</f>
        <v>175.03630000000001</v>
      </c>
      <c r="J50" s="14">
        <f>_xll.BDH("RMS FP Equity","PRETAX_INC","FY 1998","FY 1998","Currency=USD","Period=FY","BEST_FPERIOD_OVERRIDE=FY","FILING_STATUS=MR","SCALING_FORMAT=MLN","FA_ADJUSTED=Adjusted","Sort=A","Dates=H","DateFormat=P","Fill=—","Direction=H","UseDPDF=Y")</f>
        <v>179.8879</v>
      </c>
      <c r="K50" s="14">
        <f>_xll.BDH("RMS FP Equity","PRETAX_INC","FY 1999","FY 1999","Currency=USD","Period=FY","BEST_FPERIOD_OVERRIDE=FY","FILING_STATUS=MR","SCALING_FORMAT=MLN","FA_ADJUSTED=Adjusted","Sort=A","Dates=H","DateFormat=P","Fill=—","Direction=H","UseDPDF=Y")</f>
        <v>208.0266</v>
      </c>
      <c r="L50" s="14">
        <f>_xll.BDH("RMS FP Equity","PRETAX_INC","FY 2000","FY 2000","Currency=USD","Period=FY","BEST_FPERIOD_OVERRIDE=FY","FILING_STATUS=MR","SCALING_FORMAT=MLN","FA_ADJUSTED=Adjusted","Sort=A","Dates=H","DateFormat=P","Fill=—","Direction=H","UseDPDF=Y")</f>
        <v>274.5145</v>
      </c>
      <c r="M50" s="14">
        <f>_xll.BDH("RMS FP Equity","PRETAX_INC","FY 2001","FY 2001","Currency=USD","Period=FY","BEST_FPERIOD_OVERRIDE=FY","FILING_STATUS=MR","SCALING_FORMAT=MLN","FA_ADJUSTED=Adjusted","Sort=A","Dates=H","DateFormat=P","Fill=—","Direction=H","UseDPDF=Y")</f>
        <v>282.661</v>
      </c>
      <c r="N50" s="14">
        <f>_xll.BDH("RMS FP Equity","PRETAX_INC","FY 2002","FY 2002","Currency=USD","Period=FY","BEST_FPERIOD_OVERRIDE=FY","FILING_STATUS=MR","SCALING_FORMAT=MLN","FA_ADJUSTED=Adjusted","Sort=A","Dates=H","DateFormat=P","Fill=—","Direction=H","UseDPDF=Y")</f>
        <v>310.30860000000001</v>
      </c>
      <c r="O50" s="14">
        <f>_xll.BDH("RMS FP Equity","PRETAX_INC","FY 2003","FY 2003","Currency=USD","Period=FY","BEST_FPERIOD_OVERRIDE=FY","FILING_STATUS=MR","SCALING_FORMAT=MLN","FA_ADJUSTED=Adjusted","Sort=A","Dates=H","DateFormat=P","Fill=—","Direction=H","UseDPDF=Y")</f>
        <v>384.35660000000001</v>
      </c>
      <c r="P50" s="14">
        <f>_xll.BDH("RMS FP Equity","PRETAX_INC","FY 2004","FY 2004","Currency=USD","Period=FY","BEST_FPERIOD_OVERRIDE=FY","FILING_STATUS=MR","SCALING_FORMAT=MLN","FA_ADJUSTED=Adjusted","Sort=A","Dates=H","DateFormat=P","Fill=—","Direction=H","UseDPDF=Y")</f>
        <v>427.51299999999998</v>
      </c>
      <c r="Q50" s="14">
        <f>_xll.BDH("RMS FP Equity","PRETAX_INC","FY 2005","FY 2005","Currency=USD","Period=FY","BEST_FPERIOD_OVERRIDE=FY","FILING_STATUS=MR","SCALING_FORMAT=MLN","FA_ADJUSTED=Adjusted","Sort=A","Dates=H","DateFormat=P","Fill=—","Direction=H","UseDPDF=Y")</f>
        <v>482.25869999999998</v>
      </c>
      <c r="R50" s="14">
        <f>_xll.BDH("RMS FP Equity","PRETAX_INC","FY 2006","FY 2006","Currency=USD","Period=FY","BEST_FPERIOD_OVERRIDE=FY","FILING_STATUS=MR","SCALING_FORMAT=MLN","FA_ADJUSTED=Adjusted","Sort=A","Dates=H","DateFormat=P","Fill=—","Direction=H","UseDPDF=Y")</f>
        <v>513.86289999999997</v>
      </c>
      <c r="S50" s="14">
        <f>_xll.BDH("RMS FP Equity","PRETAX_INC","FY 2007","FY 2007","Currency=USD","Period=FY","BEST_FPERIOD_OVERRIDE=FY","FILING_STATUS=MR","SCALING_FORMAT=MLN","FA_ADJUSTED=Adjusted","Sort=A","Dates=H","DateFormat=P","Fill=—","Direction=H","UseDPDF=Y")</f>
        <v>599.8614</v>
      </c>
      <c r="T50" s="14">
        <f>_xll.BDH("RMS FP Equity","PRETAX_INC","FY 2008","FY 2008","Currency=USD","Period=FY","BEST_FPERIOD_OVERRIDE=FY","FILING_STATUS=MR","SCALING_FORMAT=MLN","FA_ADJUSTED=Adjusted","Sort=A","Dates=H","DateFormat=P","Fill=—","Direction=H","UseDPDF=Y")</f>
        <v>686.61120000000005</v>
      </c>
      <c r="U50" s="14">
        <f>_xll.BDH("RMS FP Equity","PRETAX_INC","FY 2009","FY 2009","Currency=USD","Period=FY","BEST_FPERIOD_OVERRIDE=FY","FILING_STATUS=MR","SCALING_FORMAT=MLN","FA_ADJUSTED=Adjusted","Sort=A","Dates=H","DateFormat=P","Fill=—","Direction=H","UseDPDF=Y")</f>
        <v>631.6798</v>
      </c>
      <c r="V50" s="14">
        <f>_xll.BDH("RMS FP Equity","PRETAX_INC","FY 2010","FY 2010","Currency=USD","Period=FY","BEST_FPERIOD_OVERRIDE=FY","FILING_STATUS=MR","SCALING_FORMAT=MLN","FA_ADJUSTED=Adjusted","Sort=A","Dates=H","DateFormat=P","Fill=—","Direction=H","UseDPDF=Y")</f>
        <v>874.9</v>
      </c>
      <c r="W50" s="14">
        <f>_xll.BDH("RMS FP Equity","PRETAX_INC","FY 2011","FY 2011","Currency=USD","Period=FY","BEST_FPERIOD_OVERRIDE=FY","FILING_STATUS=MR","SCALING_FORMAT=MLN","FA_ADJUSTED=Adjusted","Sort=A","Dates=H","DateFormat=P","Fill=—","Direction=H","UseDPDF=Y")</f>
        <v>1252.8833999999999</v>
      </c>
      <c r="X50" s="14">
        <f>_xll.BDH("RMS FP Equity","PRETAX_INC","FY 2012","FY 2012","Currency=USD","Period=FY","BEST_FPERIOD_OVERRIDE=FY","FILING_STATUS=MR","SCALING_FORMAT=MLN","FA_ADJUSTED=Adjusted","Sort=A","Dates=H","DateFormat=P","Fill=—","Direction=H","UseDPDF=Y")</f>
        <v>1409.9576</v>
      </c>
      <c r="Y50" s="14">
        <f>_xll.BDH("RMS FP Equity","PRETAX_INC","FY 2013","FY 2013","Currency=USD","Period=FY","BEST_FPERIOD_OVERRIDE=FY","FILING_STATUS=MR","SCALING_FORMAT=MLN","FA_ADJUSTED=Adjusted","Sort=A","Dates=H","DateFormat=P","Fill=—","Direction=H","UseDPDF=Y")</f>
        <v>1613.7655999999999</v>
      </c>
      <c r="Z50" s="14">
        <f>_xll.BDH("RMS FP Equity","PRETAX_INC","FY 2014","FY 2014","Currency=USD","Period=FY","BEST_FPERIOD_OVERRIDE=FY","FILING_STATUS=MR","SCALING_FORMAT=MLN","FA_ADJUSTED=Adjusted","Sort=A","Dates=H","DateFormat=P","Fill=—","Direction=H","UseDPDF=Y")</f>
        <v>1725.9688000000001</v>
      </c>
      <c r="AA50" s="14">
        <f>_xll.BDH("RMS FP Equity","PRETAX_INC","FY 2015","FY 2015","Currency=USD","Period=FY","BEST_FPERIOD_OVERRIDE=FY","FILING_STATUS=MR","SCALING_FORMAT=MLN","FA_ADJUSTED=Adjusted","Sort=A","Dates=H","DateFormat=P","Fill=—","Direction=H","UseDPDF=Y")</f>
        <v>1685.0920000000001</v>
      </c>
      <c r="AB50" s="14">
        <f>_xll.BDH("RMS FP Equity","PRETAX_INC","FY 2016","FY 2016","Currency=USD","Period=FY","BEST_FPERIOD_OVERRIDE=FY","FILING_STATUS=MR","SCALING_FORMAT=MLN","FA_ADJUSTED=Adjusted","Sort=A","Dates=H","DateFormat=P","Fill=—","Direction=H","UseDPDF=Y")</f>
        <v>1835.1220000000001</v>
      </c>
      <c r="AC50" s="14">
        <f>_xll.BDH("RMS FP Equity","PRETAX_INC","FY 2017","FY 2017","Currency=USD","Period=FY","BEST_FPERIOD_OVERRIDE=FY","FILING_STATUS=MR","SCALING_FORMAT=MLN","FA_ADJUSTED=Adjusted","Sort=A","Dates=H","DateFormat=P","Fill=—","Direction=H","UseDPDF=Y")</f>
        <v>2182.2826</v>
      </c>
      <c r="AD50" s="14">
        <v>2327.3539999999998</v>
      </c>
      <c r="AE50" s="14">
        <v>2498.0859999999998</v>
      </c>
    </row>
    <row r="51" spans="1:31" x14ac:dyDescent="0.25">
      <c r="A51" s="11" t="s">
        <v>65</v>
      </c>
      <c r="B51" s="11" t="s">
        <v>110</v>
      </c>
      <c r="C51" s="16" t="s">
        <v>66</v>
      </c>
      <c r="D51" s="16">
        <v>34.833877496382001</v>
      </c>
      <c r="E51" s="16">
        <v>19.380531724898301</v>
      </c>
      <c r="F51" s="16">
        <v>54.316419779419498</v>
      </c>
      <c r="G51" s="16">
        <v>36.041714496407103</v>
      </c>
      <c r="H51" s="16">
        <v>9.6402269454544207</v>
      </c>
      <c r="I51" s="16">
        <v>11.067814217517901</v>
      </c>
      <c r="J51" s="16">
        <v>2.77177451440352</v>
      </c>
      <c r="K51" s="16">
        <v>15.6423563829541</v>
      </c>
      <c r="L51" s="16">
        <v>31.961264702903598</v>
      </c>
      <c r="M51" s="16">
        <v>2.9676065194174699</v>
      </c>
      <c r="N51" s="16">
        <v>9.7811789681462908</v>
      </c>
      <c r="O51" s="16">
        <v>23.862684188405701</v>
      </c>
      <c r="P51" s="16">
        <v>11.2282140002149</v>
      </c>
      <c r="Q51" s="16">
        <v>12.8056235375093</v>
      </c>
      <c r="R51" s="16">
        <v>6.55336775938129</v>
      </c>
      <c r="S51" s="16">
        <v>16.7356980238293</v>
      </c>
      <c r="T51" s="16">
        <v>14.461639309452099</v>
      </c>
      <c r="U51" s="16">
        <v>-8.0003582697290696</v>
      </c>
      <c r="V51" s="16">
        <v>38.503719056582398</v>
      </c>
      <c r="W51" s="16">
        <v>43.2030372758719</v>
      </c>
      <c r="X51" s="16">
        <v>12.5370169411266</v>
      </c>
      <c r="Y51" s="16">
        <v>14.455029928671999</v>
      </c>
      <c r="Z51" s="16">
        <v>6.9529425159157103</v>
      </c>
      <c r="AA51" s="16">
        <v>-2.3678240100254802</v>
      </c>
      <c r="AB51" s="16">
        <v>8.9030266424590998</v>
      </c>
      <c r="AC51" s="16">
        <v>18.9175926052332</v>
      </c>
      <c r="AD51" s="16">
        <v>6.6472670198169697</v>
      </c>
      <c r="AE51" s="16">
        <v>7.3358844421604896</v>
      </c>
    </row>
    <row r="52" spans="1:31" x14ac:dyDescent="0.25">
      <c r="A52" s="10" t="s">
        <v>111</v>
      </c>
      <c r="B52" s="10" t="s">
        <v>112</v>
      </c>
      <c r="C52" s="12" t="str">
        <f>_xll.BDH("RMS FP Equity","IS_ABNORMAL_ITEM","FY 1991","FY 1991","Currency=USD","Period=FY","BEST_FPERIOD_OVERRIDE=FY","FILING_STATUS=MR","SCALING_FORMAT=MLN","Sort=A","Dates=H","DateFormat=P","Fill=—","Direction=H","UseDPDF=Y")</f>
        <v>—</v>
      </c>
      <c r="D52" s="12" t="str">
        <f>_xll.BDH("RMS FP Equity","IS_ABNORMAL_ITEM","FY 1992","FY 1992","Currency=USD","Period=FY","BEST_FPERIOD_OVERRIDE=FY","FILING_STATUS=MR","SCALING_FORMAT=MLN","Sort=A","Dates=H","DateFormat=P","Fill=—","Direction=H","UseDPDF=Y")</f>
        <v>—</v>
      </c>
      <c r="E52" s="12">
        <f>_xll.BDH("RMS FP Equity","IS_ABNORMAL_ITEM","FY 1993","FY 1993","Currency=USD","Period=FY","BEST_FPERIOD_OVERRIDE=FY","FILING_STATUS=MR","SCALING_FORMAT=MLN","Sort=A","Dates=H","DateFormat=P","Fill=—","Direction=H","UseDPDF=Y")</f>
        <v>0</v>
      </c>
      <c r="F52" s="12">
        <f>_xll.BDH("RMS FP Equity","IS_ABNORMAL_ITEM","FY 1994","FY 1994","Currency=USD","Period=FY","BEST_FPERIOD_OVERRIDE=FY","FILING_STATUS=MR","SCALING_FORMAT=MLN","Sort=A","Dates=H","DateFormat=P","Fill=—","Direction=H","UseDPDF=Y")</f>
        <v>0</v>
      </c>
      <c r="G52" s="12" t="str">
        <f>_xll.BDH("RMS FP Equity","IS_ABNORMAL_ITEM","FY 1995","FY 1995","Currency=USD","Period=FY","BEST_FPERIOD_OVERRIDE=FY","FILING_STATUS=MR","SCALING_FORMAT=MLN","Sort=A","Dates=H","DateFormat=P","Fill=—","Direction=H","UseDPDF=Y")</f>
        <v>—</v>
      </c>
      <c r="H52" s="12" t="str">
        <f>_xll.BDH("RMS FP Equity","IS_ABNORMAL_ITEM","FY 1996","FY 1996","Currency=USD","Period=FY","BEST_FPERIOD_OVERRIDE=FY","FILING_STATUS=MR","SCALING_FORMAT=MLN","Sort=A","Dates=H","DateFormat=P","Fill=—","Direction=H","UseDPDF=Y")</f>
        <v>—</v>
      </c>
      <c r="I52" s="12" t="str">
        <f>_xll.BDH("RMS FP Equity","IS_ABNORMAL_ITEM","FY 1997","FY 1997","Currency=USD","Period=FY","BEST_FPERIOD_OVERRIDE=FY","FILING_STATUS=MR","SCALING_FORMAT=MLN","Sort=A","Dates=H","DateFormat=P","Fill=—","Direction=H","UseDPDF=Y")</f>
        <v>—</v>
      </c>
      <c r="J52" s="12" t="str">
        <f>_xll.BDH("RMS FP Equity","IS_ABNORMAL_ITEM","FY 1998","FY 1998","Currency=USD","Period=FY","BEST_FPERIOD_OVERRIDE=FY","FILING_STATUS=MR","SCALING_FORMAT=MLN","Sort=A","Dates=H","DateFormat=P","Fill=—","Direction=H","UseDPDF=Y")</f>
        <v>—</v>
      </c>
      <c r="K52" s="12" t="str">
        <f>_xll.BDH("RMS FP Equity","IS_ABNORMAL_ITEM","FY 1999","FY 1999","Currency=USD","Period=FY","BEST_FPERIOD_OVERRIDE=FY","FILING_STATUS=MR","SCALING_FORMAT=MLN","Sort=A","Dates=H","DateFormat=P","Fill=—","Direction=H","UseDPDF=Y")</f>
        <v>—</v>
      </c>
      <c r="L52" s="12" t="str">
        <f>_xll.BDH("RMS FP Equity","IS_ABNORMAL_ITEM","FY 2000","FY 2000","Currency=USD","Period=FY","BEST_FPERIOD_OVERRIDE=FY","FILING_STATUS=MR","SCALING_FORMAT=MLN","Sort=A","Dates=H","DateFormat=P","Fill=—","Direction=H","UseDPDF=Y")</f>
        <v>—</v>
      </c>
      <c r="M52" s="12" t="str">
        <f>_xll.BDH("RMS FP Equity","IS_ABNORMAL_ITEM","FY 2001","FY 2001","Currency=USD","Period=FY","BEST_FPERIOD_OVERRIDE=FY","FILING_STATUS=MR","SCALING_FORMAT=MLN","Sort=A","Dates=H","DateFormat=P","Fill=—","Direction=H","UseDPDF=Y")</f>
        <v>—</v>
      </c>
      <c r="N52" s="12" t="str">
        <f>_xll.BDH("RMS FP Equity","IS_ABNORMAL_ITEM","FY 2002","FY 2002","Currency=USD","Period=FY","BEST_FPERIOD_OVERRIDE=FY","FILING_STATUS=MR","SCALING_FORMAT=MLN","Sort=A","Dates=H","DateFormat=P","Fill=—","Direction=H","UseDPDF=Y")</f>
        <v>—</v>
      </c>
      <c r="O52" s="12" t="str">
        <f>_xll.BDH("RMS FP Equity","IS_ABNORMAL_ITEM","FY 2003","FY 2003","Currency=USD","Period=FY","BEST_FPERIOD_OVERRIDE=FY","FILING_STATUS=MR","SCALING_FORMAT=MLN","Sort=A","Dates=H","DateFormat=P","Fill=—","Direction=H","UseDPDF=Y")</f>
        <v>—</v>
      </c>
      <c r="P52" s="12" t="str">
        <f>_xll.BDH("RMS FP Equity","IS_ABNORMAL_ITEM","FY 2004","FY 2004","Currency=USD","Period=FY","BEST_FPERIOD_OVERRIDE=FY","FILING_STATUS=MR","SCALING_FORMAT=MLN","Sort=A","Dates=H","DateFormat=P","Fill=—","Direction=H","UseDPDF=Y")</f>
        <v>—</v>
      </c>
      <c r="Q52" s="12" t="str">
        <f>_xll.BDH("RMS FP Equity","IS_ABNORMAL_ITEM","FY 2005","FY 2005","Currency=USD","Period=FY","BEST_FPERIOD_OVERRIDE=FY","FILING_STATUS=MR","SCALING_FORMAT=MLN","Sort=A","Dates=H","DateFormat=P","Fill=—","Direction=H","UseDPDF=Y")</f>
        <v>—</v>
      </c>
      <c r="R52" s="12" t="str">
        <f>_xll.BDH("RMS FP Equity","IS_ABNORMAL_ITEM","FY 2006","FY 2006","Currency=USD","Period=FY","BEST_FPERIOD_OVERRIDE=FY","FILING_STATUS=MR","SCALING_FORMAT=MLN","Sort=A","Dates=H","DateFormat=P","Fill=—","Direction=H","UseDPDF=Y")</f>
        <v>—</v>
      </c>
      <c r="S52" s="12">
        <f>_xll.BDH("RMS FP Equity","IS_ABNORMAL_ITEM","FY 2007","FY 2007","Currency=USD","Period=FY","BEST_FPERIOD_OVERRIDE=FY","FILING_STATUS=MR","SCALING_FORMAT=MLN","Sort=A","Dates=H","DateFormat=P","Fill=—","Direction=H","UseDPDF=Y")</f>
        <v>0</v>
      </c>
      <c r="T52" s="12">
        <f>_xll.BDH("RMS FP Equity","IS_ABNORMAL_ITEM","FY 2008","FY 2008","Currency=USD","Period=FY","BEST_FPERIOD_OVERRIDE=FY","FILING_STATUS=MR","SCALING_FORMAT=MLN","Sort=A","Dates=H","DateFormat=P","Fill=—","Direction=H","UseDPDF=Y")</f>
        <v>44.715000000000003</v>
      </c>
      <c r="U52" s="12">
        <f>_xll.BDH("RMS FP Equity","IS_ABNORMAL_ITEM","FY 2009","FY 2009","Currency=USD","Period=FY","BEST_FPERIOD_OVERRIDE=FY","FILING_STATUS=MR","SCALING_FORMAT=MLN","Sort=A","Dates=H","DateFormat=P","Fill=—","Direction=H","UseDPDF=Y")</f>
        <v>3.9043999999999999</v>
      </c>
      <c r="V52" s="12">
        <f>_xll.BDH("RMS FP Equity","IS_ABNORMAL_ITEM","FY 2010","FY 2010","Currency=USD","Period=FY","BEST_FPERIOD_OVERRIDE=FY","FILING_STATUS=MR","SCALING_FORMAT=MLN","Sort=A","Dates=H","DateFormat=P","Fill=—","Direction=H","UseDPDF=Y")</f>
        <v>5.0411000000000001</v>
      </c>
      <c r="W52" s="12">
        <f>_xll.BDH("RMS FP Equity","IS_ABNORMAL_ITEM","FY 2011","FY 2011","Currency=USD","Period=FY","BEST_FPERIOD_OVERRIDE=FY","FILING_STATUS=MR","SCALING_FORMAT=MLN","Sort=A","Dates=H","DateFormat=P","Fill=—","Direction=H","UseDPDF=Y")</f>
        <v>2.9239999999999999</v>
      </c>
      <c r="X52" s="12">
        <f>_xll.BDH("RMS FP Equity","IS_ABNORMAL_ITEM","FY 2012","FY 2012","Currency=USD","Period=FY","BEST_FPERIOD_OVERRIDE=FY","FILING_STATUS=MR","SCALING_FORMAT=MLN","Sort=A","Dates=H","DateFormat=P","Fill=—","Direction=H","UseDPDF=Y")</f>
        <v>-4.5004999999999997</v>
      </c>
      <c r="Y52" s="12">
        <f>_xll.BDH("RMS FP Equity","IS_ABNORMAL_ITEM","FY 2013","FY 2013","Currency=USD","Period=FY","BEST_FPERIOD_OVERRIDE=FY","FILING_STATUS=MR","SCALING_FORMAT=MLN","Sort=A","Dates=H","DateFormat=P","Fill=—","Direction=H","UseDPDF=Y")</f>
        <v>26.964700000000001</v>
      </c>
      <c r="Z52" s="12">
        <f>_xll.BDH("RMS FP Equity","IS_ABNORMAL_ITEM","FY 2014","FY 2014","Currency=USD","Period=FY","BEST_FPERIOD_OVERRIDE=FY","FILING_STATUS=MR","SCALING_FORMAT=MLN","Sort=A","Dates=H","DateFormat=P","Fill=—","Direction=H","UseDPDF=Y")</f>
        <v>32.680799999999998</v>
      </c>
      <c r="AA52" s="12">
        <f>_xll.BDH("RMS FP Equity","IS_ABNORMAL_ITEM","FY 2015","FY 2015","Currency=USD","Period=FY","BEST_FPERIOD_OVERRIDE=FY","FILING_STATUS=MR","SCALING_FORMAT=MLN","Sort=A","Dates=H","DateFormat=P","Fill=—","Direction=H","UseDPDF=Y")</f>
        <v>25.53</v>
      </c>
      <c r="AB52" s="12">
        <f>_xll.BDH("RMS FP Equity","IS_ABNORMAL_ITEM","FY 2016","FY 2016","Currency=USD","Period=FY","BEST_FPERIOD_OVERRIDE=FY","FILING_STATUS=MR","SCALING_FORMAT=MLN","Sort=A","Dates=H","DateFormat=P","Fill=—","Direction=H","UseDPDF=Y")</f>
        <v>10.1828</v>
      </c>
      <c r="AC52" s="12">
        <f>_xll.BDH("RMS FP Equity","IS_ABNORMAL_ITEM","FY 2017","FY 2017","Currency=USD","Period=FY","BEST_FPERIOD_OVERRIDE=FY","FILING_STATUS=MR","SCALING_FORMAT=MLN","Sort=A","Dates=H","DateFormat=P","Fill=—","Direction=H","UseDPDF=Y")</f>
        <v>47.335299999999997</v>
      </c>
      <c r="AD52" s="12"/>
      <c r="AE52" s="12"/>
    </row>
    <row r="53" spans="1:31" x14ac:dyDescent="0.25">
      <c r="A53" s="11" t="s">
        <v>65</v>
      </c>
      <c r="B53" s="11" t="s">
        <v>112</v>
      </c>
      <c r="C53" s="16" t="s">
        <v>66</v>
      </c>
      <c r="D53" s="16" t="s">
        <v>66</v>
      </c>
      <c r="E53" s="16" t="s">
        <v>66</v>
      </c>
      <c r="F53" s="16" t="s">
        <v>66</v>
      </c>
      <c r="G53" s="16" t="s">
        <v>66</v>
      </c>
      <c r="H53" s="16" t="s">
        <v>66</v>
      </c>
      <c r="I53" s="16" t="s">
        <v>66</v>
      </c>
      <c r="J53" s="16" t="s">
        <v>66</v>
      </c>
      <c r="K53" s="16" t="s">
        <v>66</v>
      </c>
      <c r="L53" s="16" t="s">
        <v>66</v>
      </c>
      <c r="M53" s="16" t="s">
        <v>66</v>
      </c>
      <c r="N53" s="16" t="s">
        <v>66</v>
      </c>
      <c r="O53" s="16" t="s">
        <v>66</v>
      </c>
      <c r="P53" s="16" t="s">
        <v>66</v>
      </c>
      <c r="Q53" s="16" t="s">
        <v>66</v>
      </c>
      <c r="R53" s="16" t="s">
        <v>66</v>
      </c>
      <c r="S53" s="16" t="s">
        <v>66</v>
      </c>
      <c r="T53" s="16" t="s">
        <v>66</v>
      </c>
      <c r="U53" s="16">
        <v>-91.268210484356501</v>
      </c>
      <c r="V53" s="16">
        <v>29.113110951349299</v>
      </c>
      <c r="W53" s="16">
        <v>-41.996166726375598</v>
      </c>
      <c r="X53" s="16" t="s">
        <v>66</v>
      </c>
      <c r="Y53" s="16" t="s">
        <v>66</v>
      </c>
      <c r="Z53" s="16">
        <v>21.198242713432499</v>
      </c>
      <c r="AA53" s="16">
        <v>-21.8801628160479</v>
      </c>
      <c r="AB53" s="16">
        <v>-60.114431562878103</v>
      </c>
      <c r="AC53" s="16">
        <v>364.85462880134997</v>
      </c>
      <c r="AD53" s="16"/>
      <c r="AE53" s="16"/>
    </row>
    <row r="54" spans="1:31" x14ac:dyDescent="0.25">
      <c r="A54" s="10" t="s">
        <v>113</v>
      </c>
      <c r="B54" s="10" t="s">
        <v>114</v>
      </c>
      <c r="C54" s="12" t="str">
        <f>_xll.BDH("RMS FP Equity","IS_GAIN_LOSS_DISPOSAL_ASSETS","FY 1991","FY 1991","Currency=USD","Period=FY","BEST_FPERIOD_OVERRIDE=FY","FILING_STATUS=MR","SCALING_FORMAT=MLN","Sort=A","Dates=H","DateFormat=P","Fill=—","Direction=H","UseDPDF=Y")</f>
        <v>—</v>
      </c>
      <c r="D54" s="12" t="str">
        <f>_xll.BDH("RMS FP Equity","IS_GAIN_LOSS_DISPOSAL_ASSETS","FY 1992","FY 1992","Currency=USD","Period=FY","BEST_FPERIOD_OVERRIDE=FY","FILING_STATUS=MR","SCALING_FORMAT=MLN","Sort=A","Dates=H","DateFormat=P","Fill=—","Direction=H","UseDPDF=Y")</f>
        <v>—</v>
      </c>
      <c r="E54" s="12" t="str">
        <f>_xll.BDH("RMS FP Equity","IS_GAIN_LOSS_DISPOSAL_ASSETS","FY 1993","FY 1993","Currency=USD","Period=FY","BEST_FPERIOD_OVERRIDE=FY","FILING_STATUS=MR","SCALING_FORMAT=MLN","Sort=A","Dates=H","DateFormat=P","Fill=—","Direction=H","UseDPDF=Y")</f>
        <v>—</v>
      </c>
      <c r="F54" s="12" t="str">
        <f>_xll.BDH("RMS FP Equity","IS_GAIN_LOSS_DISPOSAL_ASSETS","FY 1994","FY 1994","Currency=USD","Period=FY","BEST_FPERIOD_OVERRIDE=FY","FILING_STATUS=MR","SCALING_FORMAT=MLN","Sort=A","Dates=H","DateFormat=P","Fill=—","Direction=H","UseDPDF=Y")</f>
        <v>—</v>
      </c>
      <c r="G54" s="12" t="str">
        <f>_xll.BDH("RMS FP Equity","IS_GAIN_LOSS_DISPOSAL_ASSETS","FY 1995","FY 1995","Currency=USD","Period=FY","BEST_FPERIOD_OVERRIDE=FY","FILING_STATUS=MR","SCALING_FORMAT=MLN","Sort=A","Dates=H","DateFormat=P","Fill=—","Direction=H","UseDPDF=Y")</f>
        <v>—</v>
      </c>
      <c r="H54" s="12" t="str">
        <f>_xll.BDH("RMS FP Equity","IS_GAIN_LOSS_DISPOSAL_ASSETS","FY 1996","FY 1996","Currency=USD","Period=FY","BEST_FPERIOD_OVERRIDE=FY","FILING_STATUS=MR","SCALING_FORMAT=MLN","Sort=A","Dates=H","DateFormat=P","Fill=—","Direction=H","UseDPDF=Y")</f>
        <v>—</v>
      </c>
      <c r="I54" s="12" t="str">
        <f>_xll.BDH("RMS FP Equity","IS_GAIN_LOSS_DISPOSAL_ASSETS","FY 1997","FY 1997","Currency=USD","Period=FY","BEST_FPERIOD_OVERRIDE=FY","FILING_STATUS=MR","SCALING_FORMAT=MLN","Sort=A","Dates=H","DateFormat=P","Fill=—","Direction=H","UseDPDF=Y")</f>
        <v>—</v>
      </c>
      <c r="J54" s="12" t="str">
        <f>_xll.BDH("RMS FP Equity","IS_GAIN_LOSS_DISPOSAL_ASSETS","FY 1998","FY 1998","Currency=USD","Period=FY","BEST_FPERIOD_OVERRIDE=FY","FILING_STATUS=MR","SCALING_FORMAT=MLN","Sort=A","Dates=H","DateFormat=P","Fill=—","Direction=H","UseDPDF=Y")</f>
        <v>—</v>
      </c>
      <c r="K54" s="12" t="str">
        <f>_xll.BDH("RMS FP Equity","IS_GAIN_LOSS_DISPOSAL_ASSETS","FY 1999","FY 1999","Currency=USD","Period=FY","BEST_FPERIOD_OVERRIDE=FY","FILING_STATUS=MR","SCALING_FORMAT=MLN","Sort=A","Dates=H","DateFormat=P","Fill=—","Direction=H","UseDPDF=Y")</f>
        <v>—</v>
      </c>
      <c r="L54" s="12" t="str">
        <f>_xll.BDH("RMS FP Equity","IS_GAIN_LOSS_DISPOSAL_ASSETS","FY 2000","FY 2000","Currency=USD","Period=FY","BEST_FPERIOD_OVERRIDE=FY","FILING_STATUS=MR","SCALING_FORMAT=MLN","Sort=A","Dates=H","DateFormat=P","Fill=—","Direction=H","UseDPDF=Y")</f>
        <v>—</v>
      </c>
      <c r="M54" s="12" t="str">
        <f>_xll.BDH("RMS FP Equity","IS_GAIN_LOSS_DISPOSAL_ASSETS","FY 2001","FY 2001","Currency=USD","Period=FY","BEST_FPERIOD_OVERRIDE=FY","FILING_STATUS=MR","SCALING_FORMAT=MLN","Sort=A","Dates=H","DateFormat=P","Fill=—","Direction=H","UseDPDF=Y")</f>
        <v>—</v>
      </c>
      <c r="N54" s="12" t="str">
        <f>_xll.BDH("RMS FP Equity","IS_GAIN_LOSS_DISPOSAL_ASSETS","FY 2002","FY 2002","Currency=USD","Period=FY","BEST_FPERIOD_OVERRIDE=FY","FILING_STATUS=MR","SCALING_FORMAT=MLN","Sort=A","Dates=H","DateFormat=P","Fill=—","Direction=H","UseDPDF=Y")</f>
        <v>—</v>
      </c>
      <c r="O54" s="12" t="str">
        <f>_xll.BDH("RMS FP Equity","IS_GAIN_LOSS_DISPOSAL_ASSETS","FY 2003","FY 2003","Currency=USD","Period=FY","BEST_FPERIOD_OVERRIDE=FY","FILING_STATUS=MR","SCALING_FORMAT=MLN","Sort=A","Dates=H","DateFormat=P","Fill=—","Direction=H","UseDPDF=Y")</f>
        <v>—</v>
      </c>
      <c r="P54" s="12" t="str">
        <f>_xll.BDH("RMS FP Equity","IS_GAIN_LOSS_DISPOSAL_ASSETS","FY 2004","FY 2004","Currency=USD","Period=FY","BEST_FPERIOD_OVERRIDE=FY","FILING_STATUS=MR","SCALING_FORMAT=MLN","Sort=A","Dates=H","DateFormat=P","Fill=—","Direction=H","UseDPDF=Y")</f>
        <v>—</v>
      </c>
      <c r="Q54" s="12" t="str">
        <f>_xll.BDH("RMS FP Equity","IS_GAIN_LOSS_DISPOSAL_ASSETS","FY 2005","FY 2005","Currency=USD","Period=FY","BEST_FPERIOD_OVERRIDE=FY","FILING_STATUS=MR","SCALING_FORMAT=MLN","Sort=A","Dates=H","DateFormat=P","Fill=—","Direction=H","UseDPDF=Y")</f>
        <v>—</v>
      </c>
      <c r="R54" s="12" t="str">
        <f>_xll.BDH("RMS FP Equity","IS_GAIN_LOSS_DISPOSAL_ASSETS","FY 2006","FY 2006","Currency=USD","Period=FY","BEST_FPERIOD_OVERRIDE=FY","FILING_STATUS=MR","SCALING_FORMAT=MLN","Sort=A","Dates=H","DateFormat=P","Fill=—","Direction=H","UseDPDF=Y")</f>
        <v>—</v>
      </c>
      <c r="S54" s="12" t="str">
        <f>_xll.BDH("RMS FP Equity","IS_GAIN_LOSS_DISPOSAL_ASSETS","FY 2007","FY 2007","Currency=USD","Period=FY","BEST_FPERIOD_OVERRIDE=FY","FILING_STATUS=MR","SCALING_FORMAT=MLN","Sort=A","Dates=H","DateFormat=P","Fill=—","Direction=H","UseDPDF=Y")</f>
        <v>—</v>
      </c>
      <c r="T54" s="12" t="str">
        <f>_xll.BDH("RMS FP Equity","IS_GAIN_LOSS_DISPOSAL_ASSETS","FY 2008","FY 2008","Currency=USD","Period=FY","BEST_FPERIOD_OVERRIDE=FY","FILING_STATUS=MR","SCALING_FORMAT=MLN","Sort=A","Dates=H","DateFormat=P","Fill=—","Direction=H","UseDPDF=Y")</f>
        <v>—</v>
      </c>
      <c r="U54" s="12" t="str">
        <f>_xll.BDH("RMS FP Equity","IS_GAIN_LOSS_DISPOSAL_ASSETS","FY 2009","FY 2009","Currency=USD","Period=FY","BEST_FPERIOD_OVERRIDE=FY","FILING_STATUS=MR","SCALING_FORMAT=MLN","Sort=A","Dates=H","DateFormat=P","Fill=—","Direction=H","UseDPDF=Y")</f>
        <v>—</v>
      </c>
      <c r="V54" s="12" t="str">
        <f>_xll.BDH("RMS FP Equity","IS_GAIN_LOSS_DISPOSAL_ASSETS","FY 2010","FY 2010","Currency=USD","Period=FY","BEST_FPERIOD_OVERRIDE=FY","FILING_STATUS=MR","SCALING_FORMAT=MLN","Sort=A","Dates=H","DateFormat=P","Fill=—","Direction=H","UseDPDF=Y")</f>
        <v>—</v>
      </c>
      <c r="W54" s="12" t="str">
        <f>_xll.BDH("RMS FP Equity","IS_GAIN_LOSS_DISPOSAL_ASSETS","FY 2011","FY 2011","Currency=USD","Period=FY","BEST_FPERIOD_OVERRIDE=FY","FILING_STATUS=MR","SCALING_FORMAT=MLN","Sort=A","Dates=H","DateFormat=P","Fill=—","Direction=H","UseDPDF=Y")</f>
        <v>—</v>
      </c>
      <c r="X54" s="12" t="str">
        <f>_xll.BDH("RMS FP Equity","IS_GAIN_LOSS_DISPOSAL_ASSETS","FY 2012","FY 2012","Currency=USD","Period=FY","BEST_FPERIOD_OVERRIDE=FY","FILING_STATUS=MR","SCALING_FORMAT=MLN","Sort=A","Dates=H","DateFormat=P","Fill=—","Direction=H","UseDPDF=Y")</f>
        <v>—</v>
      </c>
      <c r="Y54" s="12" t="str">
        <f>_xll.BDH("RMS FP Equity","IS_GAIN_LOSS_DISPOSAL_ASSETS","FY 2013","FY 2013","Currency=USD","Period=FY","BEST_FPERIOD_OVERRIDE=FY","FILING_STATUS=MR","SCALING_FORMAT=MLN","Sort=A","Dates=H","DateFormat=P","Fill=—","Direction=H","UseDPDF=Y")</f>
        <v>—</v>
      </c>
      <c r="Z54" s="12" t="str">
        <f>_xll.BDH("RMS FP Equity","IS_GAIN_LOSS_DISPOSAL_ASSETS","FY 2014","FY 2014","Currency=USD","Period=FY","BEST_FPERIOD_OVERRIDE=FY","FILING_STATUS=MR","SCALING_FORMAT=MLN","Sort=A","Dates=H","DateFormat=P","Fill=—","Direction=H","UseDPDF=Y")</f>
        <v>—</v>
      </c>
      <c r="AA54" s="12">
        <f>_xll.BDH("RMS FP Equity","IS_GAIN_LOSS_DISPOSAL_ASSETS","FY 2015","FY 2015","Currency=USD","Period=FY","BEST_FPERIOD_OVERRIDE=FY","FILING_STATUS=MR","SCALING_FORMAT=MLN","Sort=A","Dates=H","DateFormat=P","Fill=—","Direction=H","UseDPDF=Y")</f>
        <v>-4.1070000000000002</v>
      </c>
      <c r="AB54" s="12">
        <f>_xll.BDH("RMS FP Equity","IS_GAIN_LOSS_DISPOSAL_ASSETS","FY 2016","FY 2016","Currency=USD","Period=FY","BEST_FPERIOD_OVERRIDE=FY","FILING_STATUS=MR","SCALING_FORMAT=MLN","Sort=A","Dates=H","DateFormat=P","Fill=—","Direction=H","UseDPDF=Y")</f>
        <v>-20.808399999999999</v>
      </c>
      <c r="AC54" s="12" t="str">
        <f>_xll.BDH("RMS FP Equity","IS_GAIN_LOSS_DISPOSAL_ASSETS","FY 2017","FY 2017","Currency=USD","Period=FY","BEST_FPERIOD_OVERRIDE=FY","FILING_STATUS=MR","SCALING_FORMAT=MLN","Sort=A","Dates=H","DateFormat=P","Fill=—","Direction=H","UseDPDF=Y")</f>
        <v>—</v>
      </c>
      <c r="AD54" s="12"/>
      <c r="AE54" s="12"/>
    </row>
    <row r="55" spans="1:31" x14ac:dyDescent="0.25">
      <c r="A55" s="11" t="s">
        <v>65</v>
      </c>
      <c r="B55" s="11" t="s">
        <v>114</v>
      </c>
      <c r="C55" s="16" t="s">
        <v>66</v>
      </c>
      <c r="D55" s="16" t="s">
        <v>66</v>
      </c>
      <c r="E55" s="16" t="s">
        <v>66</v>
      </c>
      <c r="F55" s="16" t="s">
        <v>66</v>
      </c>
      <c r="G55" s="16" t="s">
        <v>66</v>
      </c>
      <c r="H55" s="16" t="s">
        <v>66</v>
      </c>
      <c r="I55" s="16" t="s">
        <v>66</v>
      </c>
      <c r="J55" s="16" t="s">
        <v>66</v>
      </c>
      <c r="K55" s="16" t="s">
        <v>66</v>
      </c>
      <c r="L55" s="16" t="s">
        <v>66</v>
      </c>
      <c r="M55" s="16" t="s">
        <v>66</v>
      </c>
      <c r="N55" s="16" t="s">
        <v>66</v>
      </c>
      <c r="O55" s="16" t="s">
        <v>66</v>
      </c>
      <c r="P55" s="16" t="s">
        <v>66</v>
      </c>
      <c r="Q55" s="16" t="s">
        <v>66</v>
      </c>
      <c r="R55" s="16" t="s">
        <v>66</v>
      </c>
      <c r="S55" s="16" t="s">
        <v>66</v>
      </c>
      <c r="T55" s="16" t="s">
        <v>66</v>
      </c>
      <c r="U55" s="16" t="s">
        <v>66</v>
      </c>
      <c r="V55" s="16" t="s">
        <v>66</v>
      </c>
      <c r="W55" s="16" t="s">
        <v>66</v>
      </c>
      <c r="X55" s="16" t="s">
        <v>66</v>
      </c>
      <c r="Y55" s="16" t="s">
        <v>66</v>
      </c>
      <c r="Z55" s="16" t="s">
        <v>66</v>
      </c>
      <c r="AA55" s="16" t="s">
        <v>66</v>
      </c>
      <c r="AB55" s="16">
        <v>-406.65456384429501</v>
      </c>
      <c r="AC55" s="16" t="s">
        <v>66</v>
      </c>
      <c r="AD55" s="16"/>
      <c r="AE55" s="16"/>
    </row>
    <row r="56" spans="1:31" x14ac:dyDescent="0.25">
      <c r="A56" s="10" t="s">
        <v>115</v>
      </c>
      <c r="B56" s="10" t="s">
        <v>116</v>
      </c>
      <c r="C56" s="12" t="str">
        <f>_xll.BDH("RMS FP Equity","IS_IMPAIRMENT_ASSETS","FY 1991","FY 1991","Currency=USD","Period=FY","BEST_FPERIOD_OVERRIDE=FY","FILING_STATUS=MR","SCALING_FORMAT=MLN","Sort=A","Dates=H","DateFormat=P","Fill=—","Direction=H","UseDPDF=Y")</f>
        <v>—</v>
      </c>
      <c r="D56" s="12" t="str">
        <f>_xll.BDH("RMS FP Equity","IS_IMPAIRMENT_ASSETS","FY 1992","FY 1992","Currency=USD","Period=FY","BEST_FPERIOD_OVERRIDE=FY","FILING_STATUS=MR","SCALING_FORMAT=MLN","Sort=A","Dates=H","DateFormat=P","Fill=—","Direction=H","UseDPDF=Y")</f>
        <v>—</v>
      </c>
      <c r="E56" s="12" t="str">
        <f>_xll.BDH("RMS FP Equity","IS_IMPAIRMENT_ASSETS","FY 1993","FY 1993","Currency=USD","Period=FY","BEST_FPERIOD_OVERRIDE=FY","FILING_STATUS=MR","SCALING_FORMAT=MLN","Sort=A","Dates=H","DateFormat=P","Fill=—","Direction=H","UseDPDF=Y")</f>
        <v>—</v>
      </c>
      <c r="F56" s="12" t="str">
        <f>_xll.BDH("RMS FP Equity","IS_IMPAIRMENT_ASSETS","FY 1994","FY 1994","Currency=USD","Period=FY","BEST_FPERIOD_OVERRIDE=FY","FILING_STATUS=MR","SCALING_FORMAT=MLN","Sort=A","Dates=H","DateFormat=P","Fill=—","Direction=H","UseDPDF=Y")</f>
        <v>—</v>
      </c>
      <c r="G56" s="12" t="str">
        <f>_xll.BDH("RMS FP Equity","IS_IMPAIRMENT_ASSETS","FY 1995","FY 1995","Currency=USD","Period=FY","BEST_FPERIOD_OVERRIDE=FY","FILING_STATUS=MR","SCALING_FORMAT=MLN","Sort=A","Dates=H","DateFormat=P","Fill=—","Direction=H","UseDPDF=Y")</f>
        <v>—</v>
      </c>
      <c r="H56" s="12" t="str">
        <f>_xll.BDH("RMS FP Equity","IS_IMPAIRMENT_ASSETS","FY 1996","FY 1996","Currency=USD","Period=FY","BEST_FPERIOD_OVERRIDE=FY","FILING_STATUS=MR","SCALING_FORMAT=MLN","Sort=A","Dates=H","DateFormat=P","Fill=—","Direction=H","UseDPDF=Y")</f>
        <v>—</v>
      </c>
      <c r="I56" s="12" t="str">
        <f>_xll.BDH("RMS FP Equity","IS_IMPAIRMENT_ASSETS","FY 1997","FY 1997","Currency=USD","Period=FY","BEST_FPERIOD_OVERRIDE=FY","FILING_STATUS=MR","SCALING_FORMAT=MLN","Sort=A","Dates=H","DateFormat=P","Fill=—","Direction=H","UseDPDF=Y")</f>
        <v>—</v>
      </c>
      <c r="J56" s="12" t="str">
        <f>_xll.BDH("RMS FP Equity","IS_IMPAIRMENT_ASSETS","FY 1998","FY 1998","Currency=USD","Period=FY","BEST_FPERIOD_OVERRIDE=FY","FILING_STATUS=MR","SCALING_FORMAT=MLN","Sort=A","Dates=H","DateFormat=P","Fill=—","Direction=H","UseDPDF=Y")</f>
        <v>—</v>
      </c>
      <c r="K56" s="12" t="str">
        <f>_xll.BDH("RMS FP Equity","IS_IMPAIRMENT_ASSETS","FY 1999","FY 1999","Currency=USD","Period=FY","BEST_FPERIOD_OVERRIDE=FY","FILING_STATUS=MR","SCALING_FORMAT=MLN","Sort=A","Dates=H","DateFormat=P","Fill=—","Direction=H","UseDPDF=Y")</f>
        <v>—</v>
      </c>
      <c r="L56" s="12" t="str">
        <f>_xll.BDH("RMS FP Equity","IS_IMPAIRMENT_ASSETS","FY 2000","FY 2000","Currency=USD","Period=FY","BEST_FPERIOD_OVERRIDE=FY","FILING_STATUS=MR","SCALING_FORMAT=MLN","Sort=A","Dates=H","DateFormat=P","Fill=—","Direction=H","UseDPDF=Y")</f>
        <v>—</v>
      </c>
      <c r="M56" s="12" t="str">
        <f>_xll.BDH("RMS FP Equity","IS_IMPAIRMENT_ASSETS","FY 2001","FY 2001","Currency=USD","Period=FY","BEST_FPERIOD_OVERRIDE=FY","FILING_STATUS=MR","SCALING_FORMAT=MLN","Sort=A","Dates=H","DateFormat=P","Fill=—","Direction=H","UseDPDF=Y")</f>
        <v>—</v>
      </c>
      <c r="N56" s="12" t="str">
        <f>_xll.BDH("RMS FP Equity","IS_IMPAIRMENT_ASSETS","FY 2002","FY 2002","Currency=USD","Period=FY","BEST_FPERIOD_OVERRIDE=FY","FILING_STATUS=MR","SCALING_FORMAT=MLN","Sort=A","Dates=H","DateFormat=P","Fill=—","Direction=H","UseDPDF=Y")</f>
        <v>—</v>
      </c>
      <c r="O56" s="12" t="str">
        <f>_xll.BDH("RMS FP Equity","IS_IMPAIRMENT_ASSETS","FY 2003","FY 2003","Currency=USD","Period=FY","BEST_FPERIOD_OVERRIDE=FY","FILING_STATUS=MR","SCALING_FORMAT=MLN","Sort=A","Dates=H","DateFormat=P","Fill=—","Direction=H","UseDPDF=Y")</f>
        <v>—</v>
      </c>
      <c r="P56" s="12" t="str">
        <f>_xll.BDH("RMS FP Equity","IS_IMPAIRMENT_ASSETS","FY 2004","FY 2004","Currency=USD","Period=FY","BEST_FPERIOD_OVERRIDE=FY","FILING_STATUS=MR","SCALING_FORMAT=MLN","Sort=A","Dates=H","DateFormat=P","Fill=—","Direction=H","UseDPDF=Y")</f>
        <v>—</v>
      </c>
      <c r="Q56" s="12" t="str">
        <f>_xll.BDH("RMS FP Equity","IS_IMPAIRMENT_ASSETS","FY 2005","FY 2005","Currency=USD","Period=FY","BEST_FPERIOD_OVERRIDE=FY","FILING_STATUS=MR","SCALING_FORMAT=MLN","Sort=A","Dates=H","DateFormat=P","Fill=—","Direction=H","UseDPDF=Y")</f>
        <v>—</v>
      </c>
      <c r="R56" s="12" t="str">
        <f>_xll.BDH("RMS FP Equity","IS_IMPAIRMENT_ASSETS","FY 2006","FY 2006","Currency=USD","Period=FY","BEST_FPERIOD_OVERRIDE=FY","FILING_STATUS=MR","SCALING_FORMAT=MLN","Sort=A","Dates=H","DateFormat=P","Fill=—","Direction=H","UseDPDF=Y")</f>
        <v>—</v>
      </c>
      <c r="S56" s="12" t="str">
        <f>_xll.BDH("RMS FP Equity","IS_IMPAIRMENT_ASSETS","FY 2007","FY 2007","Currency=USD","Period=FY","BEST_FPERIOD_OVERRIDE=FY","FILING_STATUS=MR","SCALING_FORMAT=MLN","Sort=A","Dates=H","DateFormat=P","Fill=—","Direction=H","UseDPDF=Y")</f>
        <v>—</v>
      </c>
      <c r="T56" s="12" t="str">
        <f>_xll.BDH("RMS FP Equity","IS_IMPAIRMENT_ASSETS","FY 2008","FY 2008","Currency=USD","Period=FY","BEST_FPERIOD_OVERRIDE=FY","FILING_STATUS=MR","SCALING_FORMAT=MLN","Sort=A","Dates=H","DateFormat=P","Fill=—","Direction=H","UseDPDF=Y")</f>
        <v>—</v>
      </c>
      <c r="U56" s="12">
        <f>_xll.BDH("RMS FP Equity","IS_IMPAIRMENT_ASSETS","FY 2009","FY 2009","Currency=USD","Period=FY","BEST_FPERIOD_OVERRIDE=FY","FILING_STATUS=MR","SCALING_FORMAT=MLN","Sort=A","Dates=H","DateFormat=P","Fill=—","Direction=H","UseDPDF=Y")</f>
        <v>3.9043999999999999</v>
      </c>
      <c r="V56" s="12">
        <f>_xll.BDH("RMS FP Equity","IS_IMPAIRMENT_ASSETS","FY 2010","FY 2010","Currency=USD","Period=FY","BEST_FPERIOD_OVERRIDE=FY","FILING_STATUS=MR","SCALING_FORMAT=MLN","Sort=A","Dates=H","DateFormat=P","Fill=—","Direction=H","UseDPDF=Y")</f>
        <v>4.9085000000000001</v>
      </c>
      <c r="W56" s="12">
        <f>_xll.BDH("RMS FP Equity","IS_IMPAIRMENT_ASSETS","FY 2011","FY 2011","Currency=USD","Period=FY","BEST_FPERIOD_OVERRIDE=FY","FILING_STATUS=MR","SCALING_FORMAT=MLN","Sort=A","Dates=H","DateFormat=P","Fill=—","Direction=H","UseDPDF=Y")</f>
        <v>2.7848000000000002</v>
      </c>
      <c r="X56" s="12">
        <f>_xll.BDH("RMS FP Equity","IS_IMPAIRMENT_ASSETS","FY 2012","FY 2012","Currency=USD","Period=FY","BEST_FPERIOD_OVERRIDE=FY","FILING_STATUS=MR","SCALING_FORMAT=MLN","Sort=A","Dates=H","DateFormat=P","Fill=—","Direction=H","UseDPDF=Y")</f>
        <v>3.7290000000000001</v>
      </c>
      <c r="Y56" s="12">
        <f>_xll.BDH("RMS FP Equity","IS_IMPAIRMENT_ASSETS","FY 2013","FY 2013","Currency=USD","Period=FY","BEST_FPERIOD_OVERRIDE=FY","FILING_STATUS=MR","SCALING_FORMAT=MLN","Sort=A","Dates=H","DateFormat=P","Fill=—","Direction=H","UseDPDF=Y")</f>
        <v>4.2506000000000004</v>
      </c>
      <c r="Z56" s="12">
        <f>_xll.BDH("RMS FP Equity","IS_IMPAIRMENT_ASSETS","FY 2014","FY 2014","Currency=USD","Period=FY","BEST_FPERIOD_OVERRIDE=FY","FILING_STATUS=MR","SCALING_FORMAT=MLN","Sort=A","Dates=H","DateFormat=P","Fill=—","Direction=H","UseDPDF=Y")</f>
        <v>12.0892</v>
      </c>
      <c r="AA56" s="12">
        <f>_xll.BDH("RMS FP Equity","IS_IMPAIRMENT_ASSETS","FY 2015","FY 2015","Currency=USD","Period=FY","BEST_FPERIOD_OVERRIDE=FY","FILING_STATUS=MR","SCALING_FORMAT=MLN","Sort=A","Dates=H","DateFormat=P","Fill=—","Direction=H","UseDPDF=Y")</f>
        <v>16.317</v>
      </c>
      <c r="AB56" s="12">
        <f>_xll.BDH("RMS FP Equity","IS_IMPAIRMENT_ASSETS","FY 2016","FY 2016","Currency=USD","Period=FY","BEST_FPERIOD_OVERRIDE=FY","FILING_STATUS=MR","SCALING_FORMAT=MLN","Sort=A","Dates=H","DateFormat=P","Fill=—","Direction=H","UseDPDF=Y")</f>
        <v>23.6861</v>
      </c>
      <c r="AC56" s="12">
        <f>_xll.BDH("RMS FP Equity","IS_IMPAIRMENT_ASSETS","FY 2017","FY 2017","Currency=USD","Period=FY","BEST_FPERIOD_OVERRIDE=FY","FILING_STATUS=MR","SCALING_FORMAT=MLN","Sort=A","Dates=H","DateFormat=P","Fill=—","Direction=H","UseDPDF=Y")</f>
        <v>47.335299999999997</v>
      </c>
      <c r="AD56" s="12"/>
      <c r="AE56" s="12"/>
    </row>
    <row r="57" spans="1:31" x14ac:dyDescent="0.25">
      <c r="A57" s="11" t="s">
        <v>65</v>
      </c>
      <c r="B57" s="11" t="s">
        <v>116</v>
      </c>
      <c r="C57" s="16" t="s">
        <v>66</v>
      </c>
      <c r="D57" s="16" t="s">
        <v>66</v>
      </c>
      <c r="E57" s="16" t="s">
        <v>66</v>
      </c>
      <c r="F57" s="16" t="s">
        <v>66</v>
      </c>
      <c r="G57" s="16" t="s">
        <v>66</v>
      </c>
      <c r="H57" s="16" t="s">
        <v>66</v>
      </c>
      <c r="I57" s="16" t="s">
        <v>66</v>
      </c>
      <c r="J57" s="16" t="s">
        <v>66</v>
      </c>
      <c r="K57" s="16" t="s">
        <v>66</v>
      </c>
      <c r="L57" s="16" t="s">
        <v>66</v>
      </c>
      <c r="M57" s="16" t="s">
        <v>66</v>
      </c>
      <c r="N57" s="16" t="s">
        <v>66</v>
      </c>
      <c r="O57" s="16" t="s">
        <v>66</v>
      </c>
      <c r="P57" s="16" t="s">
        <v>66</v>
      </c>
      <c r="Q57" s="16" t="s">
        <v>66</v>
      </c>
      <c r="R57" s="16" t="s">
        <v>66</v>
      </c>
      <c r="S57" s="16" t="s">
        <v>66</v>
      </c>
      <c r="T57" s="16" t="s">
        <v>66</v>
      </c>
      <c r="U57" s="16" t="s">
        <v>66</v>
      </c>
      <c r="V57" s="16">
        <v>25.715400201258898</v>
      </c>
      <c r="W57" s="16">
        <v>-43.265231199759</v>
      </c>
      <c r="X57" s="16">
        <v>33.9062282300658</v>
      </c>
      <c r="Y57" s="16">
        <v>13.986923126843299</v>
      </c>
      <c r="Z57" s="16">
        <v>184.41246675176799</v>
      </c>
      <c r="AA57" s="16">
        <v>34.972267078448802</v>
      </c>
      <c r="AB57" s="16">
        <v>45.161763801022801</v>
      </c>
      <c r="AC57" s="16">
        <v>99.844044376003396</v>
      </c>
      <c r="AD57" s="16"/>
      <c r="AE57" s="16"/>
    </row>
    <row r="58" spans="1:31" x14ac:dyDescent="0.25">
      <c r="A58" s="10" t="s">
        <v>117</v>
      </c>
      <c r="B58" s="10" t="s">
        <v>118</v>
      </c>
      <c r="C58" s="12" t="str">
        <f>_xll.BDH("RMS FP Equity","IS_IMPAIRMENT_GOODWILL_INTANGIBL","FY 1991","FY 1991","Currency=USD","Period=FY","BEST_FPERIOD_OVERRIDE=FY","FILING_STATUS=MR","SCALING_FORMAT=MLN","Sort=A","Dates=H","DateFormat=P","Fill=—","Direction=H","UseDPDF=Y")</f>
        <v>—</v>
      </c>
      <c r="D58" s="12" t="str">
        <f>_xll.BDH("RMS FP Equity","IS_IMPAIRMENT_GOODWILL_INTANGIBL","FY 1992","FY 1992","Currency=USD","Period=FY","BEST_FPERIOD_OVERRIDE=FY","FILING_STATUS=MR","SCALING_FORMAT=MLN","Sort=A","Dates=H","DateFormat=P","Fill=—","Direction=H","UseDPDF=Y")</f>
        <v>—</v>
      </c>
      <c r="E58" s="12" t="str">
        <f>_xll.BDH("RMS FP Equity","IS_IMPAIRMENT_GOODWILL_INTANGIBL","FY 1993","FY 1993","Currency=USD","Period=FY","BEST_FPERIOD_OVERRIDE=FY","FILING_STATUS=MR","SCALING_FORMAT=MLN","Sort=A","Dates=H","DateFormat=P","Fill=—","Direction=H","UseDPDF=Y")</f>
        <v>—</v>
      </c>
      <c r="F58" s="12" t="str">
        <f>_xll.BDH("RMS FP Equity","IS_IMPAIRMENT_GOODWILL_INTANGIBL","FY 1994","FY 1994","Currency=USD","Period=FY","BEST_FPERIOD_OVERRIDE=FY","FILING_STATUS=MR","SCALING_FORMAT=MLN","Sort=A","Dates=H","DateFormat=P","Fill=—","Direction=H","UseDPDF=Y")</f>
        <v>—</v>
      </c>
      <c r="G58" s="12" t="str">
        <f>_xll.BDH("RMS FP Equity","IS_IMPAIRMENT_GOODWILL_INTANGIBL","FY 1995","FY 1995","Currency=USD","Period=FY","BEST_FPERIOD_OVERRIDE=FY","FILING_STATUS=MR","SCALING_FORMAT=MLN","Sort=A","Dates=H","DateFormat=P","Fill=—","Direction=H","UseDPDF=Y")</f>
        <v>—</v>
      </c>
      <c r="H58" s="12" t="str">
        <f>_xll.BDH("RMS FP Equity","IS_IMPAIRMENT_GOODWILL_INTANGIBL","FY 1996","FY 1996","Currency=USD","Period=FY","BEST_FPERIOD_OVERRIDE=FY","FILING_STATUS=MR","SCALING_FORMAT=MLN","Sort=A","Dates=H","DateFormat=P","Fill=—","Direction=H","UseDPDF=Y")</f>
        <v>—</v>
      </c>
      <c r="I58" s="12" t="str">
        <f>_xll.BDH("RMS FP Equity","IS_IMPAIRMENT_GOODWILL_INTANGIBL","FY 1997","FY 1997","Currency=USD","Period=FY","BEST_FPERIOD_OVERRIDE=FY","FILING_STATUS=MR","SCALING_FORMAT=MLN","Sort=A","Dates=H","DateFormat=P","Fill=—","Direction=H","UseDPDF=Y")</f>
        <v>—</v>
      </c>
      <c r="J58" s="12" t="str">
        <f>_xll.BDH("RMS FP Equity","IS_IMPAIRMENT_GOODWILL_INTANGIBL","FY 1998","FY 1998","Currency=USD","Period=FY","BEST_FPERIOD_OVERRIDE=FY","FILING_STATUS=MR","SCALING_FORMAT=MLN","Sort=A","Dates=H","DateFormat=P","Fill=—","Direction=H","UseDPDF=Y")</f>
        <v>—</v>
      </c>
      <c r="K58" s="12" t="str">
        <f>_xll.BDH("RMS FP Equity","IS_IMPAIRMENT_GOODWILL_INTANGIBL","FY 1999","FY 1999","Currency=USD","Period=FY","BEST_FPERIOD_OVERRIDE=FY","FILING_STATUS=MR","SCALING_FORMAT=MLN","Sort=A","Dates=H","DateFormat=P","Fill=—","Direction=H","UseDPDF=Y")</f>
        <v>—</v>
      </c>
      <c r="L58" s="12" t="str">
        <f>_xll.BDH("RMS FP Equity","IS_IMPAIRMENT_GOODWILL_INTANGIBL","FY 2000","FY 2000","Currency=USD","Period=FY","BEST_FPERIOD_OVERRIDE=FY","FILING_STATUS=MR","SCALING_FORMAT=MLN","Sort=A","Dates=H","DateFormat=P","Fill=—","Direction=H","UseDPDF=Y")</f>
        <v>—</v>
      </c>
      <c r="M58" s="12" t="str">
        <f>_xll.BDH("RMS FP Equity","IS_IMPAIRMENT_GOODWILL_INTANGIBL","FY 2001","FY 2001","Currency=USD","Period=FY","BEST_FPERIOD_OVERRIDE=FY","FILING_STATUS=MR","SCALING_FORMAT=MLN","Sort=A","Dates=H","DateFormat=P","Fill=—","Direction=H","UseDPDF=Y")</f>
        <v>—</v>
      </c>
      <c r="N58" s="12" t="str">
        <f>_xll.BDH("RMS FP Equity","IS_IMPAIRMENT_GOODWILL_INTANGIBL","FY 2002","FY 2002","Currency=USD","Period=FY","BEST_FPERIOD_OVERRIDE=FY","FILING_STATUS=MR","SCALING_FORMAT=MLN","Sort=A","Dates=H","DateFormat=P","Fill=—","Direction=H","UseDPDF=Y")</f>
        <v>—</v>
      </c>
      <c r="O58" s="12" t="str">
        <f>_xll.BDH("RMS FP Equity","IS_IMPAIRMENT_GOODWILL_INTANGIBL","FY 2003","FY 2003","Currency=USD","Period=FY","BEST_FPERIOD_OVERRIDE=FY","FILING_STATUS=MR","SCALING_FORMAT=MLN","Sort=A","Dates=H","DateFormat=P","Fill=—","Direction=H","UseDPDF=Y")</f>
        <v>—</v>
      </c>
      <c r="P58" s="12" t="str">
        <f>_xll.BDH("RMS FP Equity","IS_IMPAIRMENT_GOODWILL_INTANGIBL","FY 2004","FY 2004","Currency=USD","Period=FY","BEST_FPERIOD_OVERRIDE=FY","FILING_STATUS=MR","SCALING_FORMAT=MLN","Sort=A","Dates=H","DateFormat=P","Fill=—","Direction=H","UseDPDF=Y")</f>
        <v>—</v>
      </c>
      <c r="Q58" s="12" t="str">
        <f>_xll.BDH("RMS FP Equity","IS_IMPAIRMENT_GOODWILL_INTANGIBL","FY 2005","FY 2005","Currency=USD","Period=FY","BEST_FPERIOD_OVERRIDE=FY","FILING_STATUS=MR","SCALING_FORMAT=MLN","Sort=A","Dates=H","DateFormat=P","Fill=—","Direction=H","UseDPDF=Y")</f>
        <v>—</v>
      </c>
      <c r="R58" s="12" t="str">
        <f>_xll.BDH("RMS FP Equity","IS_IMPAIRMENT_GOODWILL_INTANGIBL","FY 2006","FY 2006","Currency=USD","Period=FY","BEST_FPERIOD_OVERRIDE=FY","FILING_STATUS=MR","SCALING_FORMAT=MLN","Sort=A","Dates=H","DateFormat=P","Fill=—","Direction=H","UseDPDF=Y")</f>
        <v>—</v>
      </c>
      <c r="S58" s="12" t="str">
        <f>_xll.BDH("RMS FP Equity","IS_IMPAIRMENT_GOODWILL_INTANGIBL","FY 2007","FY 2007","Currency=USD","Period=FY","BEST_FPERIOD_OVERRIDE=FY","FILING_STATUS=MR","SCALING_FORMAT=MLN","Sort=A","Dates=H","DateFormat=P","Fill=—","Direction=H","UseDPDF=Y")</f>
        <v>—</v>
      </c>
      <c r="T58" s="12">
        <f>_xll.BDH("RMS FP Equity","IS_IMPAIRMENT_GOODWILL_INTANGIBL","FY 2008","FY 2008","Currency=USD","Period=FY","BEST_FPERIOD_OVERRIDE=FY","FILING_STATUS=MR","SCALING_FORMAT=MLN","Sort=A","Dates=H","DateFormat=P","Fill=—","Direction=H","UseDPDF=Y")</f>
        <v>44.715000000000003</v>
      </c>
      <c r="U58" s="12" t="str">
        <f>_xll.BDH("RMS FP Equity","IS_IMPAIRMENT_GOODWILL_INTANGIBL","FY 2009","FY 2009","Currency=USD","Period=FY","BEST_FPERIOD_OVERRIDE=FY","FILING_STATUS=MR","SCALING_FORMAT=MLN","Sort=A","Dates=H","DateFormat=P","Fill=—","Direction=H","UseDPDF=Y")</f>
        <v>—</v>
      </c>
      <c r="V58" s="12" t="str">
        <f>_xll.BDH("RMS FP Equity","IS_IMPAIRMENT_GOODWILL_INTANGIBL","FY 2010","FY 2010","Currency=USD","Period=FY","BEST_FPERIOD_OVERRIDE=FY","FILING_STATUS=MR","SCALING_FORMAT=MLN","Sort=A","Dates=H","DateFormat=P","Fill=—","Direction=H","UseDPDF=Y")</f>
        <v>—</v>
      </c>
      <c r="W58" s="12" t="str">
        <f>_xll.BDH("RMS FP Equity","IS_IMPAIRMENT_GOODWILL_INTANGIBL","FY 2011","FY 2011","Currency=USD","Period=FY","BEST_FPERIOD_OVERRIDE=FY","FILING_STATUS=MR","SCALING_FORMAT=MLN","Sort=A","Dates=H","DateFormat=P","Fill=—","Direction=H","UseDPDF=Y")</f>
        <v>—</v>
      </c>
      <c r="X58" s="12">
        <f>_xll.BDH("RMS FP Equity","IS_IMPAIRMENT_GOODWILL_INTANGIBL","FY 2012","FY 2012","Currency=USD","Period=FY","BEST_FPERIOD_OVERRIDE=FY","FILING_STATUS=MR","SCALING_FORMAT=MLN","Sort=A","Dates=H","DateFormat=P","Fill=—","Direction=H","UseDPDF=Y")</f>
        <v>32.146799999999999</v>
      </c>
      <c r="Y58" s="12">
        <f>_xll.BDH("RMS FP Equity","IS_IMPAIRMENT_GOODWILL_INTANGIBL","FY 2013","FY 2013","Currency=USD","Period=FY","BEST_FPERIOD_OVERRIDE=FY","FILING_STATUS=MR","SCALING_FORMAT=MLN","Sort=A","Dates=H","DateFormat=P","Fill=—","Direction=H","UseDPDF=Y")</f>
        <v>22.714099999999998</v>
      </c>
      <c r="Z58" s="12">
        <f>_xll.BDH("RMS FP Equity","IS_IMPAIRMENT_GOODWILL_INTANGIBL","FY 2014","FY 2014","Currency=USD","Period=FY","BEST_FPERIOD_OVERRIDE=FY","FILING_STATUS=MR","SCALING_FORMAT=MLN","Sort=A","Dates=H","DateFormat=P","Fill=—","Direction=H","UseDPDF=Y")</f>
        <v>20.193000000000001</v>
      </c>
      <c r="AA58" s="12">
        <f>_xll.BDH("RMS FP Equity","IS_IMPAIRMENT_GOODWILL_INTANGIBL","FY 2015","FY 2015","Currency=USD","Period=FY","BEST_FPERIOD_OVERRIDE=FY","FILING_STATUS=MR","SCALING_FORMAT=MLN","Sort=A","Dates=H","DateFormat=P","Fill=—","Direction=H","UseDPDF=Y")</f>
        <v>12.432</v>
      </c>
      <c r="AB58" s="12" t="str">
        <f>_xll.BDH("RMS FP Equity","IS_IMPAIRMENT_GOODWILL_INTANGIBL","FY 2016","FY 2016","Currency=USD","Period=FY","BEST_FPERIOD_OVERRIDE=FY","FILING_STATUS=MR","SCALING_FORMAT=MLN","Sort=A","Dates=H","DateFormat=P","Fill=—","Direction=H","UseDPDF=Y")</f>
        <v>—</v>
      </c>
      <c r="AC58" s="12" t="str">
        <f>_xll.BDH("RMS FP Equity","IS_IMPAIRMENT_GOODWILL_INTANGIBL","FY 2017","FY 2017","Currency=USD","Period=FY","BEST_FPERIOD_OVERRIDE=FY","FILING_STATUS=MR","SCALING_FORMAT=MLN","Sort=A","Dates=H","DateFormat=P","Fill=—","Direction=H","UseDPDF=Y")</f>
        <v>—</v>
      </c>
      <c r="AD58" s="12"/>
      <c r="AE58" s="12"/>
    </row>
    <row r="59" spans="1:31" x14ac:dyDescent="0.25">
      <c r="A59" s="11" t="s">
        <v>65</v>
      </c>
      <c r="B59" s="11" t="s">
        <v>118</v>
      </c>
      <c r="C59" s="16" t="s">
        <v>66</v>
      </c>
      <c r="D59" s="16" t="s">
        <v>66</v>
      </c>
      <c r="E59" s="16" t="s">
        <v>66</v>
      </c>
      <c r="F59" s="16" t="s">
        <v>66</v>
      </c>
      <c r="G59" s="16" t="s">
        <v>66</v>
      </c>
      <c r="H59" s="16" t="s">
        <v>66</v>
      </c>
      <c r="I59" s="16" t="s">
        <v>66</v>
      </c>
      <c r="J59" s="16" t="s">
        <v>66</v>
      </c>
      <c r="K59" s="16" t="s">
        <v>66</v>
      </c>
      <c r="L59" s="16" t="s">
        <v>66</v>
      </c>
      <c r="M59" s="16" t="s">
        <v>66</v>
      </c>
      <c r="N59" s="16" t="s">
        <v>66</v>
      </c>
      <c r="O59" s="16" t="s">
        <v>66</v>
      </c>
      <c r="P59" s="16" t="s">
        <v>66</v>
      </c>
      <c r="Q59" s="16" t="s">
        <v>66</v>
      </c>
      <c r="R59" s="16" t="s">
        <v>66</v>
      </c>
      <c r="S59" s="16" t="s">
        <v>66</v>
      </c>
      <c r="T59" s="16" t="s">
        <v>66</v>
      </c>
      <c r="U59" s="16" t="s">
        <v>66</v>
      </c>
      <c r="V59" s="16" t="s">
        <v>66</v>
      </c>
      <c r="W59" s="16" t="s">
        <v>66</v>
      </c>
      <c r="X59" s="16" t="s">
        <v>66</v>
      </c>
      <c r="Y59" s="16">
        <v>-29.342366110294702</v>
      </c>
      <c r="Z59" s="16">
        <v>-11.099393012779</v>
      </c>
      <c r="AA59" s="16">
        <v>-38.433703251603902</v>
      </c>
      <c r="AB59" s="16" t="s">
        <v>66</v>
      </c>
      <c r="AC59" s="16" t="s">
        <v>66</v>
      </c>
      <c r="AD59" s="16"/>
      <c r="AE59" s="16"/>
    </row>
    <row r="60" spans="1:31" x14ac:dyDescent="0.25">
      <c r="A60" s="10" t="s">
        <v>119</v>
      </c>
      <c r="B60" s="10" t="s">
        <v>120</v>
      </c>
      <c r="C60" s="12" t="str">
        <f>_xll.BDH("RMS FP Equity","IS_IMPAIR_OF_INTANG_ASSETS","FY 1991","FY 1991","Currency=USD","Period=FY","BEST_FPERIOD_OVERRIDE=FY","FILING_STATUS=MR","SCALING_FORMAT=MLN","Sort=A","Dates=H","DateFormat=P","Fill=—","Direction=H","UseDPDF=Y")</f>
        <v>—</v>
      </c>
      <c r="D60" s="12" t="str">
        <f>_xll.BDH("RMS FP Equity","IS_IMPAIR_OF_INTANG_ASSETS","FY 1992","FY 1992","Currency=USD","Period=FY","BEST_FPERIOD_OVERRIDE=FY","FILING_STATUS=MR","SCALING_FORMAT=MLN","Sort=A","Dates=H","DateFormat=P","Fill=—","Direction=H","UseDPDF=Y")</f>
        <v>—</v>
      </c>
      <c r="E60" s="12" t="str">
        <f>_xll.BDH("RMS FP Equity","IS_IMPAIR_OF_INTANG_ASSETS","FY 1993","FY 1993","Currency=USD","Period=FY","BEST_FPERIOD_OVERRIDE=FY","FILING_STATUS=MR","SCALING_FORMAT=MLN","Sort=A","Dates=H","DateFormat=P","Fill=—","Direction=H","UseDPDF=Y")</f>
        <v>—</v>
      </c>
      <c r="F60" s="12" t="str">
        <f>_xll.BDH("RMS FP Equity","IS_IMPAIR_OF_INTANG_ASSETS","FY 1994","FY 1994","Currency=USD","Period=FY","BEST_FPERIOD_OVERRIDE=FY","FILING_STATUS=MR","SCALING_FORMAT=MLN","Sort=A","Dates=H","DateFormat=P","Fill=—","Direction=H","UseDPDF=Y")</f>
        <v>—</v>
      </c>
      <c r="G60" s="12" t="str">
        <f>_xll.BDH("RMS FP Equity","IS_IMPAIR_OF_INTANG_ASSETS","FY 1995","FY 1995","Currency=USD","Period=FY","BEST_FPERIOD_OVERRIDE=FY","FILING_STATUS=MR","SCALING_FORMAT=MLN","Sort=A","Dates=H","DateFormat=P","Fill=—","Direction=H","UseDPDF=Y")</f>
        <v>—</v>
      </c>
      <c r="H60" s="12" t="str">
        <f>_xll.BDH("RMS FP Equity","IS_IMPAIR_OF_INTANG_ASSETS","FY 1996","FY 1996","Currency=USD","Period=FY","BEST_FPERIOD_OVERRIDE=FY","FILING_STATUS=MR","SCALING_FORMAT=MLN","Sort=A","Dates=H","DateFormat=P","Fill=—","Direction=H","UseDPDF=Y")</f>
        <v>—</v>
      </c>
      <c r="I60" s="12" t="str">
        <f>_xll.BDH("RMS FP Equity","IS_IMPAIR_OF_INTANG_ASSETS","FY 1997","FY 1997","Currency=USD","Period=FY","BEST_FPERIOD_OVERRIDE=FY","FILING_STATUS=MR","SCALING_FORMAT=MLN","Sort=A","Dates=H","DateFormat=P","Fill=—","Direction=H","UseDPDF=Y")</f>
        <v>—</v>
      </c>
      <c r="J60" s="12" t="str">
        <f>_xll.BDH("RMS FP Equity","IS_IMPAIR_OF_INTANG_ASSETS","FY 1998","FY 1998","Currency=USD","Period=FY","BEST_FPERIOD_OVERRIDE=FY","FILING_STATUS=MR","SCALING_FORMAT=MLN","Sort=A","Dates=H","DateFormat=P","Fill=—","Direction=H","UseDPDF=Y")</f>
        <v>—</v>
      </c>
      <c r="K60" s="12" t="str">
        <f>_xll.BDH("RMS FP Equity","IS_IMPAIR_OF_INTANG_ASSETS","FY 1999","FY 1999","Currency=USD","Period=FY","BEST_FPERIOD_OVERRIDE=FY","FILING_STATUS=MR","SCALING_FORMAT=MLN","Sort=A","Dates=H","DateFormat=P","Fill=—","Direction=H","UseDPDF=Y")</f>
        <v>—</v>
      </c>
      <c r="L60" s="12" t="str">
        <f>_xll.BDH("RMS FP Equity","IS_IMPAIR_OF_INTANG_ASSETS","FY 2000","FY 2000","Currency=USD","Period=FY","BEST_FPERIOD_OVERRIDE=FY","FILING_STATUS=MR","SCALING_FORMAT=MLN","Sort=A","Dates=H","DateFormat=P","Fill=—","Direction=H","UseDPDF=Y")</f>
        <v>—</v>
      </c>
      <c r="M60" s="12" t="str">
        <f>_xll.BDH("RMS FP Equity","IS_IMPAIR_OF_INTANG_ASSETS","FY 2001","FY 2001","Currency=USD","Period=FY","BEST_FPERIOD_OVERRIDE=FY","FILING_STATUS=MR","SCALING_FORMAT=MLN","Sort=A","Dates=H","DateFormat=P","Fill=—","Direction=H","UseDPDF=Y")</f>
        <v>—</v>
      </c>
      <c r="N60" s="12" t="str">
        <f>_xll.BDH("RMS FP Equity","IS_IMPAIR_OF_INTANG_ASSETS","FY 2002","FY 2002","Currency=USD","Period=FY","BEST_FPERIOD_OVERRIDE=FY","FILING_STATUS=MR","SCALING_FORMAT=MLN","Sort=A","Dates=H","DateFormat=P","Fill=—","Direction=H","UseDPDF=Y")</f>
        <v>—</v>
      </c>
      <c r="O60" s="12" t="str">
        <f>_xll.BDH("RMS FP Equity","IS_IMPAIR_OF_INTANG_ASSETS","FY 2003","FY 2003","Currency=USD","Period=FY","BEST_FPERIOD_OVERRIDE=FY","FILING_STATUS=MR","SCALING_FORMAT=MLN","Sort=A","Dates=H","DateFormat=P","Fill=—","Direction=H","UseDPDF=Y")</f>
        <v>—</v>
      </c>
      <c r="P60" s="12" t="str">
        <f>_xll.BDH("RMS FP Equity","IS_IMPAIR_OF_INTANG_ASSETS","FY 2004","FY 2004","Currency=USD","Period=FY","BEST_FPERIOD_OVERRIDE=FY","FILING_STATUS=MR","SCALING_FORMAT=MLN","Sort=A","Dates=H","DateFormat=P","Fill=—","Direction=H","UseDPDF=Y")</f>
        <v>—</v>
      </c>
      <c r="Q60" s="12" t="str">
        <f>_xll.BDH("RMS FP Equity","IS_IMPAIR_OF_INTANG_ASSETS","FY 2005","FY 2005","Currency=USD","Period=FY","BEST_FPERIOD_OVERRIDE=FY","FILING_STATUS=MR","SCALING_FORMAT=MLN","Sort=A","Dates=H","DateFormat=P","Fill=—","Direction=H","UseDPDF=Y")</f>
        <v>—</v>
      </c>
      <c r="R60" s="12" t="str">
        <f>_xll.BDH("RMS FP Equity","IS_IMPAIR_OF_INTANG_ASSETS","FY 2006","FY 2006","Currency=USD","Period=FY","BEST_FPERIOD_OVERRIDE=FY","FILING_STATUS=MR","SCALING_FORMAT=MLN","Sort=A","Dates=H","DateFormat=P","Fill=—","Direction=H","UseDPDF=Y")</f>
        <v>—</v>
      </c>
      <c r="S60" s="12" t="str">
        <f>_xll.BDH("RMS FP Equity","IS_IMPAIR_OF_INTANG_ASSETS","FY 2007","FY 2007","Currency=USD","Period=FY","BEST_FPERIOD_OVERRIDE=FY","FILING_STATUS=MR","SCALING_FORMAT=MLN","Sort=A","Dates=H","DateFormat=P","Fill=—","Direction=H","UseDPDF=Y")</f>
        <v>—</v>
      </c>
      <c r="T60" s="12" t="str">
        <f>_xll.BDH("RMS FP Equity","IS_IMPAIR_OF_INTANG_ASSETS","FY 2008","FY 2008","Currency=USD","Period=FY","BEST_FPERIOD_OVERRIDE=FY","FILING_STATUS=MR","SCALING_FORMAT=MLN","Sort=A","Dates=H","DateFormat=P","Fill=—","Direction=H","UseDPDF=Y")</f>
        <v>—</v>
      </c>
      <c r="U60" s="12" t="str">
        <f>_xll.BDH("RMS FP Equity","IS_IMPAIR_OF_INTANG_ASSETS","FY 2009","FY 2009","Currency=USD","Period=FY","BEST_FPERIOD_OVERRIDE=FY","FILING_STATUS=MR","SCALING_FORMAT=MLN","Sort=A","Dates=H","DateFormat=P","Fill=—","Direction=H","UseDPDF=Y")</f>
        <v>—</v>
      </c>
      <c r="V60" s="12">
        <f>_xll.BDH("RMS FP Equity","IS_IMPAIR_OF_INTANG_ASSETS","FY 2010","FY 2010","Currency=USD","Period=FY","BEST_FPERIOD_OVERRIDE=FY","FILING_STATUS=MR","SCALING_FORMAT=MLN","Sort=A","Dates=H","DateFormat=P","Fill=—","Direction=H","UseDPDF=Y")</f>
        <v>0.13270000000000001</v>
      </c>
      <c r="W60" s="12">
        <f>_xll.BDH("RMS FP Equity","IS_IMPAIR_OF_INTANG_ASSETS","FY 2011","FY 2011","Currency=USD","Period=FY","BEST_FPERIOD_OVERRIDE=FY","FILING_STATUS=MR","SCALING_FORMAT=MLN","Sort=A","Dates=H","DateFormat=P","Fill=—","Direction=H","UseDPDF=Y")</f>
        <v>0.13919999999999999</v>
      </c>
      <c r="X60" s="12">
        <f>_xll.BDH("RMS FP Equity","IS_IMPAIR_OF_INTANG_ASSETS","FY 2012","FY 2012","Currency=USD","Period=FY","BEST_FPERIOD_OVERRIDE=FY","FILING_STATUS=MR","SCALING_FORMAT=MLN","Sort=A","Dates=H","DateFormat=P","Fill=—","Direction=H","UseDPDF=Y")</f>
        <v>0.12859999999999999</v>
      </c>
      <c r="Y60" s="12" t="str">
        <f>_xll.BDH("RMS FP Equity","IS_IMPAIR_OF_INTANG_ASSETS","FY 2013","FY 2013","Currency=USD","Period=FY","BEST_FPERIOD_OVERRIDE=FY","FILING_STATUS=MR","SCALING_FORMAT=MLN","Sort=A","Dates=H","DateFormat=P","Fill=—","Direction=H","UseDPDF=Y")</f>
        <v>—</v>
      </c>
      <c r="Z60" s="12">
        <f>_xll.BDH("RMS FP Equity","IS_IMPAIR_OF_INTANG_ASSETS","FY 2014","FY 2014","Currency=USD","Period=FY","BEST_FPERIOD_OVERRIDE=FY","FILING_STATUS=MR","SCALING_FORMAT=MLN","Sort=A","Dates=H","DateFormat=P","Fill=—","Direction=H","UseDPDF=Y")</f>
        <v>0.39850000000000002</v>
      </c>
      <c r="AA60" s="12">
        <f>_xll.BDH("RMS FP Equity","IS_IMPAIR_OF_INTANG_ASSETS","FY 2015","FY 2015","Currency=USD","Period=FY","BEST_FPERIOD_OVERRIDE=FY","FILING_STATUS=MR","SCALING_FORMAT=MLN","Sort=A","Dates=H","DateFormat=P","Fill=—","Direction=H","UseDPDF=Y")</f>
        <v>0.88800000000000001</v>
      </c>
      <c r="AB60" s="12">
        <f>_xll.BDH("RMS FP Equity","IS_IMPAIR_OF_INTANG_ASSETS","FY 2016","FY 2016","Currency=USD","Period=FY","BEST_FPERIOD_OVERRIDE=FY","FILING_STATUS=MR","SCALING_FORMAT=MLN","Sort=A","Dates=H","DateFormat=P","Fill=—","Direction=H","UseDPDF=Y")</f>
        <v>7.3051000000000004</v>
      </c>
      <c r="AC60" s="12" t="str">
        <f>_xll.BDH("RMS FP Equity","IS_IMPAIR_OF_INTANG_ASSETS","FY 2017","FY 2017","Currency=USD","Period=FY","BEST_FPERIOD_OVERRIDE=FY","FILING_STATUS=MR","SCALING_FORMAT=MLN","Sort=A","Dates=H","DateFormat=P","Fill=—","Direction=H","UseDPDF=Y")</f>
        <v>—</v>
      </c>
      <c r="AD60" s="12"/>
      <c r="AE60" s="12"/>
    </row>
    <row r="61" spans="1:31" x14ac:dyDescent="0.25">
      <c r="A61" s="11" t="s">
        <v>65</v>
      </c>
      <c r="B61" s="11" t="s">
        <v>120</v>
      </c>
      <c r="C61" s="16" t="s">
        <v>66</v>
      </c>
      <c r="D61" s="16" t="s">
        <v>66</v>
      </c>
      <c r="E61" s="16" t="s">
        <v>66</v>
      </c>
      <c r="F61" s="16" t="s">
        <v>66</v>
      </c>
      <c r="G61" s="16" t="s">
        <v>66</v>
      </c>
      <c r="H61" s="16" t="s">
        <v>66</v>
      </c>
      <c r="I61" s="16" t="s">
        <v>66</v>
      </c>
      <c r="J61" s="16" t="s">
        <v>66</v>
      </c>
      <c r="K61" s="16" t="s">
        <v>66</v>
      </c>
      <c r="L61" s="16" t="s">
        <v>66</v>
      </c>
      <c r="M61" s="16" t="s">
        <v>66</v>
      </c>
      <c r="N61" s="16" t="s">
        <v>66</v>
      </c>
      <c r="O61" s="16" t="s">
        <v>66</v>
      </c>
      <c r="P61" s="16" t="s">
        <v>66</v>
      </c>
      <c r="Q61" s="16" t="s">
        <v>66</v>
      </c>
      <c r="R61" s="16" t="s">
        <v>66</v>
      </c>
      <c r="S61" s="16" t="s">
        <v>66</v>
      </c>
      <c r="T61" s="16" t="s">
        <v>66</v>
      </c>
      <c r="U61" s="16" t="s">
        <v>66</v>
      </c>
      <c r="V61" s="16" t="s">
        <v>66</v>
      </c>
      <c r="W61" s="16">
        <v>4.9592570536932499</v>
      </c>
      <c r="X61" s="16">
        <v>-7.65081873024993</v>
      </c>
      <c r="Y61" s="16" t="s">
        <v>66</v>
      </c>
      <c r="Z61" s="16" t="s">
        <v>66</v>
      </c>
      <c r="AA61" s="16">
        <v>122.811670421984</v>
      </c>
      <c r="AB61" s="16">
        <v>722.63957378714395</v>
      </c>
      <c r="AC61" s="16" t="s">
        <v>66</v>
      </c>
      <c r="AD61" s="16"/>
      <c r="AE61" s="16"/>
    </row>
    <row r="62" spans="1:31" x14ac:dyDescent="0.25">
      <c r="A62" s="10" t="s">
        <v>121</v>
      </c>
      <c r="B62" s="10" t="s">
        <v>122</v>
      </c>
      <c r="C62" s="12" t="str">
        <f>_xll.BDH("RMS FP Equity","IS_OTHER_ONE_TIME_ITEMS","FY 1991","FY 1991","Currency=USD","Period=FY","BEST_FPERIOD_OVERRIDE=FY","FILING_STATUS=MR","SCALING_FORMAT=MLN","Sort=A","Dates=H","DateFormat=P","Fill=—","Direction=H","UseDPDF=Y")</f>
        <v>—</v>
      </c>
      <c r="D62" s="12" t="str">
        <f>_xll.BDH("RMS FP Equity","IS_OTHER_ONE_TIME_ITEMS","FY 1992","FY 1992","Currency=USD","Period=FY","BEST_FPERIOD_OVERRIDE=FY","FILING_STATUS=MR","SCALING_FORMAT=MLN","Sort=A","Dates=H","DateFormat=P","Fill=—","Direction=H","UseDPDF=Y")</f>
        <v>—</v>
      </c>
      <c r="E62" s="12" t="str">
        <f>_xll.BDH("RMS FP Equity","IS_OTHER_ONE_TIME_ITEMS","FY 1993","FY 1993","Currency=USD","Period=FY","BEST_FPERIOD_OVERRIDE=FY","FILING_STATUS=MR","SCALING_FORMAT=MLN","Sort=A","Dates=H","DateFormat=P","Fill=—","Direction=H","UseDPDF=Y")</f>
        <v>—</v>
      </c>
      <c r="F62" s="12" t="str">
        <f>_xll.BDH("RMS FP Equity","IS_OTHER_ONE_TIME_ITEMS","FY 1994","FY 1994","Currency=USD","Period=FY","BEST_FPERIOD_OVERRIDE=FY","FILING_STATUS=MR","SCALING_FORMAT=MLN","Sort=A","Dates=H","DateFormat=P","Fill=—","Direction=H","UseDPDF=Y")</f>
        <v>—</v>
      </c>
      <c r="G62" s="12" t="str">
        <f>_xll.BDH("RMS FP Equity","IS_OTHER_ONE_TIME_ITEMS","FY 1995","FY 1995","Currency=USD","Period=FY","BEST_FPERIOD_OVERRIDE=FY","FILING_STATUS=MR","SCALING_FORMAT=MLN","Sort=A","Dates=H","DateFormat=P","Fill=—","Direction=H","UseDPDF=Y")</f>
        <v>—</v>
      </c>
      <c r="H62" s="12" t="str">
        <f>_xll.BDH("RMS FP Equity","IS_OTHER_ONE_TIME_ITEMS","FY 1996","FY 1996","Currency=USD","Period=FY","BEST_FPERIOD_OVERRIDE=FY","FILING_STATUS=MR","SCALING_FORMAT=MLN","Sort=A","Dates=H","DateFormat=P","Fill=—","Direction=H","UseDPDF=Y")</f>
        <v>—</v>
      </c>
      <c r="I62" s="12" t="str">
        <f>_xll.BDH("RMS FP Equity","IS_OTHER_ONE_TIME_ITEMS","FY 1997","FY 1997","Currency=USD","Period=FY","BEST_FPERIOD_OVERRIDE=FY","FILING_STATUS=MR","SCALING_FORMAT=MLN","Sort=A","Dates=H","DateFormat=P","Fill=—","Direction=H","UseDPDF=Y")</f>
        <v>—</v>
      </c>
      <c r="J62" s="12" t="str">
        <f>_xll.BDH("RMS FP Equity","IS_OTHER_ONE_TIME_ITEMS","FY 1998","FY 1998","Currency=USD","Period=FY","BEST_FPERIOD_OVERRIDE=FY","FILING_STATUS=MR","SCALING_FORMAT=MLN","Sort=A","Dates=H","DateFormat=P","Fill=—","Direction=H","UseDPDF=Y")</f>
        <v>—</v>
      </c>
      <c r="K62" s="12" t="str">
        <f>_xll.BDH("RMS FP Equity","IS_OTHER_ONE_TIME_ITEMS","FY 1999","FY 1999","Currency=USD","Period=FY","BEST_FPERIOD_OVERRIDE=FY","FILING_STATUS=MR","SCALING_FORMAT=MLN","Sort=A","Dates=H","DateFormat=P","Fill=—","Direction=H","UseDPDF=Y")</f>
        <v>—</v>
      </c>
      <c r="L62" s="12" t="str">
        <f>_xll.BDH("RMS FP Equity","IS_OTHER_ONE_TIME_ITEMS","FY 2000","FY 2000","Currency=USD","Period=FY","BEST_FPERIOD_OVERRIDE=FY","FILING_STATUS=MR","SCALING_FORMAT=MLN","Sort=A","Dates=H","DateFormat=P","Fill=—","Direction=H","UseDPDF=Y")</f>
        <v>—</v>
      </c>
      <c r="M62" s="12" t="str">
        <f>_xll.BDH("RMS FP Equity","IS_OTHER_ONE_TIME_ITEMS","FY 2001","FY 2001","Currency=USD","Period=FY","BEST_FPERIOD_OVERRIDE=FY","FILING_STATUS=MR","SCALING_FORMAT=MLN","Sort=A","Dates=H","DateFormat=P","Fill=—","Direction=H","UseDPDF=Y")</f>
        <v>—</v>
      </c>
      <c r="N62" s="12" t="str">
        <f>_xll.BDH("RMS FP Equity","IS_OTHER_ONE_TIME_ITEMS","FY 2002","FY 2002","Currency=USD","Period=FY","BEST_FPERIOD_OVERRIDE=FY","FILING_STATUS=MR","SCALING_FORMAT=MLN","Sort=A","Dates=H","DateFormat=P","Fill=—","Direction=H","UseDPDF=Y")</f>
        <v>—</v>
      </c>
      <c r="O62" s="12" t="str">
        <f>_xll.BDH("RMS FP Equity","IS_OTHER_ONE_TIME_ITEMS","FY 2003","FY 2003","Currency=USD","Period=FY","BEST_FPERIOD_OVERRIDE=FY","FILING_STATUS=MR","SCALING_FORMAT=MLN","Sort=A","Dates=H","DateFormat=P","Fill=—","Direction=H","UseDPDF=Y")</f>
        <v>—</v>
      </c>
      <c r="P62" s="12" t="str">
        <f>_xll.BDH("RMS FP Equity","IS_OTHER_ONE_TIME_ITEMS","FY 2004","FY 2004","Currency=USD","Period=FY","BEST_FPERIOD_OVERRIDE=FY","FILING_STATUS=MR","SCALING_FORMAT=MLN","Sort=A","Dates=H","DateFormat=P","Fill=—","Direction=H","UseDPDF=Y")</f>
        <v>—</v>
      </c>
      <c r="Q62" s="12" t="str">
        <f>_xll.BDH("RMS FP Equity","IS_OTHER_ONE_TIME_ITEMS","FY 2005","FY 2005","Currency=USD","Period=FY","BEST_FPERIOD_OVERRIDE=FY","FILING_STATUS=MR","SCALING_FORMAT=MLN","Sort=A","Dates=H","DateFormat=P","Fill=—","Direction=H","UseDPDF=Y")</f>
        <v>—</v>
      </c>
      <c r="R62" s="12" t="str">
        <f>_xll.BDH("RMS FP Equity","IS_OTHER_ONE_TIME_ITEMS","FY 2006","FY 2006","Currency=USD","Period=FY","BEST_FPERIOD_OVERRIDE=FY","FILING_STATUS=MR","SCALING_FORMAT=MLN","Sort=A","Dates=H","DateFormat=P","Fill=—","Direction=H","UseDPDF=Y")</f>
        <v>—</v>
      </c>
      <c r="S62" s="12" t="str">
        <f>_xll.BDH("RMS FP Equity","IS_OTHER_ONE_TIME_ITEMS","FY 2007","FY 2007","Currency=USD","Period=FY","BEST_FPERIOD_OVERRIDE=FY","FILING_STATUS=MR","SCALING_FORMAT=MLN","Sort=A","Dates=H","DateFormat=P","Fill=—","Direction=H","UseDPDF=Y")</f>
        <v>—</v>
      </c>
      <c r="T62" s="12" t="str">
        <f>_xll.BDH("RMS FP Equity","IS_OTHER_ONE_TIME_ITEMS","FY 2008","FY 2008","Currency=USD","Period=FY","BEST_FPERIOD_OVERRIDE=FY","FILING_STATUS=MR","SCALING_FORMAT=MLN","Sort=A","Dates=H","DateFormat=P","Fill=—","Direction=H","UseDPDF=Y")</f>
        <v>—</v>
      </c>
      <c r="U62" s="12" t="str">
        <f>_xll.BDH("RMS FP Equity","IS_OTHER_ONE_TIME_ITEMS","FY 2009","FY 2009","Currency=USD","Period=FY","BEST_FPERIOD_OVERRIDE=FY","FILING_STATUS=MR","SCALING_FORMAT=MLN","Sort=A","Dates=H","DateFormat=P","Fill=—","Direction=H","UseDPDF=Y")</f>
        <v>—</v>
      </c>
      <c r="V62" s="12" t="str">
        <f>_xll.BDH("RMS FP Equity","IS_OTHER_ONE_TIME_ITEMS","FY 2010","FY 2010","Currency=USD","Period=FY","BEST_FPERIOD_OVERRIDE=FY","FILING_STATUS=MR","SCALING_FORMAT=MLN","Sort=A","Dates=H","DateFormat=P","Fill=—","Direction=H","UseDPDF=Y")</f>
        <v>—</v>
      </c>
      <c r="W62" s="12" t="str">
        <f>_xll.BDH("RMS FP Equity","IS_OTHER_ONE_TIME_ITEMS","FY 2011","FY 2011","Currency=USD","Period=FY","BEST_FPERIOD_OVERRIDE=FY","FILING_STATUS=MR","SCALING_FORMAT=MLN","Sort=A","Dates=H","DateFormat=P","Fill=—","Direction=H","UseDPDF=Y")</f>
        <v>—</v>
      </c>
      <c r="X62" s="12">
        <f>_xll.BDH("RMS FP Equity","IS_OTHER_ONE_TIME_ITEMS","FY 2012","FY 2012","Currency=USD","Period=FY","BEST_FPERIOD_OVERRIDE=FY","FILING_STATUS=MR","SCALING_FORMAT=MLN","Sort=A","Dates=H","DateFormat=P","Fill=—","Direction=H","UseDPDF=Y")</f>
        <v>-40.504899999999999</v>
      </c>
      <c r="Y62" s="12" t="str">
        <f>_xll.BDH("RMS FP Equity","IS_OTHER_ONE_TIME_ITEMS","FY 2013","FY 2013","Currency=USD","Period=FY","BEST_FPERIOD_OVERRIDE=FY","FILING_STATUS=MR","SCALING_FORMAT=MLN","Sort=A","Dates=H","DateFormat=P","Fill=—","Direction=H","UseDPDF=Y")</f>
        <v>—</v>
      </c>
      <c r="Z62" s="12" t="str">
        <f>_xll.BDH("RMS FP Equity","IS_OTHER_ONE_TIME_ITEMS","FY 2014","FY 2014","Currency=USD","Period=FY","BEST_FPERIOD_OVERRIDE=FY","FILING_STATUS=MR","SCALING_FORMAT=MLN","Sort=A","Dates=H","DateFormat=P","Fill=—","Direction=H","UseDPDF=Y")</f>
        <v>—</v>
      </c>
      <c r="AA62" s="12" t="str">
        <f>_xll.BDH("RMS FP Equity","IS_OTHER_ONE_TIME_ITEMS","FY 2015","FY 2015","Currency=USD","Period=FY","BEST_FPERIOD_OVERRIDE=FY","FILING_STATUS=MR","SCALING_FORMAT=MLN","Sort=A","Dates=H","DateFormat=P","Fill=—","Direction=H","UseDPDF=Y")</f>
        <v>—</v>
      </c>
      <c r="AB62" s="12" t="str">
        <f>_xll.BDH("RMS FP Equity","IS_OTHER_ONE_TIME_ITEMS","FY 2016","FY 2016","Currency=USD","Period=FY","BEST_FPERIOD_OVERRIDE=FY","FILING_STATUS=MR","SCALING_FORMAT=MLN","Sort=A","Dates=H","DateFormat=P","Fill=—","Direction=H","UseDPDF=Y")</f>
        <v>—</v>
      </c>
      <c r="AC62" s="12" t="str">
        <f>_xll.BDH("RMS FP Equity","IS_OTHER_ONE_TIME_ITEMS","FY 2017","FY 2017","Currency=USD","Period=FY","BEST_FPERIOD_OVERRIDE=FY","FILING_STATUS=MR","SCALING_FORMAT=MLN","Sort=A","Dates=H","DateFormat=P","Fill=—","Direction=H","UseDPDF=Y")</f>
        <v>—</v>
      </c>
      <c r="AD62" s="12"/>
      <c r="AE62" s="12"/>
    </row>
    <row r="63" spans="1:31" x14ac:dyDescent="0.25">
      <c r="A63" s="6" t="s">
        <v>123</v>
      </c>
      <c r="B63" s="6" t="s">
        <v>110</v>
      </c>
      <c r="C63" s="14">
        <f>_xll.BDH("RMS FP Equity","PRETAX_INC","FY 1991","FY 1991","Currency=USD","Period=FY","BEST_FPERIOD_OVERRIDE=FY","FILING_STATUS=MR","SCALING_FORMAT=MLN","FA_ADJUSTED=GAAP","Sort=A","Dates=H","DateFormat=P","Fill=—","Direction=H","UseDPDF=Y")</f>
        <v>42.535699999999999</v>
      </c>
      <c r="D63" s="14">
        <f>_xll.BDH("RMS FP Equity","PRETAX_INC","FY 1992","FY 1992","Currency=USD","Period=FY","BEST_FPERIOD_OVERRIDE=FY","FILING_STATUS=MR","SCALING_FORMAT=MLN","FA_ADJUSTED=GAAP","Sort=A","Dates=H","DateFormat=P","Fill=—","Direction=H","UseDPDF=Y")</f>
        <v>57.352499999999999</v>
      </c>
      <c r="E63" s="14">
        <f>_xll.BDH("RMS FP Equity","PRETAX_INC","FY 1993","FY 1993","Currency=USD","Period=FY","BEST_FPERIOD_OVERRIDE=FY","FILING_STATUS=MR","SCALING_FORMAT=MLN","FA_ADJUSTED=GAAP","Sort=A","Dates=H","DateFormat=P","Fill=—","Direction=H","UseDPDF=Y")</f>
        <v>68.467699999999994</v>
      </c>
      <c r="F63" s="14">
        <f>_xll.BDH("RMS FP Equity","PRETAX_INC","FY 1994","FY 1994","Currency=USD","Period=FY","BEST_FPERIOD_OVERRIDE=FY","FILING_STATUS=MR","SCALING_FORMAT=MLN","FA_ADJUSTED=GAAP","Sort=A","Dates=H","DateFormat=P","Fill=—","Direction=H","UseDPDF=Y")</f>
        <v>105.65689999999999</v>
      </c>
      <c r="G63" s="14">
        <f>_xll.BDH("RMS FP Equity","PRETAX_INC","FY 1995","FY 1995","Currency=USD","Period=FY","BEST_FPERIOD_OVERRIDE=FY","FILING_STATUS=MR","SCALING_FORMAT=MLN","FA_ADJUSTED=GAAP","Sort=A","Dates=H","DateFormat=P","Fill=—","Direction=H","UseDPDF=Y")</f>
        <v>143.73740000000001</v>
      </c>
      <c r="H63" s="14">
        <f>_xll.BDH("RMS FP Equity","PRETAX_INC","FY 1996","FY 1996","Currency=USD","Period=FY","BEST_FPERIOD_OVERRIDE=FY","FILING_STATUS=MR","SCALING_FORMAT=MLN","FA_ADJUSTED=GAAP","Sort=A","Dates=H","DateFormat=P","Fill=—","Direction=H","UseDPDF=Y")</f>
        <v>157.5941</v>
      </c>
      <c r="I63" s="14">
        <f>_xll.BDH("RMS FP Equity","PRETAX_INC","FY 1997","FY 1997","Currency=USD","Period=FY","BEST_FPERIOD_OVERRIDE=FY","FILING_STATUS=MR","SCALING_FORMAT=MLN","FA_ADJUSTED=GAAP","Sort=A","Dates=H","DateFormat=P","Fill=—","Direction=H","UseDPDF=Y")</f>
        <v>175.03630000000001</v>
      </c>
      <c r="J63" s="14">
        <f>_xll.BDH("RMS FP Equity","PRETAX_INC","FY 1998","FY 1998","Currency=USD","Period=FY","BEST_FPERIOD_OVERRIDE=FY","FILING_STATUS=MR","SCALING_FORMAT=MLN","FA_ADJUSTED=GAAP","Sort=A","Dates=H","DateFormat=P","Fill=—","Direction=H","UseDPDF=Y")</f>
        <v>179.8879</v>
      </c>
      <c r="K63" s="14">
        <f>_xll.BDH("RMS FP Equity","PRETAX_INC","FY 1999","FY 1999","Currency=USD","Period=FY","BEST_FPERIOD_OVERRIDE=FY","FILING_STATUS=MR","SCALING_FORMAT=MLN","FA_ADJUSTED=GAAP","Sort=A","Dates=H","DateFormat=P","Fill=—","Direction=H","UseDPDF=Y")</f>
        <v>208.0266</v>
      </c>
      <c r="L63" s="14">
        <f>_xll.BDH("RMS FP Equity","PRETAX_INC","FY 2000","FY 2000","Currency=USD","Period=FY","BEST_FPERIOD_OVERRIDE=FY","FILING_STATUS=MR","SCALING_FORMAT=MLN","FA_ADJUSTED=GAAP","Sort=A","Dates=H","DateFormat=P","Fill=—","Direction=H","UseDPDF=Y")</f>
        <v>274.5145</v>
      </c>
      <c r="M63" s="14">
        <f>_xll.BDH("RMS FP Equity","PRETAX_INC","FY 2001","FY 2001","Currency=USD","Period=FY","BEST_FPERIOD_OVERRIDE=FY","FILING_STATUS=MR","SCALING_FORMAT=MLN","FA_ADJUSTED=GAAP","Sort=A","Dates=H","DateFormat=P","Fill=—","Direction=H","UseDPDF=Y")</f>
        <v>282.661</v>
      </c>
      <c r="N63" s="14">
        <f>_xll.BDH("RMS FP Equity","PRETAX_INC","FY 2002","FY 2002","Currency=USD","Period=FY","BEST_FPERIOD_OVERRIDE=FY","FILING_STATUS=MR","SCALING_FORMAT=MLN","FA_ADJUSTED=GAAP","Sort=A","Dates=H","DateFormat=P","Fill=—","Direction=H","UseDPDF=Y")</f>
        <v>310.30860000000001</v>
      </c>
      <c r="O63" s="14">
        <f>_xll.BDH("RMS FP Equity","PRETAX_INC","FY 2003","FY 2003","Currency=USD","Period=FY","BEST_FPERIOD_OVERRIDE=FY","FILING_STATUS=MR","SCALING_FORMAT=MLN","FA_ADJUSTED=GAAP","Sort=A","Dates=H","DateFormat=P","Fill=—","Direction=H","UseDPDF=Y")</f>
        <v>384.35660000000001</v>
      </c>
      <c r="P63" s="14">
        <f>_xll.BDH("RMS FP Equity","PRETAX_INC","FY 2004","FY 2004","Currency=USD","Period=FY","BEST_FPERIOD_OVERRIDE=FY","FILING_STATUS=MR","SCALING_FORMAT=MLN","FA_ADJUSTED=GAAP","Sort=A","Dates=H","DateFormat=P","Fill=—","Direction=H","UseDPDF=Y")</f>
        <v>427.51299999999998</v>
      </c>
      <c r="Q63" s="14">
        <f>_xll.BDH("RMS FP Equity","PRETAX_INC","FY 2005","FY 2005","Currency=USD","Period=FY","BEST_FPERIOD_OVERRIDE=FY","FILING_STATUS=MR","SCALING_FORMAT=MLN","FA_ADJUSTED=GAAP","Sort=A","Dates=H","DateFormat=P","Fill=—","Direction=H","UseDPDF=Y")</f>
        <v>482.25869999999998</v>
      </c>
      <c r="R63" s="14">
        <f>_xll.BDH("RMS FP Equity","PRETAX_INC","FY 2006","FY 2006","Currency=USD","Period=FY","BEST_FPERIOD_OVERRIDE=FY","FILING_STATUS=MR","SCALING_FORMAT=MLN","FA_ADJUSTED=GAAP","Sort=A","Dates=H","DateFormat=P","Fill=—","Direction=H","UseDPDF=Y")</f>
        <v>513.86289999999997</v>
      </c>
      <c r="S63" s="14">
        <f>_xll.BDH("RMS FP Equity","PRETAX_INC","FY 2007","FY 2007","Currency=USD","Period=FY","BEST_FPERIOD_OVERRIDE=FY","FILING_STATUS=MR","SCALING_FORMAT=MLN","FA_ADJUSTED=GAAP","Sort=A","Dates=H","DateFormat=P","Fill=—","Direction=H","UseDPDF=Y")</f>
        <v>599.8614</v>
      </c>
      <c r="T63" s="14">
        <f>_xll.BDH("RMS FP Equity","PRETAX_INC","FY 2008","FY 2008","Currency=USD","Period=FY","BEST_FPERIOD_OVERRIDE=FY","FILING_STATUS=MR","SCALING_FORMAT=MLN","FA_ADJUSTED=GAAP","Sort=A","Dates=H","DateFormat=P","Fill=—","Direction=H","UseDPDF=Y")</f>
        <v>686.61120000000005</v>
      </c>
      <c r="U63" s="14">
        <f>_xll.BDH("RMS FP Equity","PRETAX_INC","FY 2009","FY 2009","Currency=USD","Period=FY","BEST_FPERIOD_OVERRIDE=FY","FILING_STATUS=MR","SCALING_FORMAT=MLN","FA_ADJUSTED=GAAP","Sort=A","Dates=H","DateFormat=P","Fill=—","Direction=H","UseDPDF=Y")</f>
        <v>627.77539999999999</v>
      </c>
      <c r="V63" s="14">
        <f>_xll.BDH("RMS FP Equity","PRETAX_INC","FY 2010","FY 2010","Currency=USD","Period=FY","BEST_FPERIOD_OVERRIDE=FY","FILING_STATUS=MR","SCALING_FORMAT=MLN","FA_ADJUSTED=GAAP","Sort=A","Dates=H","DateFormat=P","Fill=—","Direction=H","UseDPDF=Y")</f>
        <v>869.85889999999995</v>
      </c>
      <c r="W63" s="14">
        <f>_xll.BDH("RMS FP Equity","PRETAX_INC","FY 2011","FY 2011","Currency=USD","Period=FY","BEST_FPERIOD_OVERRIDE=FY","FILING_STATUS=MR","SCALING_FORMAT=MLN","FA_ADJUSTED=GAAP","Sort=A","Dates=H","DateFormat=P","Fill=—","Direction=H","UseDPDF=Y")</f>
        <v>1249.9594</v>
      </c>
      <c r="X63" s="14">
        <f>_xll.BDH("RMS FP Equity","PRETAX_INC","FY 2012","FY 2012","Currency=USD","Period=FY","BEST_FPERIOD_OVERRIDE=FY","FILING_STATUS=MR","SCALING_FORMAT=MLN","FA_ADJUSTED=GAAP","Sort=A","Dates=H","DateFormat=P","Fill=—","Direction=H","UseDPDF=Y")</f>
        <v>1414.4582</v>
      </c>
      <c r="Y63" s="14">
        <f>_xll.BDH("RMS FP Equity","PRETAX_INC","FY 2013","FY 2013","Currency=USD","Period=FY","BEST_FPERIOD_OVERRIDE=FY","FILING_STATUS=MR","SCALING_FORMAT=MLN","FA_ADJUSTED=GAAP","Sort=A","Dates=H","DateFormat=P","Fill=—","Direction=H","UseDPDF=Y")</f>
        <v>1586.8008</v>
      </c>
      <c r="Z63" s="14">
        <f>_xll.BDH("RMS FP Equity","PRETAX_INC","FY 2014","FY 2014","Currency=USD","Period=FY","BEST_FPERIOD_OVERRIDE=FY","FILING_STATUS=MR","SCALING_FORMAT=MLN","FA_ADJUSTED=GAAP","Sort=A","Dates=H","DateFormat=P","Fill=—","Direction=H","UseDPDF=Y")</f>
        <v>1693.288</v>
      </c>
      <c r="AA63" s="14">
        <f>_xll.BDH("RMS FP Equity","PRETAX_INC","FY 2015","FY 2015","Currency=USD","Period=FY","BEST_FPERIOD_OVERRIDE=FY","FILING_STATUS=MR","SCALING_FORMAT=MLN","FA_ADJUSTED=GAAP","Sort=A","Dates=H","DateFormat=P","Fill=—","Direction=H","UseDPDF=Y")</f>
        <v>1659.5618999999999</v>
      </c>
      <c r="AB63" s="14">
        <f>_xll.BDH("RMS FP Equity","PRETAX_INC","FY 2016","FY 2016","Currency=USD","Period=FY","BEST_FPERIOD_OVERRIDE=FY","FILING_STATUS=MR","SCALING_FORMAT=MLN","FA_ADJUSTED=GAAP","Sort=A","Dates=H","DateFormat=P","Fill=—","Direction=H","UseDPDF=Y")</f>
        <v>1824.9391000000001</v>
      </c>
      <c r="AC63" s="14">
        <f>_xll.BDH("RMS FP Equity","PRETAX_INC","FY 2017","FY 2017","Currency=USD","Period=FY","BEST_FPERIOD_OVERRIDE=FY","FILING_STATUS=MR","SCALING_FORMAT=MLN","FA_ADJUSTED=GAAP","Sort=A","Dates=H","DateFormat=P","Fill=—","Direction=H","UseDPDF=Y")</f>
        <v>2134.9472999999998</v>
      </c>
      <c r="AD63" s="14">
        <v>2327.3539999999998</v>
      </c>
      <c r="AE63" s="14">
        <v>2498.0859999999998</v>
      </c>
    </row>
    <row r="64" spans="1:31" x14ac:dyDescent="0.25">
      <c r="A64" s="11" t="s">
        <v>65</v>
      </c>
      <c r="B64" s="11" t="s">
        <v>110</v>
      </c>
      <c r="C64" s="16" t="s">
        <v>66</v>
      </c>
      <c r="D64" s="16">
        <v>34.833877496382001</v>
      </c>
      <c r="E64" s="16">
        <v>19.380531724898301</v>
      </c>
      <c r="F64" s="16">
        <v>54.316419779419498</v>
      </c>
      <c r="G64" s="16">
        <v>36.041714496407103</v>
      </c>
      <c r="H64" s="16">
        <v>9.6402269454544207</v>
      </c>
      <c r="I64" s="16">
        <v>11.067814217517901</v>
      </c>
      <c r="J64" s="16">
        <v>2.77177451440352</v>
      </c>
      <c r="K64" s="16">
        <v>15.6423563829541</v>
      </c>
      <c r="L64" s="16">
        <v>31.961264702903598</v>
      </c>
      <c r="M64" s="16">
        <v>2.9676065194174699</v>
      </c>
      <c r="N64" s="16">
        <v>9.7811789681462908</v>
      </c>
      <c r="O64" s="16">
        <v>23.862684188405701</v>
      </c>
      <c r="P64" s="16">
        <v>11.2282140002149</v>
      </c>
      <c r="Q64" s="16">
        <v>12.8056235375093</v>
      </c>
      <c r="R64" s="16">
        <v>6.55336775938129</v>
      </c>
      <c r="S64" s="16">
        <v>16.7356980238293</v>
      </c>
      <c r="T64" s="16">
        <v>14.461639309452099</v>
      </c>
      <c r="U64" s="16">
        <v>-8.5690095146368606</v>
      </c>
      <c r="V64" s="16">
        <v>38.562123394070802</v>
      </c>
      <c r="W64" s="16">
        <v>43.696795187097301</v>
      </c>
      <c r="X64" s="16">
        <v>13.1603316602136</v>
      </c>
      <c r="Y64" s="16">
        <v>12.1844886165978</v>
      </c>
      <c r="Z64" s="16">
        <v>6.7108701249086202</v>
      </c>
      <c r="AA64" s="16">
        <v>-1.9912325014871</v>
      </c>
      <c r="AB64" s="16">
        <v>9.9647626776575002</v>
      </c>
      <c r="AC64" s="16">
        <v>16.987327758851499</v>
      </c>
      <c r="AD64" s="16">
        <v>9.0118138007582793</v>
      </c>
      <c r="AE64" s="16">
        <v>7.3358844421604896</v>
      </c>
    </row>
    <row r="65" spans="1:31" x14ac:dyDescent="0.25">
      <c r="A65" s="10" t="s">
        <v>124</v>
      </c>
      <c r="B65" s="10" t="s">
        <v>125</v>
      </c>
      <c r="C65" s="12">
        <f>_xll.BDH("RMS FP Equity","IS_INC_TAX_EXP","FY 1991","FY 1991","Currency=USD","Period=FY","BEST_FPERIOD_OVERRIDE=FY","FILING_STATUS=MR","SCALING_FORMAT=MLN","FA_ADJUSTED=GAAP","Sort=A","Dates=H","DateFormat=P","Fill=—","Direction=H","UseDPDF=Y")</f>
        <v>19.542899999999999</v>
      </c>
      <c r="D65" s="12">
        <f>_xll.BDH("RMS FP Equity","IS_INC_TAX_EXP","FY 1992","FY 1992","Currency=USD","Period=FY","BEST_FPERIOD_OVERRIDE=FY","FILING_STATUS=MR","SCALING_FORMAT=MLN","FA_ADJUSTED=GAAP","Sort=A","Dates=H","DateFormat=P","Fill=—","Direction=H","UseDPDF=Y")</f>
        <v>20.79</v>
      </c>
      <c r="E65" s="12">
        <f>_xll.BDH("RMS FP Equity","IS_INC_TAX_EXP","FY 1993","FY 1993","Currency=USD","Period=FY","BEST_FPERIOD_OVERRIDE=FY","FILING_STATUS=MR","SCALING_FORMAT=MLN","FA_ADJUSTED=GAAP","Sort=A","Dates=H","DateFormat=P","Fill=—","Direction=H","UseDPDF=Y")</f>
        <v>26.874700000000001</v>
      </c>
      <c r="F65" s="12">
        <f>_xll.BDH("RMS FP Equity","IS_INC_TAX_EXP","FY 1994","FY 1994","Currency=USD","Period=FY","BEST_FPERIOD_OVERRIDE=FY","FILING_STATUS=MR","SCALING_FORMAT=MLN","FA_ADJUSTED=GAAP","Sort=A","Dates=H","DateFormat=P","Fill=—","Direction=H","UseDPDF=Y")</f>
        <v>44.961500000000001</v>
      </c>
      <c r="G65" s="12">
        <f>_xll.BDH("RMS FP Equity","IS_INC_TAX_EXP","FY 1995","FY 1995","Currency=USD","Period=FY","BEST_FPERIOD_OVERRIDE=FY","FILING_STATUS=MR","SCALING_FORMAT=MLN","FA_ADJUSTED=GAAP","Sort=A","Dates=H","DateFormat=P","Fill=—","Direction=H","UseDPDF=Y")</f>
        <v>51.357700000000001</v>
      </c>
      <c r="H65" s="12">
        <f>_xll.BDH("RMS FP Equity","IS_INC_TAX_EXP","FY 1996","FY 1996","Currency=USD","Period=FY","BEST_FPERIOD_OVERRIDE=FY","FILING_STATUS=MR","SCALING_FORMAT=MLN","FA_ADJUSTED=GAAP","Sort=A","Dates=H","DateFormat=P","Fill=—","Direction=H","UseDPDF=Y")</f>
        <v>63.530500000000004</v>
      </c>
      <c r="I65" s="12">
        <f>_xll.BDH("RMS FP Equity","IS_INC_TAX_EXP","FY 1997","FY 1997","Currency=USD","Period=FY","BEST_FPERIOD_OVERRIDE=FY","FILING_STATUS=MR","SCALING_FORMAT=MLN","FA_ADJUSTED=GAAP","Sort=A","Dates=H","DateFormat=P","Fill=—","Direction=H","UseDPDF=Y")</f>
        <v>79.530699999999996</v>
      </c>
      <c r="J65" s="12">
        <f>_xll.BDH("RMS FP Equity","IS_INC_TAX_EXP","FY 1998","FY 1998","Currency=USD","Period=FY","BEST_FPERIOD_OVERRIDE=FY","FILING_STATUS=MR","SCALING_FORMAT=MLN","FA_ADJUSTED=GAAP","Sort=A","Dates=H","DateFormat=P","Fill=—","Direction=H","UseDPDF=Y")</f>
        <v>77.308300000000003</v>
      </c>
      <c r="K65" s="12">
        <f>_xll.BDH("RMS FP Equity","IS_INC_TAX_EXP","FY 1999","FY 1999","Currency=USD","Period=FY","BEST_FPERIOD_OVERRIDE=FY","FILING_STATUS=MR","SCALING_FORMAT=MLN","FA_ADJUSTED=GAAP","Sort=A","Dates=H","DateFormat=P","Fill=—","Direction=H","UseDPDF=Y")</f>
        <v>78.5929</v>
      </c>
      <c r="L65" s="12">
        <f>_xll.BDH("RMS FP Equity","IS_INC_TAX_EXP","FY 2000","FY 2000","Currency=USD","Period=FY","BEST_FPERIOD_OVERRIDE=FY","FILING_STATUS=MR","SCALING_FORMAT=MLN","FA_ADJUSTED=GAAP","Sort=A","Dates=H","DateFormat=P","Fill=—","Direction=H","UseDPDF=Y")</f>
        <v>106.6156</v>
      </c>
      <c r="M65" s="12">
        <f>_xll.BDH("RMS FP Equity","IS_INC_TAX_EXP","FY 2001","FY 2001","Currency=USD","Period=FY","BEST_FPERIOD_OVERRIDE=FY","FILING_STATUS=MR","SCALING_FORMAT=MLN","FA_ADJUSTED=GAAP","Sort=A","Dates=H","DateFormat=P","Fill=—","Direction=H","UseDPDF=Y")</f>
        <v>96.190700000000007</v>
      </c>
      <c r="N65" s="12">
        <f>_xll.BDH("RMS FP Equity","IS_INC_TAX_EXP","FY 2002","FY 2002","Currency=USD","Period=FY","BEST_FPERIOD_OVERRIDE=FY","FILING_STATUS=MR","SCALING_FORMAT=MLN","FA_ADJUSTED=GAAP","Sort=A","Dates=H","DateFormat=P","Fill=—","Direction=H","UseDPDF=Y")</f>
        <v>101.8599</v>
      </c>
      <c r="O65" s="12">
        <f>_xll.BDH("RMS FP Equity","IS_INC_TAX_EXP","FY 2003","FY 2003","Currency=USD","Period=FY","BEST_FPERIOD_OVERRIDE=FY","FILING_STATUS=MR","SCALING_FORMAT=MLN","FA_ADJUSTED=GAAP","Sort=A","Dates=H","DateFormat=P","Fill=—","Direction=H","UseDPDF=Y")</f>
        <v>134.4229</v>
      </c>
      <c r="P65" s="12">
        <f>_xll.BDH("RMS FP Equity","IS_INC_TAX_EXP","FY 2004","FY 2004","Currency=USD","Period=FY","BEST_FPERIOD_OVERRIDE=FY","FILING_STATUS=MR","SCALING_FORMAT=MLN","FA_ADJUSTED=GAAP","Sort=A","Dates=H","DateFormat=P","Fill=—","Direction=H","UseDPDF=Y")</f>
        <v>155.77600000000001</v>
      </c>
      <c r="Q65" s="12">
        <f>_xll.BDH("RMS FP Equity","IS_INC_TAX_EXP","FY 2005","FY 2005","Currency=USD","Period=FY","BEST_FPERIOD_OVERRIDE=FY","FILING_STATUS=MR","SCALING_FORMAT=MLN","FA_ADJUSTED=GAAP","Sort=A","Dates=H","DateFormat=P","Fill=—","Direction=H","UseDPDF=Y")</f>
        <v>168.96469999999999</v>
      </c>
      <c r="R65" s="12">
        <f>_xll.BDH("RMS FP Equity","IS_INC_TAX_EXP","FY 2006","FY 2006","Currency=USD","Period=FY","BEST_FPERIOD_OVERRIDE=FY","FILING_STATUS=MR","SCALING_FORMAT=MLN","FA_ADJUSTED=GAAP","Sort=A","Dates=H","DateFormat=P","Fill=—","Direction=H","UseDPDF=Y")</f>
        <v>171.12010000000001</v>
      </c>
      <c r="S65" s="12">
        <f>_xll.BDH("RMS FP Equity","IS_INC_TAX_EXP","FY 2007","FY 2007","Currency=USD","Period=FY","BEST_FPERIOD_OVERRIDE=FY","FILING_STATUS=MR","SCALING_FORMAT=MLN","FA_ADJUSTED=GAAP","Sort=A","Dates=H","DateFormat=P","Fill=—","Direction=H","UseDPDF=Y")</f>
        <v>197.1208</v>
      </c>
      <c r="T65" s="12">
        <f>_xll.BDH("RMS FP Equity","IS_INC_TAX_EXP","FY 2008","FY 2008","Currency=USD","Period=FY","BEST_FPERIOD_OVERRIDE=FY","FILING_STATUS=MR","SCALING_FORMAT=MLN","FA_ADJUSTED=GAAP","Sort=A","Dates=H","DateFormat=P","Fill=—","Direction=H","UseDPDF=Y")</f>
        <v>235.48939999999999</v>
      </c>
      <c r="U65" s="12">
        <f>_xll.BDH("RMS FP Equity","IS_INC_TAX_EXP","FY 2009","FY 2009","Currency=USD","Period=FY","BEST_FPERIOD_OVERRIDE=FY","FILING_STATUS=MR","SCALING_FORMAT=MLN","FA_ADJUSTED=GAAP","Sort=A","Dates=H","DateFormat=P","Fill=—","Direction=H","UseDPDF=Y")</f>
        <v>206.65549999999999</v>
      </c>
      <c r="V65" s="12">
        <f>_xll.BDH("RMS FP Equity","IS_INC_TAX_EXP","FY 2010","FY 2010","Currency=USD","Period=FY","BEST_FPERIOD_OVERRIDE=FY","FILING_STATUS=MR","SCALING_FORMAT=MLN","FA_ADJUSTED=GAAP","Sort=A","Dates=H","DateFormat=P","Fill=—","Direction=H","UseDPDF=Y")</f>
        <v>293.18110000000001</v>
      </c>
      <c r="W65" s="12">
        <f>_xll.BDH("RMS FP Equity","IS_INC_TAX_EXP","FY 2011","FY 2011","Currency=USD","Period=FY","BEST_FPERIOD_OVERRIDE=FY","FILING_STATUS=MR","SCALING_FORMAT=MLN","FA_ADJUSTED=GAAP","Sort=A","Dates=H","DateFormat=P","Fill=—","Direction=H","UseDPDF=Y")</f>
        <v>403.5181</v>
      </c>
      <c r="X65" s="12">
        <f>_xll.BDH("RMS FP Equity","IS_INC_TAX_EXP","FY 2012","FY 2012","Currency=USD","Period=FY","BEST_FPERIOD_OVERRIDE=FY","FILING_STATUS=MR","SCALING_FORMAT=MLN","FA_ADJUSTED=GAAP","Sort=A","Dates=H","DateFormat=P","Fill=—","Direction=H","UseDPDF=Y")</f>
        <v>448.89760000000001</v>
      </c>
      <c r="Y65" s="12">
        <f>_xll.BDH("RMS FP Equity","IS_INC_TAX_EXP","FY 2013","FY 2013","Currency=USD","Period=FY","BEST_FPERIOD_OVERRIDE=FY","FILING_STATUS=MR","SCALING_FORMAT=MLN","FA_ADJUSTED=GAAP","Sort=A","Dates=H","DateFormat=P","Fill=—","Direction=H","UseDPDF=Y")</f>
        <v>528.13660000000004</v>
      </c>
      <c r="Z65" s="12">
        <f>_xll.BDH("RMS FP Equity","IS_INC_TAX_EXP","FY 2014","FY 2014","Currency=USD","Period=FY","BEST_FPERIOD_OVERRIDE=FY","FILING_STATUS=MR","SCALING_FORMAT=MLN","FA_ADJUSTED=GAAP","Sort=A","Dates=H","DateFormat=P","Fill=—","Direction=H","UseDPDF=Y")</f>
        <v>562.87940000000003</v>
      </c>
      <c r="AA65" s="12">
        <f>_xll.BDH("RMS FP Equity","IS_INC_TAX_EXP","FY 2015","FY 2015","Currency=USD","Period=FY","BEST_FPERIOD_OVERRIDE=FY","FILING_STATUS=MR","SCALING_FORMAT=MLN","FA_ADJUSTED=GAAP","Sort=A","Dates=H","DateFormat=P","Fill=—","Direction=H","UseDPDF=Y")</f>
        <v>594.5163</v>
      </c>
      <c r="AB65" s="12">
        <f>_xll.BDH("RMS FP Equity","IS_INC_TAX_EXP","FY 2016","FY 2016","Currency=USD","Period=FY","BEST_FPERIOD_OVERRIDE=FY","FILING_STATUS=MR","SCALING_FORMAT=MLN","FA_ADJUSTED=GAAP","Sort=A","Dates=H","DateFormat=P","Fill=—","Direction=H","UseDPDF=Y")</f>
        <v>614.8433</v>
      </c>
      <c r="AC65" s="12">
        <f>_xll.BDH("RMS FP Equity","IS_INC_TAX_EXP","FY 2017","FY 2017","Currency=USD","Period=FY","BEST_FPERIOD_OVERRIDE=FY","FILING_STATUS=MR","SCALING_FORMAT=MLN","FA_ADJUSTED=GAAP","Sort=A","Dates=H","DateFormat=P","Fill=—","Direction=H","UseDPDF=Y")</f>
        <v>756.12249999999995</v>
      </c>
      <c r="AD65" s="12"/>
      <c r="AE65" s="12"/>
    </row>
    <row r="66" spans="1:31" x14ac:dyDescent="0.25">
      <c r="A66" s="11" t="s">
        <v>65</v>
      </c>
      <c r="B66" s="11" t="s">
        <v>125</v>
      </c>
      <c r="C66" s="16" t="s">
        <v>66</v>
      </c>
      <c r="D66" s="16">
        <v>-9.0990000000000001E-2</v>
      </c>
      <c r="E66" s="16">
        <v>38.524591999999998</v>
      </c>
      <c r="F66" s="16">
        <v>63.642330000000001</v>
      </c>
      <c r="G66" s="16">
        <v>2.8123749999999998</v>
      </c>
      <c r="H66" s="16">
        <v>26.924578</v>
      </c>
      <c r="I66" s="16">
        <v>42.703206999999999</v>
      </c>
      <c r="J66" s="16">
        <v>-1.7907200000000001</v>
      </c>
      <c r="K66" s="16">
        <v>6.2609839999999997</v>
      </c>
      <c r="L66" s="16">
        <v>56.563980000000001</v>
      </c>
      <c r="M66" s="16">
        <v>-6.972423</v>
      </c>
      <c r="N66" s="16">
        <v>0.27932800000000002</v>
      </c>
      <c r="O66" s="16">
        <v>10.213556000000001</v>
      </c>
      <c r="P66" s="16">
        <v>5.4759869999999999</v>
      </c>
      <c r="Q66" s="16">
        <v>8.4664590000000004</v>
      </c>
      <c r="R66" s="16">
        <v>0.29454900000000001</v>
      </c>
      <c r="S66" s="16">
        <v>5.5800289999999997</v>
      </c>
      <c r="T66" s="16">
        <v>11.335188</v>
      </c>
      <c r="U66" s="16">
        <v>-7.4328539999999998</v>
      </c>
      <c r="V66" s="16">
        <v>49.122807000000002</v>
      </c>
      <c r="W66" s="16">
        <v>31.131222000000001</v>
      </c>
      <c r="X66" s="16">
        <v>20.462388000000001</v>
      </c>
      <c r="Y66" s="16">
        <v>13.892867000000001</v>
      </c>
      <c r="Z66" s="16">
        <v>6.5643859999999998</v>
      </c>
      <c r="AA66" s="16">
        <v>26.410195999999999</v>
      </c>
      <c r="AB66" s="16">
        <v>3.7154590000000001</v>
      </c>
      <c r="AC66" s="16">
        <v>20.486049000000001</v>
      </c>
      <c r="AD66" s="16"/>
      <c r="AE66" s="16"/>
    </row>
    <row r="67" spans="1:31" x14ac:dyDescent="0.25">
      <c r="A67" s="10" t="s">
        <v>126</v>
      </c>
      <c r="B67" s="10" t="s">
        <v>127</v>
      </c>
      <c r="C67" s="12" t="str">
        <f>_xll.BDH("RMS FP Equity","IS_CURRENT_INCOME_TAX_BENEFIT","FY 1991","FY 1991","Currency=USD","Period=FY","BEST_FPERIOD_OVERRIDE=FY","FILING_STATUS=MR","SCALING_FORMAT=MLN","Sort=A","Dates=H","DateFormat=P","Fill=—","Direction=H","UseDPDF=Y")</f>
        <v>—</v>
      </c>
      <c r="D67" s="12" t="str">
        <f>_xll.BDH("RMS FP Equity","IS_CURRENT_INCOME_TAX_BENEFIT","FY 1992","FY 1992","Currency=USD","Period=FY","BEST_FPERIOD_OVERRIDE=FY","FILING_STATUS=MR","SCALING_FORMAT=MLN","Sort=A","Dates=H","DateFormat=P","Fill=—","Direction=H","UseDPDF=Y")</f>
        <v>—</v>
      </c>
      <c r="E67" s="12" t="str">
        <f>_xll.BDH("RMS FP Equity","IS_CURRENT_INCOME_TAX_BENEFIT","FY 1993","FY 1993","Currency=USD","Period=FY","BEST_FPERIOD_OVERRIDE=FY","FILING_STATUS=MR","SCALING_FORMAT=MLN","Sort=A","Dates=H","DateFormat=P","Fill=—","Direction=H","UseDPDF=Y")</f>
        <v>—</v>
      </c>
      <c r="F67" s="12" t="str">
        <f>_xll.BDH("RMS FP Equity","IS_CURRENT_INCOME_TAX_BENEFIT","FY 1994","FY 1994","Currency=USD","Period=FY","BEST_FPERIOD_OVERRIDE=FY","FILING_STATUS=MR","SCALING_FORMAT=MLN","Sort=A","Dates=H","DateFormat=P","Fill=—","Direction=H","UseDPDF=Y")</f>
        <v>—</v>
      </c>
      <c r="G67" s="12" t="str">
        <f>_xll.BDH("RMS FP Equity","IS_CURRENT_INCOME_TAX_BENEFIT","FY 1995","FY 1995","Currency=USD","Period=FY","BEST_FPERIOD_OVERRIDE=FY","FILING_STATUS=MR","SCALING_FORMAT=MLN","Sort=A","Dates=H","DateFormat=P","Fill=—","Direction=H","UseDPDF=Y")</f>
        <v>—</v>
      </c>
      <c r="H67" s="12" t="str">
        <f>_xll.BDH("RMS FP Equity","IS_CURRENT_INCOME_TAX_BENEFIT","FY 1996","FY 1996","Currency=USD","Period=FY","BEST_FPERIOD_OVERRIDE=FY","FILING_STATUS=MR","SCALING_FORMAT=MLN","Sort=A","Dates=H","DateFormat=P","Fill=—","Direction=H","UseDPDF=Y")</f>
        <v>—</v>
      </c>
      <c r="I67" s="12" t="str">
        <f>_xll.BDH("RMS FP Equity","IS_CURRENT_INCOME_TAX_BENEFIT","FY 1997","FY 1997","Currency=USD","Period=FY","BEST_FPERIOD_OVERRIDE=FY","FILING_STATUS=MR","SCALING_FORMAT=MLN","Sort=A","Dates=H","DateFormat=P","Fill=—","Direction=H","UseDPDF=Y")</f>
        <v>—</v>
      </c>
      <c r="J67" s="12" t="str">
        <f>_xll.BDH("RMS FP Equity","IS_CURRENT_INCOME_TAX_BENEFIT","FY 1998","FY 1998","Currency=USD","Period=FY","BEST_FPERIOD_OVERRIDE=FY","FILING_STATUS=MR","SCALING_FORMAT=MLN","Sort=A","Dates=H","DateFormat=P","Fill=—","Direction=H","UseDPDF=Y")</f>
        <v>—</v>
      </c>
      <c r="K67" s="12" t="str">
        <f>_xll.BDH("RMS FP Equity","IS_CURRENT_INCOME_TAX_BENEFIT","FY 1999","FY 1999","Currency=USD","Period=FY","BEST_FPERIOD_OVERRIDE=FY","FILING_STATUS=MR","SCALING_FORMAT=MLN","Sort=A","Dates=H","DateFormat=P","Fill=—","Direction=H","UseDPDF=Y")</f>
        <v>—</v>
      </c>
      <c r="L67" s="12" t="str">
        <f>_xll.BDH("RMS FP Equity","IS_CURRENT_INCOME_TAX_BENEFIT","FY 2000","FY 2000","Currency=USD","Period=FY","BEST_FPERIOD_OVERRIDE=FY","FILING_STATUS=MR","SCALING_FORMAT=MLN","Sort=A","Dates=H","DateFormat=P","Fill=—","Direction=H","UseDPDF=Y")</f>
        <v>—</v>
      </c>
      <c r="M67" s="12" t="str">
        <f>_xll.BDH("RMS FP Equity","IS_CURRENT_INCOME_TAX_BENEFIT","FY 2001","FY 2001","Currency=USD","Period=FY","BEST_FPERIOD_OVERRIDE=FY","FILING_STATUS=MR","SCALING_FORMAT=MLN","Sort=A","Dates=H","DateFormat=P","Fill=—","Direction=H","UseDPDF=Y")</f>
        <v>—</v>
      </c>
      <c r="N67" s="12" t="str">
        <f>_xll.BDH("RMS FP Equity","IS_CURRENT_INCOME_TAX_BENEFIT","FY 2002","FY 2002","Currency=USD","Period=FY","BEST_FPERIOD_OVERRIDE=FY","FILING_STATUS=MR","SCALING_FORMAT=MLN","Sort=A","Dates=H","DateFormat=P","Fill=—","Direction=H","UseDPDF=Y")</f>
        <v>—</v>
      </c>
      <c r="O67" s="12" t="str">
        <f>_xll.BDH("RMS FP Equity","IS_CURRENT_INCOME_TAX_BENEFIT","FY 2003","FY 2003","Currency=USD","Period=FY","BEST_FPERIOD_OVERRIDE=FY","FILING_STATUS=MR","SCALING_FORMAT=MLN","Sort=A","Dates=H","DateFormat=P","Fill=—","Direction=H","UseDPDF=Y")</f>
        <v>—</v>
      </c>
      <c r="P67" s="12" t="str">
        <f>_xll.BDH("RMS FP Equity","IS_CURRENT_INCOME_TAX_BENEFIT","FY 2004","FY 2004","Currency=USD","Period=FY","BEST_FPERIOD_OVERRIDE=FY","FILING_STATUS=MR","SCALING_FORMAT=MLN","Sort=A","Dates=H","DateFormat=P","Fill=—","Direction=H","UseDPDF=Y")</f>
        <v>—</v>
      </c>
      <c r="Q67" s="12" t="str">
        <f>_xll.BDH("RMS FP Equity","IS_CURRENT_INCOME_TAX_BENEFIT","FY 2005","FY 2005","Currency=USD","Period=FY","BEST_FPERIOD_OVERRIDE=FY","FILING_STATUS=MR","SCALING_FORMAT=MLN","Sort=A","Dates=H","DateFormat=P","Fill=—","Direction=H","UseDPDF=Y")</f>
        <v>—</v>
      </c>
      <c r="R67" s="12" t="str">
        <f>_xll.BDH("RMS FP Equity","IS_CURRENT_INCOME_TAX_BENEFIT","FY 2006","FY 2006","Currency=USD","Period=FY","BEST_FPERIOD_OVERRIDE=FY","FILING_STATUS=MR","SCALING_FORMAT=MLN","Sort=A","Dates=H","DateFormat=P","Fill=—","Direction=H","UseDPDF=Y")</f>
        <v>—</v>
      </c>
      <c r="S67" s="12" t="str">
        <f>_xll.BDH("RMS FP Equity","IS_CURRENT_INCOME_TAX_BENEFIT","FY 2007","FY 2007","Currency=USD","Period=FY","BEST_FPERIOD_OVERRIDE=FY","FILING_STATUS=MR","SCALING_FORMAT=MLN","Sort=A","Dates=H","DateFormat=P","Fill=—","Direction=H","UseDPDF=Y")</f>
        <v>—</v>
      </c>
      <c r="T67" s="12">
        <f>_xll.BDH("RMS FP Equity","IS_CURRENT_INCOME_TAX_BENEFIT","FY 2008","FY 2008","Currency=USD","Period=FY","BEST_FPERIOD_OVERRIDE=FY","FILING_STATUS=MR","SCALING_FORMAT=MLN","Sort=A","Dates=H","DateFormat=P","Fill=—","Direction=H","UseDPDF=Y")</f>
        <v>240.78460000000001</v>
      </c>
      <c r="U67" s="12">
        <f>_xll.BDH("RMS FP Equity","IS_CURRENT_INCOME_TAX_BENEFIT","FY 2009","FY 2009","Currency=USD","Period=FY","BEST_FPERIOD_OVERRIDE=FY","FILING_STATUS=MR","SCALING_FORMAT=MLN","Sort=A","Dates=H","DateFormat=P","Fill=—","Direction=H","UseDPDF=Y")</f>
        <v>224.78319999999999</v>
      </c>
      <c r="V67" s="12">
        <f>_xll.BDH("RMS FP Equity","IS_CURRENT_INCOME_TAX_BENEFIT","FY 2010","FY 2010","Currency=USD","Period=FY","BEST_FPERIOD_OVERRIDE=FY","FILING_STATUS=MR","SCALING_FORMAT=MLN","Sort=A","Dates=H","DateFormat=P","Fill=—","Direction=H","UseDPDF=Y")</f>
        <v>300.47739999999999</v>
      </c>
      <c r="W67" s="12">
        <f>_xll.BDH("RMS FP Equity","IS_CURRENT_INCOME_TAX_BENEFIT","FY 2011","FY 2011","Currency=USD","Period=FY","BEST_FPERIOD_OVERRIDE=FY","FILING_STATUS=MR","SCALING_FORMAT=MLN","Sort=A","Dates=H","DateFormat=P","Fill=—","Direction=H","UseDPDF=Y")</f>
        <v>399.75869999999998</v>
      </c>
      <c r="X67" s="12">
        <f>_xll.BDH("RMS FP Equity","IS_CURRENT_INCOME_TAX_BENEFIT","FY 2012","FY 2012","Currency=USD","Period=FY","BEST_FPERIOD_OVERRIDE=FY","FILING_STATUS=MR","SCALING_FORMAT=MLN","Sort=A","Dates=H","DateFormat=P","Fill=—","Direction=H","UseDPDF=Y")</f>
        <v>511.90530000000001</v>
      </c>
      <c r="Y67" s="12">
        <f>_xll.BDH("RMS FP Equity","IS_CURRENT_INCOME_TAX_BENEFIT","FY 2013","FY 2013","Currency=USD","Period=FY","BEST_FPERIOD_OVERRIDE=FY","FILING_STATUS=MR","SCALING_FORMAT=MLN","Sort=A","Dates=H","DateFormat=P","Fill=—","Direction=H","UseDPDF=Y")</f>
        <v>570.64260000000002</v>
      </c>
      <c r="Z67" s="12">
        <f>_xll.BDH("RMS FP Equity","IS_CURRENT_INCOME_TAX_BENEFIT","FY 2014","FY 2014","Currency=USD","Period=FY","BEST_FPERIOD_OVERRIDE=FY","FILING_STATUS=MR","SCALING_FORMAT=MLN","Sort=A","Dates=H","DateFormat=P","Fill=—","Direction=H","UseDPDF=Y")</f>
        <v>611.50199999999995</v>
      </c>
      <c r="AA67" s="12">
        <f>_xll.BDH("RMS FP Equity","IS_CURRENT_INCOME_TAX_BENEFIT","FY 2015","FY 2015","Currency=USD","Period=FY","BEST_FPERIOD_OVERRIDE=FY","FILING_STATUS=MR","SCALING_FORMAT=MLN","Sort=A","Dates=H","DateFormat=P","Fill=—","Direction=H","UseDPDF=Y")</f>
        <v>598.84529999999995</v>
      </c>
      <c r="AB67" s="12">
        <f>_xll.BDH("RMS FP Equity","IS_CURRENT_INCOME_TAX_BENEFIT","FY 2016","FY 2016","Currency=USD","Period=FY","BEST_FPERIOD_OVERRIDE=FY","FILING_STATUS=MR","SCALING_FORMAT=MLN","Sort=A","Dates=H","DateFormat=P","Fill=—","Direction=H","UseDPDF=Y")</f>
        <v>677.93259999999998</v>
      </c>
      <c r="AC67" s="12">
        <f>_xll.BDH("RMS FP Equity","IS_CURRENT_INCOME_TAX_BENEFIT","FY 2017","FY 2017","Currency=USD","Period=FY","BEST_FPERIOD_OVERRIDE=FY","FILING_STATUS=MR","SCALING_FORMAT=MLN","Sort=A","Dates=H","DateFormat=P","Fill=—","Direction=H","UseDPDF=Y")</f>
        <v>779.16880000000003</v>
      </c>
      <c r="AD67" s="12"/>
      <c r="AE67" s="12"/>
    </row>
    <row r="68" spans="1:31" x14ac:dyDescent="0.25">
      <c r="A68" s="11" t="s">
        <v>65</v>
      </c>
      <c r="B68" s="11" t="s">
        <v>127</v>
      </c>
      <c r="C68" s="16" t="s">
        <v>66</v>
      </c>
      <c r="D68" s="16" t="s">
        <v>66</v>
      </c>
      <c r="E68" s="16" t="s">
        <v>66</v>
      </c>
      <c r="F68" s="16" t="s">
        <v>66</v>
      </c>
      <c r="G68" s="16" t="s">
        <v>66</v>
      </c>
      <c r="H68" s="16" t="s">
        <v>66</v>
      </c>
      <c r="I68" s="16" t="s">
        <v>66</v>
      </c>
      <c r="J68" s="16" t="s">
        <v>66</v>
      </c>
      <c r="K68" s="16" t="s">
        <v>66</v>
      </c>
      <c r="L68" s="16" t="s">
        <v>66</v>
      </c>
      <c r="M68" s="16" t="s">
        <v>66</v>
      </c>
      <c r="N68" s="16" t="s">
        <v>66</v>
      </c>
      <c r="O68" s="16" t="s">
        <v>66</v>
      </c>
      <c r="P68" s="16" t="s">
        <v>66</v>
      </c>
      <c r="Q68" s="16" t="s">
        <v>66</v>
      </c>
      <c r="R68" s="16" t="s">
        <v>66</v>
      </c>
      <c r="S68" s="16" t="s">
        <v>66</v>
      </c>
      <c r="T68" s="16" t="s">
        <v>66</v>
      </c>
      <c r="U68" s="16">
        <v>-6.6455251979657302</v>
      </c>
      <c r="V68" s="16">
        <v>33.674326944236199</v>
      </c>
      <c r="W68" s="16">
        <v>33.0411609660271</v>
      </c>
      <c r="X68" s="16">
        <v>28.053583690791498</v>
      </c>
      <c r="Y68" s="16">
        <v>11.4743842845301</v>
      </c>
      <c r="Z68" s="16">
        <v>7.1603097654396404</v>
      </c>
      <c r="AA68" s="16">
        <v>-2.06925137927839</v>
      </c>
      <c r="AB68" s="16">
        <v>13.2062612828423</v>
      </c>
      <c r="AC68" s="16">
        <v>14.933091302722501</v>
      </c>
      <c r="AD68" s="16"/>
      <c r="AE68" s="16"/>
    </row>
    <row r="69" spans="1:31" x14ac:dyDescent="0.25">
      <c r="A69" s="10" t="s">
        <v>128</v>
      </c>
      <c r="B69" s="10" t="s">
        <v>129</v>
      </c>
      <c r="C69" s="12" t="str">
        <f>_xll.BDH("RMS FP Equity","IS_DEFERRED_INCOME_TAX_BENEFIT","FY 1991","FY 1991","Currency=USD","Period=FY","BEST_FPERIOD_OVERRIDE=FY","FILING_STATUS=MR","SCALING_FORMAT=MLN","Sort=A","Dates=H","DateFormat=P","Fill=—","Direction=H","UseDPDF=Y")</f>
        <v>—</v>
      </c>
      <c r="D69" s="12" t="str">
        <f>_xll.BDH("RMS FP Equity","IS_DEFERRED_INCOME_TAX_BENEFIT","FY 1992","FY 1992","Currency=USD","Period=FY","BEST_FPERIOD_OVERRIDE=FY","FILING_STATUS=MR","SCALING_FORMAT=MLN","Sort=A","Dates=H","DateFormat=P","Fill=—","Direction=H","UseDPDF=Y")</f>
        <v>—</v>
      </c>
      <c r="E69" s="12" t="str">
        <f>_xll.BDH("RMS FP Equity","IS_DEFERRED_INCOME_TAX_BENEFIT","FY 1993","FY 1993","Currency=USD","Period=FY","BEST_FPERIOD_OVERRIDE=FY","FILING_STATUS=MR","SCALING_FORMAT=MLN","Sort=A","Dates=H","DateFormat=P","Fill=—","Direction=H","UseDPDF=Y")</f>
        <v>—</v>
      </c>
      <c r="F69" s="12" t="str">
        <f>_xll.BDH("RMS FP Equity","IS_DEFERRED_INCOME_TAX_BENEFIT","FY 1994","FY 1994","Currency=USD","Period=FY","BEST_FPERIOD_OVERRIDE=FY","FILING_STATUS=MR","SCALING_FORMAT=MLN","Sort=A","Dates=H","DateFormat=P","Fill=—","Direction=H","UseDPDF=Y")</f>
        <v>—</v>
      </c>
      <c r="G69" s="12" t="str">
        <f>_xll.BDH("RMS FP Equity","IS_DEFERRED_INCOME_TAX_BENEFIT","FY 1995","FY 1995","Currency=USD","Period=FY","BEST_FPERIOD_OVERRIDE=FY","FILING_STATUS=MR","SCALING_FORMAT=MLN","Sort=A","Dates=H","DateFormat=P","Fill=—","Direction=H","UseDPDF=Y")</f>
        <v>—</v>
      </c>
      <c r="H69" s="12" t="str">
        <f>_xll.BDH("RMS FP Equity","IS_DEFERRED_INCOME_TAX_BENEFIT","FY 1996","FY 1996","Currency=USD","Period=FY","BEST_FPERIOD_OVERRIDE=FY","FILING_STATUS=MR","SCALING_FORMAT=MLN","Sort=A","Dates=H","DateFormat=P","Fill=—","Direction=H","UseDPDF=Y")</f>
        <v>—</v>
      </c>
      <c r="I69" s="12" t="str">
        <f>_xll.BDH("RMS FP Equity","IS_DEFERRED_INCOME_TAX_BENEFIT","FY 1997","FY 1997","Currency=USD","Period=FY","BEST_FPERIOD_OVERRIDE=FY","FILING_STATUS=MR","SCALING_FORMAT=MLN","Sort=A","Dates=H","DateFormat=P","Fill=—","Direction=H","UseDPDF=Y")</f>
        <v>—</v>
      </c>
      <c r="J69" s="12" t="str">
        <f>_xll.BDH("RMS FP Equity","IS_DEFERRED_INCOME_TAX_BENEFIT","FY 1998","FY 1998","Currency=USD","Period=FY","BEST_FPERIOD_OVERRIDE=FY","FILING_STATUS=MR","SCALING_FORMAT=MLN","Sort=A","Dates=H","DateFormat=P","Fill=—","Direction=H","UseDPDF=Y")</f>
        <v>—</v>
      </c>
      <c r="K69" s="12" t="str">
        <f>_xll.BDH("RMS FP Equity","IS_DEFERRED_INCOME_TAX_BENEFIT","FY 1999","FY 1999","Currency=USD","Period=FY","BEST_FPERIOD_OVERRIDE=FY","FILING_STATUS=MR","SCALING_FORMAT=MLN","Sort=A","Dates=H","DateFormat=P","Fill=—","Direction=H","UseDPDF=Y")</f>
        <v>—</v>
      </c>
      <c r="L69" s="12" t="str">
        <f>_xll.BDH("RMS FP Equity","IS_DEFERRED_INCOME_TAX_BENEFIT","FY 2000","FY 2000","Currency=USD","Period=FY","BEST_FPERIOD_OVERRIDE=FY","FILING_STATUS=MR","SCALING_FORMAT=MLN","Sort=A","Dates=H","DateFormat=P","Fill=—","Direction=H","UseDPDF=Y")</f>
        <v>—</v>
      </c>
      <c r="M69" s="12" t="str">
        <f>_xll.BDH("RMS FP Equity","IS_DEFERRED_INCOME_TAX_BENEFIT","FY 2001","FY 2001","Currency=USD","Period=FY","BEST_FPERIOD_OVERRIDE=FY","FILING_STATUS=MR","SCALING_FORMAT=MLN","Sort=A","Dates=H","DateFormat=P","Fill=—","Direction=H","UseDPDF=Y")</f>
        <v>—</v>
      </c>
      <c r="N69" s="12" t="str">
        <f>_xll.BDH("RMS FP Equity","IS_DEFERRED_INCOME_TAX_BENEFIT","FY 2002","FY 2002","Currency=USD","Period=FY","BEST_FPERIOD_OVERRIDE=FY","FILING_STATUS=MR","SCALING_FORMAT=MLN","Sort=A","Dates=H","DateFormat=P","Fill=—","Direction=H","UseDPDF=Y")</f>
        <v>—</v>
      </c>
      <c r="O69" s="12" t="str">
        <f>_xll.BDH("RMS FP Equity","IS_DEFERRED_INCOME_TAX_BENEFIT","FY 2003","FY 2003","Currency=USD","Period=FY","BEST_FPERIOD_OVERRIDE=FY","FILING_STATUS=MR","SCALING_FORMAT=MLN","Sort=A","Dates=H","DateFormat=P","Fill=—","Direction=H","UseDPDF=Y")</f>
        <v>—</v>
      </c>
      <c r="P69" s="12" t="str">
        <f>_xll.BDH("RMS FP Equity","IS_DEFERRED_INCOME_TAX_BENEFIT","FY 2004","FY 2004","Currency=USD","Period=FY","BEST_FPERIOD_OVERRIDE=FY","FILING_STATUS=MR","SCALING_FORMAT=MLN","Sort=A","Dates=H","DateFormat=P","Fill=—","Direction=H","UseDPDF=Y")</f>
        <v>—</v>
      </c>
      <c r="Q69" s="12" t="str">
        <f>_xll.BDH("RMS FP Equity","IS_DEFERRED_INCOME_TAX_BENEFIT","FY 2005","FY 2005","Currency=USD","Period=FY","BEST_FPERIOD_OVERRIDE=FY","FILING_STATUS=MR","SCALING_FORMAT=MLN","Sort=A","Dates=H","DateFormat=P","Fill=—","Direction=H","UseDPDF=Y")</f>
        <v>—</v>
      </c>
      <c r="R69" s="12" t="str">
        <f>_xll.BDH("RMS FP Equity","IS_DEFERRED_INCOME_TAX_BENEFIT","FY 2006","FY 2006","Currency=USD","Period=FY","BEST_FPERIOD_OVERRIDE=FY","FILING_STATUS=MR","SCALING_FORMAT=MLN","Sort=A","Dates=H","DateFormat=P","Fill=—","Direction=H","UseDPDF=Y")</f>
        <v>—</v>
      </c>
      <c r="S69" s="12" t="str">
        <f>_xll.BDH("RMS FP Equity","IS_DEFERRED_INCOME_TAX_BENEFIT","FY 2007","FY 2007","Currency=USD","Period=FY","BEST_FPERIOD_OVERRIDE=FY","FILING_STATUS=MR","SCALING_FORMAT=MLN","Sort=A","Dates=H","DateFormat=P","Fill=—","Direction=H","UseDPDF=Y")</f>
        <v>—</v>
      </c>
      <c r="T69" s="12">
        <f>_xll.BDH("RMS FP Equity","IS_DEFERRED_INCOME_TAX_BENEFIT","FY 2008","FY 2008","Currency=USD","Period=FY","BEST_FPERIOD_OVERRIDE=FY","FILING_STATUS=MR","SCALING_FORMAT=MLN","Sort=A","Dates=H","DateFormat=P","Fill=—","Direction=H","UseDPDF=Y")</f>
        <v>-5.2952000000000004</v>
      </c>
      <c r="U69" s="12">
        <f>_xll.BDH("RMS FP Equity","IS_DEFERRED_INCOME_TAX_BENEFIT","FY 2009","FY 2009","Currency=USD","Period=FY","BEST_FPERIOD_OVERRIDE=FY","FILING_STATUS=MR","SCALING_FORMAT=MLN","Sort=A","Dates=H","DateFormat=P","Fill=—","Direction=H","UseDPDF=Y")</f>
        <v>-18.127700000000001</v>
      </c>
      <c r="V69" s="12">
        <f>_xll.BDH("RMS FP Equity","IS_DEFERRED_INCOME_TAX_BENEFIT","FY 2010","FY 2010","Currency=USD","Period=FY","BEST_FPERIOD_OVERRIDE=FY","FILING_STATUS=MR","SCALING_FORMAT=MLN","Sort=A","Dates=H","DateFormat=P","Fill=—","Direction=H","UseDPDF=Y")</f>
        <v>-7.2964000000000002</v>
      </c>
      <c r="W69" s="12">
        <f>_xll.BDH("RMS FP Equity","IS_DEFERRED_INCOME_TAX_BENEFIT","FY 2011","FY 2011","Currency=USD","Period=FY","BEST_FPERIOD_OVERRIDE=FY","FILING_STATUS=MR","SCALING_FORMAT=MLN","Sort=A","Dates=H","DateFormat=P","Fill=—","Direction=H","UseDPDF=Y")</f>
        <v>3.7595000000000001</v>
      </c>
      <c r="X69" s="12">
        <f>_xll.BDH("RMS FP Equity","IS_DEFERRED_INCOME_TAX_BENEFIT","FY 2012","FY 2012","Currency=USD","Period=FY","BEST_FPERIOD_OVERRIDE=FY","FILING_STATUS=MR","SCALING_FORMAT=MLN","Sort=A","Dates=H","DateFormat=P","Fill=—","Direction=H","UseDPDF=Y")</f>
        <v>-63.0077</v>
      </c>
      <c r="Y69" s="12">
        <f>_xll.BDH("RMS FP Equity","IS_DEFERRED_INCOME_TAX_BENEFIT","FY 2013","FY 2013","Currency=USD","Period=FY","BEST_FPERIOD_OVERRIDE=FY","FILING_STATUS=MR","SCALING_FORMAT=MLN","Sort=A","Dates=H","DateFormat=P","Fill=—","Direction=H","UseDPDF=Y")</f>
        <v>-42.506</v>
      </c>
      <c r="Z69" s="12">
        <f>_xll.BDH("RMS FP Equity","IS_DEFERRED_INCOME_TAX_BENEFIT","FY 2014","FY 2014","Currency=USD","Period=FY","BEST_FPERIOD_OVERRIDE=FY","FILING_STATUS=MR","SCALING_FORMAT=MLN","Sort=A","Dates=H","DateFormat=P","Fill=—","Direction=H","UseDPDF=Y")</f>
        <v>-48.622599999999998</v>
      </c>
      <c r="AA69" s="12">
        <f>_xll.BDH("RMS FP Equity","IS_DEFERRED_INCOME_TAX_BENEFIT","FY 2015","FY 2015","Currency=USD","Period=FY","BEST_FPERIOD_OVERRIDE=FY","FILING_STATUS=MR","SCALING_FORMAT=MLN","Sort=A","Dates=H","DateFormat=P","Fill=—","Direction=H","UseDPDF=Y")</f>
        <v>-4.3289999999999997</v>
      </c>
      <c r="AB69" s="12">
        <f>_xll.BDH("RMS FP Equity","IS_DEFERRED_INCOME_TAX_BENEFIT","FY 2016","FY 2016","Currency=USD","Period=FY","BEST_FPERIOD_OVERRIDE=FY","FILING_STATUS=MR","SCALING_FORMAT=MLN","Sort=A","Dates=H","DateFormat=P","Fill=—","Direction=H","UseDPDF=Y")</f>
        <v>-63.089199999999998</v>
      </c>
      <c r="AC69" s="12">
        <f>_xll.BDH("RMS FP Equity","IS_DEFERRED_INCOME_TAX_BENEFIT","FY 2017","FY 2017","Currency=USD","Period=FY","BEST_FPERIOD_OVERRIDE=FY","FILING_STATUS=MR","SCALING_FORMAT=MLN","Sort=A","Dates=H","DateFormat=P","Fill=—","Direction=H","UseDPDF=Y")</f>
        <v>-23.046299999999999</v>
      </c>
      <c r="AD69" s="12"/>
      <c r="AE69" s="12"/>
    </row>
    <row r="70" spans="1:31" x14ac:dyDescent="0.25">
      <c r="A70" s="11" t="s">
        <v>65</v>
      </c>
      <c r="B70" s="11" t="s">
        <v>129</v>
      </c>
      <c r="C70" s="16" t="s">
        <v>66</v>
      </c>
      <c r="D70" s="16" t="s">
        <v>66</v>
      </c>
      <c r="E70" s="16" t="s">
        <v>66</v>
      </c>
      <c r="F70" s="16" t="s">
        <v>66</v>
      </c>
      <c r="G70" s="16" t="s">
        <v>66</v>
      </c>
      <c r="H70" s="16" t="s">
        <v>66</v>
      </c>
      <c r="I70" s="16" t="s">
        <v>66</v>
      </c>
      <c r="J70" s="16" t="s">
        <v>66</v>
      </c>
      <c r="K70" s="16" t="s">
        <v>66</v>
      </c>
      <c r="L70" s="16" t="s">
        <v>66</v>
      </c>
      <c r="M70" s="16" t="s">
        <v>66</v>
      </c>
      <c r="N70" s="16" t="s">
        <v>66</v>
      </c>
      <c r="O70" s="16" t="s">
        <v>66</v>
      </c>
      <c r="P70" s="16" t="s">
        <v>66</v>
      </c>
      <c r="Q70" s="16" t="s">
        <v>66</v>
      </c>
      <c r="R70" s="16" t="s">
        <v>66</v>
      </c>
      <c r="S70" s="16" t="s">
        <v>66</v>
      </c>
      <c r="T70" s="16" t="s">
        <v>66</v>
      </c>
      <c r="U70" s="16">
        <v>-242.34155750809899</v>
      </c>
      <c r="V70" s="16">
        <v>59.750159934998798</v>
      </c>
      <c r="W70" s="16" t="s">
        <v>66</v>
      </c>
      <c r="X70" s="16" t="s">
        <v>66</v>
      </c>
      <c r="Y70" s="16">
        <v>32.538360440900497</v>
      </c>
      <c r="Z70" s="16">
        <v>-14.3900783362054</v>
      </c>
      <c r="AA70" s="16">
        <v>91.096676827565901</v>
      </c>
      <c r="AB70" s="16">
        <v>-1357.35728972267</v>
      </c>
      <c r="AC70" s="16">
        <v>63.470285805820097</v>
      </c>
      <c r="AD70" s="16"/>
      <c r="AE70" s="16"/>
    </row>
    <row r="71" spans="1:31" x14ac:dyDescent="0.25">
      <c r="A71" s="10" t="s">
        <v>130</v>
      </c>
      <c r="B71" s="10" t="s">
        <v>131</v>
      </c>
      <c r="C71" s="12" t="str">
        <f>_xll.BDH("RMS FP Equity","IS_SH_PRO_EQY_MT_INV_NET_OF_TAX","FY 1991","FY 1991","Currency=USD","Period=FY","BEST_FPERIOD_OVERRIDE=FY","FILING_STATUS=MR","SCALING_FORMAT=MLN","FA_ADJUSTED=GAAP","Sort=A","Dates=H","DateFormat=P","Fill=—","Direction=H","UseDPDF=Y")</f>
        <v>—</v>
      </c>
      <c r="D71" s="12" t="str">
        <f>_xll.BDH("RMS FP Equity","IS_SH_PRO_EQY_MT_INV_NET_OF_TAX","FY 1992","FY 1992","Currency=USD","Period=FY","BEST_FPERIOD_OVERRIDE=FY","FILING_STATUS=MR","SCALING_FORMAT=MLN","FA_ADJUSTED=GAAP","Sort=A","Dates=H","DateFormat=P","Fill=—","Direction=H","UseDPDF=Y")</f>
        <v>—</v>
      </c>
      <c r="E71" s="12" t="str">
        <f>_xll.BDH("RMS FP Equity","IS_SH_PRO_EQY_MT_INV_NET_OF_TAX","FY 1993","FY 1993","Currency=USD","Period=FY","BEST_FPERIOD_OVERRIDE=FY","FILING_STATUS=MR","SCALING_FORMAT=MLN","FA_ADJUSTED=GAAP","Sort=A","Dates=H","DateFormat=P","Fill=—","Direction=H","UseDPDF=Y")</f>
        <v>—</v>
      </c>
      <c r="F71" s="12" t="str">
        <f>_xll.BDH("RMS FP Equity","IS_SH_PRO_EQY_MT_INV_NET_OF_TAX","FY 1994","FY 1994","Currency=USD","Period=FY","BEST_FPERIOD_OVERRIDE=FY","FILING_STATUS=MR","SCALING_FORMAT=MLN","FA_ADJUSTED=GAAP","Sort=A","Dates=H","DateFormat=P","Fill=—","Direction=H","UseDPDF=Y")</f>
        <v>—</v>
      </c>
      <c r="G71" s="12" t="str">
        <f>_xll.BDH("RMS FP Equity","IS_SH_PRO_EQY_MT_INV_NET_OF_TAX","FY 1995","FY 1995","Currency=USD","Period=FY","BEST_FPERIOD_OVERRIDE=FY","FILING_STATUS=MR","SCALING_FORMAT=MLN","FA_ADJUSTED=GAAP","Sort=A","Dates=H","DateFormat=P","Fill=—","Direction=H","UseDPDF=Y")</f>
        <v>—</v>
      </c>
      <c r="H71" s="12" t="str">
        <f>_xll.BDH("RMS FP Equity","IS_SH_PRO_EQY_MT_INV_NET_OF_TAX","FY 1996","FY 1996","Currency=USD","Period=FY","BEST_FPERIOD_OVERRIDE=FY","FILING_STATUS=MR","SCALING_FORMAT=MLN","FA_ADJUSTED=GAAP","Sort=A","Dates=H","DateFormat=P","Fill=—","Direction=H","UseDPDF=Y")</f>
        <v>—</v>
      </c>
      <c r="I71" s="12" t="str">
        <f>_xll.BDH("RMS FP Equity","IS_SH_PRO_EQY_MT_INV_NET_OF_TAX","FY 1997","FY 1997","Currency=USD","Period=FY","BEST_FPERIOD_OVERRIDE=FY","FILING_STATUS=MR","SCALING_FORMAT=MLN","FA_ADJUSTED=GAAP","Sort=A","Dates=H","DateFormat=P","Fill=—","Direction=H","UseDPDF=Y")</f>
        <v>—</v>
      </c>
      <c r="J71" s="12" t="str">
        <f>_xll.BDH("RMS FP Equity","IS_SH_PRO_EQY_MT_INV_NET_OF_TAX","FY 1998","FY 1998","Currency=USD","Period=FY","BEST_FPERIOD_OVERRIDE=FY","FILING_STATUS=MR","SCALING_FORMAT=MLN","FA_ADJUSTED=GAAP","Sort=A","Dates=H","DateFormat=P","Fill=—","Direction=H","UseDPDF=Y")</f>
        <v>—</v>
      </c>
      <c r="K71" s="12" t="str">
        <f>_xll.BDH("RMS FP Equity","IS_SH_PRO_EQY_MT_INV_NET_OF_TAX","FY 1999","FY 1999","Currency=USD","Period=FY","BEST_FPERIOD_OVERRIDE=FY","FILING_STATUS=MR","SCALING_FORMAT=MLN","FA_ADJUSTED=GAAP","Sort=A","Dates=H","DateFormat=P","Fill=—","Direction=H","UseDPDF=Y")</f>
        <v>—</v>
      </c>
      <c r="L71" s="12" t="str">
        <f>_xll.BDH("RMS FP Equity","IS_SH_PRO_EQY_MT_INV_NET_OF_TAX","FY 2000","FY 2000","Currency=USD","Period=FY","BEST_FPERIOD_OVERRIDE=FY","FILING_STATUS=MR","SCALING_FORMAT=MLN","FA_ADJUSTED=GAAP","Sort=A","Dates=H","DateFormat=P","Fill=—","Direction=H","UseDPDF=Y")</f>
        <v>—</v>
      </c>
      <c r="M71" s="12" t="str">
        <f>_xll.BDH("RMS FP Equity","IS_SH_PRO_EQY_MT_INV_NET_OF_TAX","FY 2001","FY 2001","Currency=USD","Period=FY","BEST_FPERIOD_OVERRIDE=FY","FILING_STATUS=MR","SCALING_FORMAT=MLN","FA_ADJUSTED=GAAP","Sort=A","Dates=H","DateFormat=P","Fill=—","Direction=H","UseDPDF=Y")</f>
        <v>—</v>
      </c>
      <c r="N71" s="12" t="str">
        <f>_xll.BDH("RMS FP Equity","IS_SH_PRO_EQY_MT_INV_NET_OF_TAX","FY 2002","FY 2002","Currency=USD","Period=FY","BEST_FPERIOD_OVERRIDE=FY","FILING_STATUS=MR","SCALING_FORMAT=MLN","FA_ADJUSTED=GAAP","Sort=A","Dates=H","DateFormat=P","Fill=—","Direction=H","UseDPDF=Y")</f>
        <v>—</v>
      </c>
      <c r="O71" s="12" t="str">
        <f>_xll.BDH("RMS FP Equity","IS_SH_PRO_EQY_MT_INV_NET_OF_TAX","FY 2003","FY 2003","Currency=USD","Period=FY","BEST_FPERIOD_OVERRIDE=FY","FILING_STATUS=MR","SCALING_FORMAT=MLN","FA_ADJUSTED=GAAP","Sort=A","Dates=H","DateFormat=P","Fill=—","Direction=H","UseDPDF=Y")</f>
        <v>—</v>
      </c>
      <c r="P71" s="12" t="str">
        <f>_xll.BDH("RMS FP Equity","IS_SH_PRO_EQY_MT_INV_NET_OF_TAX","FY 2004","FY 2004","Currency=USD","Period=FY","BEST_FPERIOD_OVERRIDE=FY","FILING_STATUS=MR","SCALING_FORMAT=MLN","FA_ADJUSTED=GAAP","Sort=A","Dates=H","DateFormat=P","Fill=—","Direction=H","UseDPDF=Y")</f>
        <v>—</v>
      </c>
      <c r="Q71" s="12" t="str">
        <f>_xll.BDH("RMS FP Equity","IS_SH_PRO_EQY_MT_INV_NET_OF_TAX","FY 2005","FY 2005","Currency=USD","Period=FY","BEST_FPERIOD_OVERRIDE=FY","FILING_STATUS=MR","SCALING_FORMAT=MLN","FA_ADJUSTED=GAAP","Sort=A","Dates=H","DateFormat=P","Fill=—","Direction=H","UseDPDF=Y")</f>
        <v>—</v>
      </c>
      <c r="R71" s="12" t="str">
        <f>_xll.BDH("RMS FP Equity","IS_SH_PRO_EQY_MT_INV_NET_OF_TAX","FY 2006","FY 2006","Currency=USD","Period=FY","BEST_FPERIOD_OVERRIDE=FY","FILING_STATUS=MR","SCALING_FORMAT=MLN","FA_ADJUSTED=GAAP","Sort=A","Dates=H","DateFormat=P","Fill=—","Direction=H","UseDPDF=Y")</f>
        <v>—</v>
      </c>
      <c r="S71" s="12" t="str">
        <f>_xll.BDH("RMS FP Equity","IS_SH_PRO_EQY_MT_INV_NET_OF_TAX","FY 2007","FY 2007","Currency=USD","Period=FY","BEST_FPERIOD_OVERRIDE=FY","FILING_STATUS=MR","SCALING_FORMAT=MLN","FA_ADJUSTED=GAAP","Sort=A","Dates=H","DateFormat=P","Fill=—","Direction=H","UseDPDF=Y")</f>
        <v>—</v>
      </c>
      <c r="T71" s="12">
        <f>_xll.BDH("RMS FP Equity","IS_SH_PRO_EQY_MT_INV_NET_OF_TAX","FY 2008","FY 2008","Currency=USD","Period=FY","BEST_FPERIOD_OVERRIDE=FY","FILING_STATUS=MR","SCALING_FORMAT=MLN","FA_ADJUSTED=GAAP","Sort=A","Dates=H","DateFormat=P","Fill=—","Direction=H","UseDPDF=Y")</f>
        <v>16.915199999999999</v>
      </c>
      <c r="U71" s="12">
        <f>_xll.BDH("RMS FP Equity","IS_SH_PRO_EQY_MT_INV_NET_OF_TAX","FY 2009","FY 2009","Currency=USD","Period=FY","BEST_FPERIOD_OVERRIDE=FY","FILING_STATUS=MR","SCALING_FORMAT=MLN","FA_ADJUSTED=GAAP","Sort=A","Dates=H","DateFormat=P","Fill=—","Direction=H","UseDPDF=Y")</f>
        <v>9.0638000000000005</v>
      </c>
      <c r="V71" s="12">
        <f>_xll.BDH("RMS FP Equity","IS_SH_PRO_EQY_MT_INV_NET_OF_TAX","FY 2010","FY 2010","Currency=USD","Period=FY","BEST_FPERIOD_OVERRIDE=FY","FILING_STATUS=MR","SCALING_FORMAT=MLN","FA_ADJUSTED=GAAP","Sort=A","Dates=H","DateFormat=P","Fill=—","Direction=H","UseDPDF=Y")</f>
        <v>3.9798</v>
      </c>
      <c r="W71" s="12">
        <f>_xll.BDH("RMS FP Equity","IS_SH_PRO_EQY_MT_INV_NET_OF_TAX","FY 2011","FY 2011","Currency=USD","Period=FY","BEST_FPERIOD_OVERRIDE=FY","FILING_STATUS=MR","SCALING_FORMAT=MLN","FA_ADJUSTED=GAAP","Sort=A","Dates=H","DateFormat=P","Fill=—","Direction=H","UseDPDF=Y")</f>
        <v>6.2657999999999996</v>
      </c>
      <c r="X71" s="12">
        <f>_xll.BDH("RMS FP Equity","IS_SH_PRO_EQY_MT_INV_NET_OF_TAX","FY 2012","FY 2012","Currency=USD","Period=FY","BEST_FPERIOD_OVERRIDE=FY","FILING_STATUS=MR","SCALING_FORMAT=MLN","FA_ADJUSTED=GAAP","Sort=A","Dates=H","DateFormat=P","Fill=—","Direction=H","UseDPDF=Y")</f>
        <v>0.51429999999999998</v>
      </c>
      <c r="Y71" s="12">
        <f>_xll.BDH("RMS FP Equity","IS_SH_PRO_EQY_MT_INV_NET_OF_TAX","FY 2013","FY 2013","Currency=USD","Period=FY","BEST_FPERIOD_OVERRIDE=FY","FILING_STATUS=MR","SCALING_FORMAT=MLN","FA_ADJUSTED=GAAP","Sort=A","Dates=H","DateFormat=P","Fill=—","Direction=H","UseDPDF=Y")</f>
        <v>-2.6566000000000001</v>
      </c>
      <c r="Z71" s="12">
        <f>_xll.BDH("RMS FP Equity","IS_SH_PRO_EQY_MT_INV_NET_OF_TAX","FY 2014","FY 2014","Currency=USD","Period=FY","BEST_FPERIOD_OVERRIDE=FY","FILING_STATUS=MR","SCALING_FORMAT=MLN","FA_ADJUSTED=GAAP","Sort=A","Dates=H","DateFormat=P","Fill=—","Direction=H","UseDPDF=Y")</f>
        <v>-16.473199999999999</v>
      </c>
      <c r="AA71" s="12">
        <f>_xll.BDH("RMS FP Equity","IS_SH_PRO_EQY_MT_INV_NET_OF_TAX","FY 2015","FY 2015","Currency=USD","Period=FY","BEST_FPERIOD_OVERRIDE=FY","FILING_STATUS=MR","SCALING_FORMAT=MLN","FA_ADJUSTED=GAAP","Sort=A","Dates=H","DateFormat=P","Fill=—","Direction=H","UseDPDF=Y")</f>
        <v>-19.646999999999998</v>
      </c>
      <c r="AB71" s="12">
        <f>_xll.BDH("RMS FP Equity","IS_SH_PRO_EQY_MT_INV_NET_OF_TAX","FY 2016","FY 2016","Currency=USD","Period=FY","BEST_FPERIOD_OVERRIDE=FY","FILING_STATUS=MR","SCALING_FORMAT=MLN","FA_ADJUSTED=GAAP","Sort=A","Dates=H","DateFormat=P","Fill=—","Direction=H","UseDPDF=Y")</f>
        <v>-12.064399999999999</v>
      </c>
      <c r="AC71" s="12">
        <f>_xll.BDH("RMS FP Equity","IS_SH_PRO_EQY_MT_INV_NET_OF_TAX","FY 2017","FY 2017","Currency=USD","Period=FY","BEST_FPERIOD_OVERRIDE=FY","FILING_STATUS=MR","SCALING_FORMAT=MLN","FA_ADJUSTED=GAAP","Sort=A","Dates=H","DateFormat=P","Fill=—","Direction=H","UseDPDF=Y")</f>
        <v>-5.9874999999999998</v>
      </c>
      <c r="AD71" s="12"/>
      <c r="AE71" s="12"/>
    </row>
    <row r="72" spans="1:31" x14ac:dyDescent="0.25">
      <c r="A72" s="11" t="s">
        <v>65</v>
      </c>
      <c r="B72" s="11" t="s">
        <v>131</v>
      </c>
      <c r="C72" s="16" t="s">
        <v>66</v>
      </c>
      <c r="D72" s="16" t="s">
        <v>66</v>
      </c>
      <c r="E72" s="16" t="s">
        <v>66</v>
      </c>
      <c r="F72" s="16" t="s">
        <v>66</v>
      </c>
      <c r="G72" s="16" t="s">
        <v>66</v>
      </c>
      <c r="H72" s="16" t="s">
        <v>66</v>
      </c>
      <c r="I72" s="16" t="s">
        <v>66</v>
      </c>
      <c r="J72" s="16" t="s">
        <v>66</v>
      </c>
      <c r="K72" s="16" t="s">
        <v>66</v>
      </c>
      <c r="L72" s="16" t="s">
        <v>66</v>
      </c>
      <c r="M72" s="16" t="s">
        <v>66</v>
      </c>
      <c r="N72" s="16" t="s">
        <v>66</v>
      </c>
      <c r="O72" s="16" t="s">
        <v>66</v>
      </c>
      <c r="P72" s="16" t="s">
        <v>66</v>
      </c>
      <c r="Q72" s="16" t="s">
        <v>66</v>
      </c>
      <c r="R72" s="16" t="s">
        <v>66</v>
      </c>
      <c r="S72" s="16" t="s">
        <v>66</v>
      </c>
      <c r="T72" s="16" t="s">
        <v>66</v>
      </c>
      <c r="U72" s="16">
        <v>-46.416099150422298</v>
      </c>
      <c r="V72" s="16">
        <v>-56.091088996616101</v>
      </c>
      <c r="W72" s="16">
        <v>57.439018169857903</v>
      </c>
      <c r="X72" s="16">
        <v>-91.791196988098903</v>
      </c>
      <c r="Y72" s="16" t="s">
        <v>66</v>
      </c>
      <c r="Z72" s="16">
        <v>-520.08175031035603</v>
      </c>
      <c r="AA72" s="16">
        <v>-19.266965668529501</v>
      </c>
      <c r="AB72" s="16">
        <v>38.594251003033598</v>
      </c>
      <c r="AC72" s="16">
        <v>50.370446995680503</v>
      </c>
      <c r="AD72" s="16"/>
      <c r="AE72" s="16"/>
    </row>
    <row r="73" spans="1:31" x14ac:dyDescent="0.25">
      <c r="A73" s="6" t="s">
        <v>132</v>
      </c>
      <c r="B73" s="6" t="s">
        <v>133</v>
      </c>
      <c r="C73" s="14">
        <f>_xll.BDH("RMS FP Equity","IS_INC_BEF_XO_ITEM","FY 1991","FY 1991","Currency=USD","Period=FY","BEST_FPERIOD_OVERRIDE=FY","FILING_STATUS=MR","SCALING_FORMAT=MLN","Sort=A","Dates=H","DateFormat=P","Fill=—","Direction=H","UseDPDF=Y")</f>
        <v>22.992699999999999</v>
      </c>
      <c r="D73" s="14">
        <f>_xll.BDH("RMS FP Equity","IS_INC_BEF_XO_ITEM","FY 1992","FY 1992","Currency=USD","Period=FY","BEST_FPERIOD_OVERRIDE=FY","FILING_STATUS=MR","SCALING_FORMAT=MLN","Sort=A","Dates=H","DateFormat=P","Fill=—","Direction=H","UseDPDF=Y")</f>
        <v>36.562399999999997</v>
      </c>
      <c r="E73" s="14">
        <f>_xll.BDH("RMS FP Equity","IS_INC_BEF_XO_ITEM","FY 1993","FY 1993","Currency=USD","Period=FY","BEST_FPERIOD_OVERRIDE=FY","FILING_STATUS=MR","SCALING_FORMAT=MLN","Sort=A","Dates=H","DateFormat=P","Fill=—","Direction=H","UseDPDF=Y")</f>
        <v>41.593000000000004</v>
      </c>
      <c r="F73" s="14">
        <f>_xll.BDH("RMS FP Equity","IS_INC_BEF_XO_ITEM","FY 1994","FY 1994","Currency=USD","Period=FY","BEST_FPERIOD_OVERRIDE=FY","FILING_STATUS=MR","SCALING_FORMAT=MLN","Sort=A","Dates=H","DateFormat=P","Fill=—","Direction=H","UseDPDF=Y")</f>
        <v>60.695399999999999</v>
      </c>
      <c r="G73" s="14">
        <f>_xll.BDH("RMS FP Equity","IS_INC_BEF_XO_ITEM","FY 1995","FY 1995","Currency=USD","Period=FY","BEST_FPERIOD_OVERRIDE=FY","FILING_STATUS=MR","SCALING_FORMAT=MLN","Sort=A","Dates=H","DateFormat=P","Fill=—","Direction=H","UseDPDF=Y")</f>
        <v>92.3797</v>
      </c>
      <c r="H73" s="14">
        <f>_xll.BDH("RMS FP Equity","IS_INC_BEF_XO_ITEM","FY 1996","FY 1996","Currency=USD","Period=FY","BEST_FPERIOD_OVERRIDE=FY","FILING_STATUS=MR","SCALING_FORMAT=MLN","Sort=A","Dates=H","DateFormat=P","Fill=—","Direction=H","UseDPDF=Y")</f>
        <v>94.063500000000005</v>
      </c>
      <c r="I73" s="14">
        <f>_xll.BDH("RMS FP Equity","IS_INC_BEF_XO_ITEM","FY 1997","FY 1997","Currency=USD","Period=FY","BEST_FPERIOD_OVERRIDE=FY","FILING_STATUS=MR","SCALING_FORMAT=MLN","Sort=A","Dates=H","DateFormat=P","Fill=—","Direction=H","UseDPDF=Y")</f>
        <v>95.505499999999998</v>
      </c>
      <c r="J73" s="14">
        <f>_xll.BDH("RMS FP Equity","IS_INC_BEF_XO_ITEM","FY 1998","FY 1998","Currency=USD","Period=FY","BEST_FPERIOD_OVERRIDE=FY","FILING_STATUS=MR","SCALING_FORMAT=MLN","Sort=A","Dates=H","DateFormat=P","Fill=—","Direction=H","UseDPDF=Y")</f>
        <v>102.5796</v>
      </c>
      <c r="K73" s="14">
        <f>_xll.BDH("RMS FP Equity","IS_INC_BEF_XO_ITEM","FY 1999","FY 1999","Currency=USD","Period=FY","BEST_FPERIOD_OVERRIDE=FY","FILING_STATUS=MR","SCALING_FORMAT=MLN","Sort=A","Dates=H","DateFormat=P","Fill=—","Direction=H","UseDPDF=Y")</f>
        <v>129.43369999999999</v>
      </c>
      <c r="L73" s="14">
        <f>_xll.BDH("RMS FP Equity","IS_INC_BEF_XO_ITEM","FY 2000","FY 2000","Currency=USD","Period=FY","BEST_FPERIOD_OVERRIDE=FY","FILING_STATUS=MR","SCALING_FORMAT=MLN","Sort=A","Dates=H","DateFormat=P","Fill=—","Direction=H","UseDPDF=Y")</f>
        <v>167.8989</v>
      </c>
      <c r="M73" s="14">
        <f>_xll.BDH("RMS FP Equity","IS_INC_BEF_XO_ITEM","FY 2001","FY 2001","Currency=USD","Period=FY","BEST_FPERIOD_OVERRIDE=FY","FILING_STATUS=MR","SCALING_FORMAT=MLN","Sort=A","Dates=H","DateFormat=P","Fill=—","Direction=H","UseDPDF=Y")</f>
        <v>186.47030000000001</v>
      </c>
      <c r="N73" s="14">
        <f>_xll.BDH("RMS FP Equity","IS_INC_BEF_XO_ITEM","FY 2002","FY 2002","Currency=USD","Period=FY","BEST_FPERIOD_OVERRIDE=FY","FILING_STATUS=MR","SCALING_FORMAT=MLN","Sort=A","Dates=H","DateFormat=P","Fill=—","Direction=H","UseDPDF=Y")</f>
        <v>208.4487</v>
      </c>
      <c r="O73" s="14">
        <f>_xll.BDH("RMS FP Equity","IS_INC_BEF_XO_ITEM","FY 2003","FY 2003","Currency=USD","Period=FY","BEST_FPERIOD_OVERRIDE=FY","FILING_STATUS=MR","SCALING_FORMAT=MLN","Sort=A","Dates=H","DateFormat=P","Fill=—","Direction=H","UseDPDF=Y")</f>
        <v>249.93369999999999</v>
      </c>
      <c r="P73" s="14">
        <f>_xll.BDH("RMS FP Equity","IS_INC_BEF_XO_ITEM","FY 2004","FY 2004","Currency=USD","Period=FY","BEST_FPERIOD_OVERRIDE=FY","FILING_STATUS=MR","SCALING_FORMAT=MLN","Sort=A","Dates=H","DateFormat=P","Fill=—","Direction=H","UseDPDF=Y")</f>
        <v>271.73700000000002</v>
      </c>
      <c r="Q73" s="14">
        <f>_xll.BDH("RMS FP Equity","IS_INC_BEF_XO_ITEM","FY 2005","FY 2005","Currency=USD","Period=FY","BEST_FPERIOD_OVERRIDE=FY","FILING_STATUS=MR","SCALING_FORMAT=MLN","Sort=A","Dates=H","DateFormat=P","Fill=—","Direction=H","UseDPDF=Y")</f>
        <v>313.29390000000001</v>
      </c>
      <c r="R73" s="14">
        <f>_xll.BDH("RMS FP Equity","IS_INC_BEF_XO_ITEM","FY 2006","FY 2006","Currency=USD","Period=FY","BEST_FPERIOD_OVERRIDE=FY","FILING_STATUS=MR","SCALING_FORMAT=MLN","Sort=A","Dates=H","DateFormat=P","Fill=—","Direction=H","UseDPDF=Y")</f>
        <v>342.74279999999999</v>
      </c>
      <c r="S73" s="14">
        <f>_xll.BDH("RMS FP Equity","IS_INC_BEF_XO_ITEM","FY 2007","FY 2007","Currency=USD","Period=FY","BEST_FPERIOD_OVERRIDE=FY","FILING_STATUS=MR","SCALING_FORMAT=MLN","Sort=A","Dates=H","DateFormat=P","Fill=—","Direction=H","UseDPDF=Y")</f>
        <v>402.74059999999997</v>
      </c>
      <c r="T73" s="14">
        <f>_xll.BDH("RMS FP Equity","IS_INC_BEF_XO_ITEM","FY 2008","FY 2008","Currency=USD","Period=FY","BEST_FPERIOD_OVERRIDE=FY","FILING_STATUS=MR","SCALING_FORMAT=MLN","Sort=A","Dates=H","DateFormat=P","Fill=—","Direction=H","UseDPDF=Y")</f>
        <v>434.20659999999998</v>
      </c>
      <c r="U73" s="14">
        <f>_xll.BDH("RMS FP Equity","IS_INC_BEF_XO_ITEM","FY 2009","FY 2009","Currency=USD","Period=FY","BEST_FPERIOD_OVERRIDE=FY","FILING_STATUS=MR","SCALING_FORMAT=MLN","Sort=A","Dates=H","DateFormat=P","Fill=—","Direction=H","UseDPDF=Y")</f>
        <v>412.05599999999998</v>
      </c>
      <c r="V73" s="14">
        <f>_xll.BDH("RMS FP Equity","IS_INC_BEF_XO_ITEM","FY 2010","FY 2010","Currency=USD","Period=FY","BEST_FPERIOD_OVERRIDE=FY","FILING_STATUS=MR","SCALING_FORMAT=MLN","Sort=A","Dates=H","DateFormat=P","Fill=—","Direction=H","UseDPDF=Y")</f>
        <v>572.69799999999998</v>
      </c>
      <c r="W73" s="14">
        <f>_xll.BDH("RMS FP Equity","IS_INC_BEF_XO_ITEM","FY 2011","FY 2011","Currency=USD","Period=FY","BEST_FPERIOD_OVERRIDE=FY","FILING_STATUS=MR","SCALING_FORMAT=MLN","Sort=A","Dates=H","DateFormat=P","Fill=—","Direction=H","UseDPDF=Y")</f>
        <v>840.17539999999997</v>
      </c>
      <c r="X73" s="14">
        <f>_xll.BDH("RMS FP Equity","IS_INC_BEF_XO_ITEM","FY 2012","FY 2012","Currency=USD","Period=FY","BEST_FPERIOD_OVERRIDE=FY","FILING_STATUS=MR","SCALING_FORMAT=MLN","Sort=A","Dates=H","DateFormat=P","Fill=—","Direction=H","UseDPDF=Y")</f>
        <v>965.04629999999997</v>
      </c>
      <c r="Y73" s="14">
        <f>_xll.BDH("RMS FP Equity","IS_INC_BEF_XO_ITEM","FY 2013","FY 2013","Currency=USD","Period=FY","BEST_FPERIOD_OVERRIDE=FY","FILING_STATUS=MR","SCALING_FORMAT=MLN","Sort=A","Dates=H","DateFormat=P","Fill=—","Direction=H","UseDPDF=Y")</f>
        <v>1061.3208</v>
      </c>
      <c r="Z73" s="14">
        <f>_xll.BDH("RMS FP Equity","IS_INC_BEF_XO_ITEM","FY 2014","FY 2014","Currency=USD","Period=FY","BEST_FPERIOD_OVERRIDE=FY","FILING_STATUS=MR","SCALING_FORMAT=MLN","Sort=A","Dates=H","DateFormat=P","Fill=—","Direction=H","UseDPDF=Y")</f>
        <v>1146.8818000000001</v>
      </c>
      <c r="AA73" s="14">
        <f>_xll.BDH("RMS FP Equity","IS_INC_BEF_XO_ITEM","FY 2015","FY 2015","Currency=USD","Period=FY","BEST_FPERIOD_OVERRIDE=FY","FILING_STATUS=MR","SCALING_FORMAT=MLN","Sort=A","Dates=H","DateFormat=P","Fill=—","Direction=H","UseDPDF=Y")</f>
        <v>1084.6926000000001</v>
      </c>
      <c r="AB73" s="14">
        <f>_xll.BDH("RMS FP Equity","IS_INC_BEF_XO_ITEM","FY 2016","FY 2016","Currency=USD","Period=FY","BEST_FPERIOD_OVERRIDE=FY","FILING_STATUS=MR","SCALING_FORMAT=MLN","Sort=A","Dates=H","DateFormat=P","Fill=—","Direction=H","UseDPDF=Y")</f>
        <v>1222.1602</v>
      </c>
      <c r="AC73" s="14">
        <f>_xll.BDH("RMS FP Equity","IS_INC_BEF_XO_ITEM","FY 2017","FY 2017","Currency=USD","Period=FY","BEST_FPERIOD_OVERRIDE=FY","FILING_STATUS=MR","SCALING_FORMAT=MLN","Sort=A","Dates=H","DateFormat=P","Fill=—","Direction=H","UseDPDF=Y")</f>
        <v>1384.8124</v>
      </c>
      <c r="AD73" s="14">
        <v>1540.0740000000001</v>
      </c>
      <c r="AE73" s="14">
        <v>1659.2449999999999</v>
      </c>
    </row>
    <row r="74" spans="1:31" x14ac:dyDescent="0.25">
      <c r="A74" s="11" t="s">
        <v>65</v>
      </c>
      <c r="B74" s="11" t="s">
        <v>133</v>
      </c>
      <c r="C74" s="16" t="s">
        <v>66</v>
      </c>
      <c r="D74" s="16">
        <v>49.342615000000002</v>
      </c>
      <c r="E74" s="16">
        <v>21.905740999999999</v>
      </c>
      <c r="F74" s="16">
        <v>42.735773000000002</v>
      </c>
      <c r="G74" s="16">
        <v>36.994044000000002</v>
      </c>
      <c r="H74" s="16">
        <v>4.4753439999999998</v>
      </c>
      <c r="I74" s="16">
        <v>15.741315</v>
      </c>
      <c r="J74" s="16">
        <v>8.5159950000000002</v>
      </c>
      <c r="K74" s="16">
        <v>31.887412999999999</v>
      </c>
      <c r="L74" s="16">
        <v>49.711274000000003</v>
      </c>
      <c r="M74" s="16">
        <v>14.514714</v>
      </c>
      <c r="N74" s="16">
        <v>5.8597520000000003</v>
      </c>
      <c r="O74" s="16">
        <v>0.13611599999999999</v>
      </c>
      <c r="P74" s="16">
        <v>-1.042141</v>
      </c>
      <c r="Q74" s="16">
        <v>15.293044999999999</v>
      </c>
      <c r="R74" s="16">
        <v>8.3399509999999992</v>
      </c>
      <c r="S74" s="16">
        <v>7.6979470000000001</v>
      </c>
      <c r="T74" s="16">
        <v>0.47651500000000002</v>
      </c>
      <c r="U74" s="16">
        <v>0.10162599999999999</v>
      </c>
      <c r="V74" s="16">
        <v>46.091371000000002</v>
      </c>
      <c r="W74" s="16">
        <v>39.772990999999998</v>
      </c>
      <c r="X74" s="16">
        <v>24.378522</v>
      </c>
      <c r="Y74" s="16">
        <v>6.462358</v>
      </c>
      <c r="Z74" s="16">
        <v>8.0475589999999997</v>
      </c>
      <c r="AA74" s="16">
        <v>13.19356</v>
      </c>
      <c r="AB74" s="16">
        <v>12.996316</v>
      </c>
      <c r="AC74" s="16">
        <v>11.012498000000001</v>
      </c>
      <c r="AD74" s="16">
        <v>11.211304793623199</v>
      </c>
      <c r="AE74" s="16">
        <v>7.7380047971720902</v>
      </c>
    </row>
    <row r="75" spans="1:31" x14ac:dyDescent="0.25">
      <c r="A75" s="10" t="s">
        <v>134</v>
      </c>
      <c r="B75" s="10" t="s">
        <v>135</v>
      </c>
      <c r="C75" s="12">
        <f>_xll.BDH("RMS FP Equity","XO_GL_NET_OF_TAX","FY 1991","FY 1991","Currency=USD","Period=FY","BEST_FPERIOD_OVERRIDE=FY","FILING_STATUS=MR","SCALING_FORMAT=MLN","Sort=A","Dates=H","DateFormat=P","Fill=—","Direction=H","UseDPDF=Y")</f>
        <v>0</v>
      </c>
      <c r="D75" s="12">
        <f>_xll.BDH("RMS FP Equity","XO_GL_NET_OF_TAX","FY 1992","FY 1992","Currency=USD","Period=FY","BEST_FPERIOD_OVERRIDE=FY","FILING_STATUS=MR","SCALING_FORMAT=MLN","Sort=A","Dates=H","DateFormat=P","Fill=—","Direction=H","UseDPDF=Y")</f>
        <v>0</v>
      </c>
      <c r="E75" s="12">
        <f>_xll.BDH("RMS FP Equity","XO_GL_NET_OF_TAX","FY 1993","FY 1993","Currency=USD","Period=FY","BEST_FPERIOD_OVERRIDE=FY","FILING_STATUS=MR","SCALING_FORMAT=MLN","Sort=A","Dates=H","DateFormat=P","Fill=—","Direction=H","UseDPDF=Y")</f>
        <v>0</v>
      </c>
      <c r="F75" s="12">
        <f>_xll.BDH("RMS FP Equity","XO_GL_NET_OF_TAX","FY 1994","FY 1994","Currency=USD","Period=FY","BEST_FPERIOD_OVERRIDE=FY","FILING_STATUS=MR","SCALING_FORMAT=MLN","Sort=A","Dates=H","DateFormat=P","Fill=—","Direction=H","UseDPDF=Y")</f>
        <v>0</v>
      </c>
      <c r="G75" s="12">
        <f>_xll.BDH("RMS FP Equity","XO_GL_NET_OF_TAX","FY 1995","FY 1995","Currency=USD","Period=FY","BEST_FPERIOD_OVERRIDE=FY","FILING_STATUS=MR","SCALING_FORMAT=MLN","Sort=A","Dates=H","DateFormat=P","Fill=—","Direction=H","UseDPDF=Y")</f>
        <v>0</v>
      </c>
      <c r="H75" s="12">
        <f>_xll.BDH("RMS FP Equity","XO_GL_NET_OF_TAX","FY 1996","FY 1996","Currency=USD","Period=FY","BEST_FPERIOD_OVERRIDE=FY","FILING_STATUS=MR","SCALING_FORMAT=MLN","Sort=A","Dates=H","DateFormat=P","Fill=—","Direction=H","UseDPDF=Y")</f>
        <v>0</v>
      </c>
      <c r="I75" s="12">
        <f>_xll.BDH("RMS FP Equity","XO_GL_NET_OF_TAX","FY 1997","FY 1997","Currency=USD","Period=FY","BEST_FPERIOD_OVERRIDE=FY","FILING_STATUS=MR","SCALING_FORMAT=MLN","Sort=A","Dates=H","DateFormat=P","Fill=—","Direction=H","UseDPDF=Y")</f>
        <v>0</v>
      </c>
      <c r="J75" s="12">
        <f>_xll.BDH("RMS FP Equity","XO_GL_NET_OF_TAX","FY 1998","FY 1998","Currency=USD","Period=FY","BEST_FPERIOD_OVERRIDE=FY","FILING_STATUS=MR","SCALING_FORMAT=MLN","Sort=A","Dates=H","DateFormat=P","Fill=—","Direction=H","UseDPDF=Y")</f>
        <v>0</v>
      </c>
      <c r="K75" s="12">
        <f>_xll.BDH("RMS FP Equity","XO_GL_NET_OF_TAX","FY 1999","FY 1999","Currency=USD","Period=FY","BEST_FPERIOD_OVERRIDE=FY","FILING_STATUS=MR","SCALING_FORMAT=MLN","Sort=A","Dates=H","DateFormat=P","Fill=—","Direction=H","UseDPDF=Y")</f>
        <v>0</v>
      </c>
      <c r="L75" s="12">
        <f>_xll.BDH("RMS FP Equity","XO_GL_NET_OF_TAX","FY 2000","FY 2000","Currency=USD","Period=FY","BEST_FPERIOD_OVERRIDE=FY","FILING_STATUS=MR","SCALING_FORMAT=MLN","Sort=A","Dates=H","DateFormat=P","Fill=—","Direction=H","UseDPDF=Y")</f>
        <v>0</v>
      </c>
      <c r="M75" s="12">
        <f>_xll.BDH("RMS FP Equity","XO_GL_NET_OF_TAX","FY 2001","FY 2001","Currency=USD","Period=FY","BEST_FPERIOD_OVERRIDE=FY","FILING_STATUS=MR","SCALING_FORMAT=MLN","Sort=A","Dates=H","DateFormat=P","Fill=—","Direction=H","UseDPDF=Y")</f>
        <v>0</v>
      </c>
      <c r="N75" s="12">
        <f>_xll.BDH("RMS FP Equity","XO_GL_NET_OF_TAX","FY 2002","FY 2002","Currency=USD","Period=FY","BEST_FPERIOD_OVERRIDE=FY","FILING_STATUS=MR","SCALING_FORMAT=MLN","Sort=A","Dates=H","DateFormat=P","Fill=—","Direction=H","UseDPDF=Y")</f>
        <v>0</v>
      </c>
      <c r="O75" s="12">
        <f>_xll.BDH("RMS FP Equity","XO_GL_NET_OF_TAX","FY 2003","FY 2003","Currency=USD","Period=FY","BEST_FPERIOD_OVERRIDE=FY","FILING_STATUS=MR","SCALING_FORMAT=MLN","Sort=A","Dates=H","DateFormat=P","Fill=—","Direction=H","UseDPDF=Y")</f>
        <v>0</v>
      </c>
      <c r="P75" s="12">
        <f>_xll.BDH("RMS FP Equity","XO_GL_NET_OF_TAX","FY 2004","FY 2004","Currency=USD","Period=FY","BEST_FPERIOD_OVERRIDE=FY","FILING_STATUS=MR","SCALING_FORMAT=MLN","Sort=A","Dates=H","DateFormat=P","Fill=—","Direction=H","UseDPDF=Y")</f>
        <v>0</v>
      </c>
      <c r="Q75" s="12">
        <f>_xll.BDH("RMS FP Equity","XO_GL_NET_OF_TAX","FY 2005","FY 2005","Currency=USD","Period=FY","BEST_FPERIOD_OVERRIDE=FY","FILING_STATUS=MR","SCALING_FORMAT=MLN","Sort=A","Dates=H","DateFormat=P","Fill=—","Direction=H","UseDPDF=Y")</f>
        <v>0</v>
      </c>
      <c r="R75" s="12" t="str">
        <f>_xll.BDH("RMS FP Equity","XO_GL_NET_OF_TAX","FY 2006","FY 2006","Currency=USD","Period=FY","BEST_FPERIOD_OVERRIDE=FY","FILING_STATUS=MR","SCALING_FORMAT=MLN","Sort=A","Dates=H","DateFormat=P","Fill=—","Direction=H","UseDPDF=Y")</f>
        <v>—</v>
      </c>
      <c r="S75" s="12">
        <f>_xll.BDH("RMS FP Equity","XO_GL_NET_OF_TAX","FY 2007","FY 2007","Currency=USD","Period=FY","BEST_FPERIOD_OVERRIDE=FY","FILING_STATUS=MR","SCALING_FORMAT=MLN","Sort=A","Dates=H","DateFormat=P","Fill=—","Direction=H","UseDPDF=Y")</f>
        <v>0</v>
      </c>
      <c r="T75" s="12">
        <f>_xll.BDH("RMS FP Equity","XO_GL_NET_OF_TAX","FY 2008","FY 2008","Currency=USD","Period=FY","BEST_FPERIOD_OVERRIDE=FY","FILING_STATUS=MR","SCALING_FORMAT=MLN","Sort=A","Dates=H","DateFormat=P","Fill=—","Direction=H","UseDPDF=Y")</f>
        <v>0</v>
      </c>
      <c r="U75" s="12">
        <f>_xll.BDH("RMS FP Equity","XO_GL_NET_OF_TAX","FY 2009","FY 2009","Currency=USD","Period=FY","BEST_FPERIOD_OVERRIDE=FY","FILING_STATUS=MR","SCALING_FORMAT=MLN","Sort=A","Dates=H","DateFormat=P","Fill=—","Direction=H","UseDPDF=Y")</f>
        <v>0</v>
      </c>
      <c r="V75" s="12">
        <f>_xll.BDH("RMS FP Equity","XO_GL_NET_OF_TAX","FY 2010","FY 2010","Currency=USD","Period=FY","BEST_FPERIOD_OVERRIDE=FY","FILING_STATUS=MR","SCALING_FORMAT=MLN","Sort=A","Dates=H","DateFormat=P","Fill=—","Direction=H","UseDPDF=Y")</f>
        <v>0</v>
      </c>
      <c r="W75" s="12">
        <f>_xll.BDH("RMS FP Equity","XO_GL_NET_OF_TAX","FY 2011","FY 2011","Currency=USD","Period=FY","BEST_FPERIOD_OVERRIDE=FY","FILING_STATUS=MR","SCALING_FORMAT=MLN","Sort=A","Dates=H","DateFormat=P","Fill=—","Direction=H","UseDPDF=Y")</f>
        <v>0</v>
      </c>
      <c r="X75" s="12">
        <f>_xll.BDH("RMS FP Equity","XO_GL_NET_OF_TAX","FY 2012","FY 2012","Currency=USD","Period=FY","BEST_FPERIOD_OVERRIDE=FY","FILING_STATUS=MR","SCALING_FORMAT=MLN","Sort=A","Dates=H","DateFormat=P","Fill=—","Direction=H","UseDPDF=Y")</f>
        <v>0</v>
      </c>
      <c r="Y75" s="12">
        <f>_xll.BDH("RMS FP Equity","XO_GL_NET_OF_TAX","FY 2013","FY 2013","Currency=USD","Period=FY","BEST_FPERIOD_OVERRIDE=FY","FILING_STATUS=MR","SCALING_FORMAT=MLN","Sort=A","Dates=H","DateFormat=P","Fill=—","Direction=H","UseDPDF=Y")</f>
        <v>0</v>
      </c>
      <c r="Z75" s="12">
        <f>_xll.BDH("RMS FP Equity","XO_GL_NET_OF_TAX","FY 2014","FY 2014","Currency=USD","Period=FY","BEST_FPERIOD_OVERRIDE=FY","FILING_STATUS=MR","SCALING_FORMAT=MLN","Sort=A","Dates=H","DateFormat=P","Fill=—","Direction=H","UseDPDF=Y")</f>
        <v>0</v>
      </c>
      <c r="AA75" s="12">
        <f>_xll.BDH("RMS FP Equity","XO_GL_NET_OF_TAX","FY 2015","FY 2015","Currency=USD","Period=FY","BEST_FPERIOD_OVERRIDE=FY","FILING_STATUS=MR","SCALING_FORMAT=MLN","Sort=A","Dates=H","DateFormat=P","Fill=—","Direction=H","UseDPDF=Y")</f>
        <v>0</v>
      </c>
      <c r="AB75" s="12">
        <f>_xll.BDH("RMS FP Equity","XO_GL_NET_OF_TAX","FY 2016","FY 2016","Currency=USD","Period=FY","BEST_FPERIOD_OVERRIDE=FY","FILING_STATUS=MR","SCALING_FORMAT=MLN","Sort=A","Dates=H","DateFormat=P","Fill=—","Direction=H","UseDPDF=Y")</f>
        <v>0</v>
      </c>
      <c r="AC75" s="12">
        <f>_xll.BDH("RMS FP Equity","XO_GL_NET_OF_TAX","FY 2017","FY 2017","Currency=USD","Period=FY","BEST_FPERIOD_OVERRIDE=FY","FILING_STATUS=MR","SCALING_FORMAT=MLN","Sort=A","Dates=H","DateFormat=P","Fill=—","Direction=H","UseDPDF=Y")</f>
        <v>0</v>
      </c>
      <c r="AD75" s="12"/>
      <c r="AE75" s="12"/>
    </row>
    <row r="76" spans="1:31" x14ac:dyDescent="0.25">
      <c r="A76" s="10" t="s">
        <v>136</v>
      </c>
      <c r="B76" s="10" t="s">
        <v>137</v>
      </c>
      <c r="C76" s="12" t="str">
        <f>_xll.BDH("RMS FP Equity","IS_DISCONTINUED_OPERATIONS","FY 1991","FY 1991","Currency=USD","Period=FY","BEST_FPERIOD_OVERRIDE=FY","FILING_STATUS=MR","SCALING_FORMAT=MLN","Sort=A","Dates=H","DateFormat=P","Fill=—","Direction=H","UseDPDF=Y")</f>
        <v>—</v>
      </c>
      <c r="D76" s="12" t="str">
        <f>_xll.BDH("RMS FP Equity","IS_DISCONTINUED_OPERATIONS","FY 1992","FY 1992","Currency=USD","Period=FY","BEST_FPERIOD_OVERRIDE=FY","FILING_STATUS=MR","SCALING_FORMAT=MLN","Sort=A","Dates=H","DateFormat=P","Fill=—","Direction=H","UseDPDF=Y")</f>
        <v>—</v>
      </c>
      <c r="E76" s="12" t="str">
        <f>_xll.BDH("RMS FP Equity","IS_DISCONTINUED_OPERATIONS","FY 1993","FY 1993","Currency=USD","Period=FY","BEST_FPERIOD_OVERRIDE=FY","FILING_STATUS=MR","SCALING_FORMAT=MLN","Sort=A","Dates=H","DateFormat=P","Fill=—","Direction=H","UseDPDF=Y")</f>
        <v>—</v>
      </c>
      <c r="F76" s="12" t="str">
        <f>_xll.BDH("RMS FP Equity","IS_DISCONTINUED_OPERATIONS","FY 1994","FY 1994","Currency=USD","Period=FY","BEST_FPERIOD_OVERRIDE=FY","FILING_STATUS=MR","SCALING_FORMAT=MLN","Sort=A","Dates=H","DateFormat=P","Fill=—","Direction=H","UseDPDF=Y")</f>
        <v>—</v>
      </c>
      <c r="G76" s="12" t="str">
        <f>_xll.BDH("RMS FP Equity","IS_DISCONTINUED_OPERATIONS","FY 1995","FY 1995","Currency=USD","Period=FY","BEST_FPERIOD_OVERRIDE=FY","FILING_STATUS=MR","SCALING_FORMAT=MLN","Sort=A","Dates=H","DateFormat=P","Fill=—","Direction=H","UseDPDF=Y")</f>
        <v>—</v>
      </c>
      <c r="H76" s="12" t="str">
        <f>_xll.BDH("RMS FP Equity","IS_DISCONTINUED_OPERATIONS","FY 1996","FY 1996","Currency=USD","Period=FY","BEST_FPERIOD_OVERRIDE=FY","FILING_STATUS=MR","SCALING_FORMAT=MLN","Sort=A","Dates=H","DateFormat=P","Fill=—","Direction=H","UseDPDF=Y")</f>
        <v>—</v>
      </c>
      <c r="I76" s="12" t="str">
        <f>_xll.BDH("RMS FP Equity","IS_DISCONTINUED_OPERATIONS","FY 1997","FY 1997","Currency=USD","Period=FY","BEST_FPERIOD_OVERRIDE=FY","FILING_STATUS=MR","SCALING_FORMAT=MLN","Sort=A","Dates=H","DateFormat=P","Fill=—","Direction=H","UseDPDF=Y")</f>
        <v>—</v>
      </c>
      <c r="J76" s="12" t="str">
        <f>_xll.BDH("RMS FP Equity","IS_DISCONTINUED_OPERATIONS","FY 1998","FY 1998","Currency=USD","Period=FY","BEST_FPERIOD_OVERRIDE=FY","FILING_STATUS=MR","SCALING_FORMAT=MLN","Sort=A","Dates=H","DateFormat=P","Fill=—","Direction=H","UseDPDF=Y")</f>
        <v>—</v>
      </c>
      <c r="K76" s="12" t="str">
        <f>_xll.BDH("RMS FP Equity","IS_DISCONTINUED_OPERATIONS","FY 1999","FY 1999","Currency=USD","Period=FY","BEST_FPERIOD_OVERRIDE=FY","FILING_STATUS=MR","SCALING_FORMAT=MLN","Sort=A","Dates=H","DateFormat=P","Fill=—","Direction=H","UseDPDF=Y")</f>
        <v>—</v>
      </c>
      <c r="L76" s="12" t="str">
        <f>_xll.BDH("RMS FP Equity","IS_DISCONTINUED_OPERATIONS","FY 2000","FY 2000","Currency=USD","Period=FY","BEST_FPERIOD_OVERRIDE=FY","FILING_STATUS=MR","SCALING_FORMAT=MLN","Sort=A","Dates=H","DateFormat=P","Fill=—","Direction=H","UseDPDF=Y")</f>
        <v>—</v>
      </c>
      <c r="M76" s="12" t="str">
        <f>_xll.BDH("RMS FP Equity","IS_DISCONTINUED_OPERATIONS","FY 2001","FY 2001","Currency=USD","Period=FY","BEST_FPERIOD_OVERRIDE=FY","FILING_STATUS=MR","SCALING_FORMAT=MLN","Sort=A","Dates=H","DateFormat=P","Fill=—","Direction=H","UseDPDF=Y")</f>
        <v>—</v>
      </c>
      <c r="N76" s="12" t="str">
        <f>_xll.BDH("RMS FP Equity","IS_DISCONTINUED_OPERATIONS","FY 2002","FY 2002","Currency=USD","Period=FY","BEST_FPERIOD_OVERRIDE=FY","FILING_STATUS=MR","SCALING_FORMAT=MLN","Sort=A","Dates=H","DateFormat=P","Fill=—","Direction=H","UseDPDF=Y")</f>
        <v>—</v>
      </c>
      <c r="O76" s="12" t="str">
        <f>_xll.BDH("RMS FP Equity","IS_DISCONTINUED_OPERATIONS","FY 2003","FY 2003","Currency=USD","Period=FY","BEST_FPERIOD_OVERRIDE=FY","FILING_STATUS=MR","SCALING_FORMAT=MLN","Sort=A","Dates=H","DateFormat=P","Fill=—","Direction=H","UseDPDF=Y")</f>
        <v>—</v>
      </c>
      <c r="P76" s="12" t="str">
        <f>_xll.BDH("RMS FP Equity","IS_DISCONTINUED_OPERATIONS","FY 2004","FY 2004","Currency=USD","Period=FY","BEST_FPERIOD_OVERRIDE=FY","FILING_STATUS=MR","SCALING_FORMAT=MLN","Sort=A","Dates=H","DateFormat=P","Fill=—","Direction=H","UseDPDF=Y")</f>
        <v>—</v>
      </c>
      <c r="Q76" s="12" t="str">
        <f>_xll.BDH("RMS FP Equity","IS_DISCONTINUED_OPERATIONS","FY 2005","FY 2005","Currency=USD","Period=FY","BEST_FPERIOD_OVERRIDE=FY","FILING_STATUS=MR","SCALING_FORMAT=MLN","Sort=A","Dates=H","DateFormat=P","Fill=—","Direction=H","UseDPDF=Y")</f>
        <v>—</v>
      </c>
      <c r="R76" s="12" t="str">
        <f>_xll.BDH("RMS FP Equity","IS_DISCONTINUED_OPERATIONS","FY 2006","FY 2006","Currency=USD","Period=FY","BEST_FPERIOD_OVERRIDE=FY","FILING_STATUS=MR","SCALING_FORMAT=MLN","Sort=A","Dates=H","DateFormat=P","Fill=—","Direction=H","UseDPDF=Y")</f>
        <v>—</v>
      </c>
      <c r="S76" s="12" t="str">
        <f>_xll.BDH("RMS FP Equity","IS_DISCONTINUED_OPERATIONS","FY 2007","FY 2007","Currency=USD","Period=FY","BEST_FPERIOD_OVERRIDE=FY","FILING_STATUS=MR","SCALING_FORMAT=MLN","Sort=A","Dates=H","DateFormat=P","Fill=—","Direction=H","UseDPDF=Y")</f>
        <v>—</v>
      </c>
      <c r="T76" s="12" t="str">
        <f>_xll.BDH("RMS FP Equity","IS_DISCONTINUED_OPERATIONS","FY 2008","FY 2008","Currency=USD","Period=FY","BEST_FPERIOD_OVERRIDE=FY","FILING_STATUS=MR","SCALING_FORMAT=MLN","Sort=A","Dates=H","DateFormat=P","Fill=—","Direction=H","UseDPDF=Y")</f>
        <v>—</v>
      </c>
      <c r="U76" s="12">
        <f>_xll.BDH("RMS FP Equity","IS_DISCONTINUED_OPERATIONS","FY 2009","FY 2009","Currency=USD","Period=FY","BEST_FPERIOD_OVERRIDE=FY","FILING_STATUS=MR","SCALING_FORMAT=MLN","Sort=A","Dates=H","DateFormat=P","Fill=—","Direction=H","UseDPDF=Y")</f>
        <v>0</v>
      </c>
      <c r="V76" s="12">
        <f>_xll.BDH("RMS FP Equity","IS_DISCONTINUED_OPERATIONS","FY 2010","FY 2010","Currency=USD","Period=FY","BEST_FPERIOD_OVERRIDE=FY","FILING_STATUS=MR","SCALING_FORMAT=MLN","Sort=A","Dates=H","DateFormat=P","Fill=—","Direction=H","UseDPDF=Y")</f>
        <v>0</v>
      </c>
      <c r="W76" s="12">
        <f>_xll.BDH("RMS FP Equity","IS_DISCONTINUED_OPERATIONS","FY 2011","FY 2011","Currency=USD","Period=FY","BEST_FPERIOD_OVERRIDE=FY","FILING_STATUS=MR","SCALING_FORMAT=MLN","Sort=A","Dates=H","DateFormat=P","Fill=—","Direction=H","UseDPDF=Y")</f>
        <v>0</v>
      </c>
      <c r="X76" s="12">
        <f>_xll.BDH("RMS FP Equity","IS_DISCONTINUED_OPERATIONS","FY 2012","FY 2012","Currency=USD","Period=FY","BEST_FPERIOD_OVERRIDE=FY","FILING_STATUS=MR","SCALING_FORMAT=MLN","Sort=A","Dates=H","DateFormat=P","Fill=—","Direction=H","UseDPDF=Y")</f>
        <v>0</v>
      </c>
      <c r="Y76" s="12">
        <f>_xll.BDH("RMS FP Equity","IS_DISCONTINUED_OPERATIONS","FY 2013","FY 2013","Currency=USD","Period=FY","BEST_FPERIOD_OVERRIDE=FY","FILING_STATUS=MR","SCALING_FORMAT=MLN","Sort=A","Dates=H","DateFormat=P","Fill=—","Direction=H","UseDPDF=Y")</f>
        <v>0</v>
      </c>
      <c r="Z76" s="12">
        <f>_xll.BDH("RMS FP Equity","IS_DISCONTINUED_OPERATIONS","FY 2014","FY 2014","Currency=USD","Period=FY","BEST_FPERIOD_OVERRIDE=FY","FILING_STATUS=MR","SCALING_FORMAT=MLN","Sort=A","Dates=H","DateFormat=P","Fill=—","Direction=H","UseDPDF=Y")</f>
        <v>0</v>
      </c>
      <c r="AA76" s="12">
        <f>_xll.BDH("RMS FP Equity","IS_DISCONTINUED_OPERATIONS","FY 2015","FY 2015","Currency=USD","Period=FY","BEST_FPERIOD_OVERRIDE=FY","FILING_STATUS=MR","SCALING_FORMAT=MLN","Sort=A","Dates=H","DateFormat=P","Fill=—","Direction=H","UseDPDF=Y")</f>
        <v>0</v>
      </c>
      <c r="AB76" s="12">
        <f>_xll.BDH("RMS FP Equity","IS_DISCONTINUED_OPERATIONS","FY 2016","FY 2016","Currency=USD","Period=FY","BEST_FPERIOD_OVERRIDE=FY","FILING_STATUS=MR","SCALING_FORMAT=MLN","Sort=A","Dates=H","DateFormat=P","Fill=—","Direction=H","UseDPDF=Y")</f>
        <v>0</v>
      </c>
      <c r="AC76" s="12">
        <f>_xll.BDH("RMS FP Equity","IS_DISCONTINUED_OPERATIONS","FY 2017","FY 2017","Currency=USD","Period=FY","BEST_FPERIOD_OVERRIDE=FY","FILING_STATUS=MR","SCALING_FORMAT=MLN","Sort=A","Dates=H","DateFormat=P","Fill=—","Direction=H","UseDPDF=Y")</f>
        <v>0</v>
      </c>
      <c r="AD76" s="12"/>
      <c r="AE76" s="12"/>
    </row>
    <row r="77" spans="1:31" x14ac:dyDescent="0.25">
      <c r="A77" s="10" t="s">
        <v>138</v>
      </c>
      <c r="B77" s="10" t="s">
        <v>139</v>
      </c>
      <c r="C77" s="12" t="str">
        <f>_xll.BDH("RMS FP Equity","IS_EXTRAORD_ITEMS_&amp;_ACCTG_CHNG","FY 1991","FY 1991","Currency=USD","Period=FY","BEST_FPERIOD_OVERRIDE=FY","FILING_STATUS=MR","SCALING_FORMAT=MLN","Sort=A","Dates=H","DateFormat=P","Fill=—","Direction=H","UseDPDF=Y")</f>
        <v>—</v>
      </c>
      <c r="D77" s="12" t="str">
        <f>_xll.BDH("RMS FP Equity","IS_EXTRAORD_ITEMS_&amp;_ACCTG_CHNG","FY 1992","FY 1992","Currency=USD","Period=FY","BEST_FPERIOD_OVERRIDE=FY","FILING_STATUS=MR","SCALING_FORMAT=MLN","Sort=A","Dates=H","DateFormat=P","Fill=—","Direction=H","UseDPDF=Y")</f>
        <v>—</v>
      </c>
      <c r="E77" s="12" t="str">
        <f>_xll.BDH("RMS FP Equity","IS_EXTRAORD_ITEMS_&amp;_ACCTG_CHNG","FY 1993","FY 1993","Currency=USD","Period=FY","BEST_FPERIOD_OVERRIDE=FY","FILING_STATUS=MR","SCALING_FORMAT=MLN","Sort=A","Dates=H","DateFormat=P","Fill=—","Direction=H","UseDPDF=Y")</f>
        <v>—</v>
      </c>
      <c r="F77" s="12" t="str">
        <f>_xll.BDH("RMS FP Equity","IS_EXTRAORD_ITEMS_&amp;_ACCTG_CHNG","FY 1994","FY 1994","Currency=USD","Period=FY","BEST_FPERIOD_OVERRIDE=FY","FILING_STATUS=MR","SCALING_FORMAT=MLN","Sort=A","Dates=H","DateFormat=P","Fill=—","Direction=H","UseDPDF=Y")</f>
        <v>—</v>
      </c>
      <c r="G77" s="12" t="str">
        <f>_xll.BDH("RMS FP Equity","IS_EXTRAORD_ITEMS_&amp;_ACCTG_CHNG","FY 1995","FY 1995","Currency=USD","Period=FY","BEST_FPERIOD_OVERRIDE=FY","FILING_STATUS=MR","SCALING_FORMAT=MLN","Sort=A","Dates=H","DateFormat=P","Fill=—","Direction=H","UseDPDF=Y")</f>
        <v>—</v>
      </c>
      <c r="H77" s="12" t="str">
        <f>_xll.BDH("RMS FP Equity","IS_EXTRAORD_ITEMS_&amp;_ACCTG_CHNG","FY 1996","FY 1996","Currency=USD","Period=FY","BEST_FPERIOD_OVERRIDE=FY","FILING_STATUS=MR","SCALING_FORMAT=MLN","Sort=A","Dates=H","DateFormat=P","Fill=—","Direction=H","UseDPDF=Y")</f>
        <v>—</v>
      </c>
      <c r="I77" s="12" t="str">
        <f>_xll.BDH("RMS FP Equity","IS_EXTRAORD_ITEMS_&amp;_ACCTG_CHNG","FY 1997","FY 1997","Currency=USD","Period=FY","BEST_FPERIOD_OVERRIDE=FY","FILING_STATUS=MR","SCALING_FORMAT=MLN","Sort=A","Dates=H","DateFormat=P","Fill=—","Direction=H","UseDPDF=Y")</f>
        <v>—</v>
      </c>
      <c r="J77" s="12" t="str">
        <f>_xll.BDH("RMS FP Equity","IS_EXTRAORD_ITEMS_&amp;_ACCTG_CHNG","FY 1998","FY 1998","Currency=USD","Period=FY","BEST_FPERIOD_OVERRIDE=FY","FILING_STATUS=MR","SCALING_FORMAT=MLN","Sort=A","Dates=H","DateFormat=P","Fill=—","Direction=H","UseDPDF=Y")</f>
        <v>—</v>
      </c>
      <c r="K77" s="12" t="str">
        <f>_xll.BDH("RMS FP Equity","IS_EXTRAORD_ITEMS_&amp;_ACCTG_CHNG","FY 1999","FY 1999","Currency=USD","Period=FY","BEST_FPERIOD_OVERRIDE=FY","FILING_STATUS=MR","SCALING_FORMAT=MLN","Sort=A","Dates=H","DateFormat=P","Fill=—","Direction=H","UseDPDF=Y")</f>
        <v>—</v>
      </c>
      <c r="L77" s="12" t="str">
        <f>_xll.BDH("RMS FP Equity","IS_EXTRAORD_ITEMS_&amp;_ACCTG_CHNG","FY 2000","FY 2000","Currency=USD","Period=FY","BEST_FPERIOD_OVERRIDE=FY","FILING_STATUS=MR","SCALING_FORMAT=MLN","Sort=A","Dates=H","DateFormat=P","Fill=—","Direction=H","UseDPDF=Y")</f>
        <v>—</v>
      </c>
      <c r="M77" s="12" t="str">
        <f>_xll.BDH("RMS FP Equity","IS_EXTRAORD_ITEMS_&amp;_ACCTG_CHNG","FY 2001","FY 2001","Currency=USD","Period=FY","BEST_FPERIOD_OVERRIDE=FY","FILING_STATUS=MR","SCALING_FORMAT=MLN","Sort=A","Dates=H","DateFormat=P","Fill=—","Direction=H","UseDPDF=Y")</f>
        <v>—</v>
      </c>
      <c r="N77" s="12" t="str">
        <f>_xll.BDH("RMS FP Equity","IS_EXTRAORD_ITEMS_&amp;_ACCTG_CHNG","FY 2002","FY 2002","Currency=USD","Period=FY","BEST_FPERIOD_OVERRIDE=FY","FILING_STATUS=MR","SCALING_FORMAT=MLN","Sort=A","Dates=H","DateFormat=P","Fill=—","Direction=H","UseDPDF=Y")</f>
        <v>—</v>
      </c>
      <c r="O77" s="12" t="str">
        <f>_xll.BDH("RMS FP Equity","IS_EXTRAORD_ITEMS_&amp;_ACCTG_CHNG","FY 2003","FY 2003","Currency=USD","Period=FY","BEST_FPERIOD_OVERRIDE=FY","FILING_STATUS=MR","SCALING_FORMAT=MLN","Sort=A","Dates=H","DateFormat=P","Fill=—","Direction=H","UseDPDF=Y")</f>
        <v>—</v>
      </c>
      <c r="P77" s="12" t="str">
        <f>_xll.BDH("RMS FP Equity","IS_EXTRAORD_ITEMS_&amp;_ACCTG_CHNG","FY 2004","FY 2004","Currency=USD","Period=FY","BEST_FPERIOD_OVERRIDE=FY","FILING_STATUS=MR","SCALING_FORMAT=MLN","Sort=A","Dates=H","DateFormat=P","Fill=—","Direction=H","UseDPDF=Y")</f>
        <v>—</v>
      </c>
      <c r="Q77" s="12" t="str">
        <f>_xll.BDH("RMS FP Equity","IS_EXTRAORD_ITEMS_&amp;_ACCTG_CHNG","FY 2005","FY 2005","Currency=USD","Period=FY","BEST_FPERIOD_OVERRIDE=FY","FILING_STATUS=MR","SCALING_FORMAT=MLN","Sort=A","Dates=H","DateFormat=P","Fill=—","Direction=H","UseDPDF=Y")</f>
        <v>—</v>
      </c>
      <c r="R77" s="12" t="str">
        <f>_xll.BDH("RMS FP Equity","IS_EXTRAORD_ITEMS_&amp;_ACCTG_CHNG","FY 2006","FY 2006","Currency=USD","Period=FY","BEST_FPERIOD_OVERRIDE=FY","FILING_STATUS=MR","SCALING_FORMAT=MLN","Sort=A","Dates=H","DateFormat=P","Fill=—","Direction=H","UseDPDF=Y")</f>
        <v>—</v>
      </c>
      <c r="S77" s="12" t="str">
        <f>_xll.BDH("RMS FP Equity","IS_EXTRAORD_ITEMS_&amp;_ACCTG_CHNG","FY 2007","FY 2007","Currency=USD","Period=FY","BEST_FPERIOD_OVERRIDE=FY","FILING_STATUS=MR","SCALING_FORMAT=MLN","Sort=A","Dates=H","DateFormat=P","Fill=—","Direction=H","UseDPDF=Y")</f>
        <v>—</v>
      </c>
      <c r="T77" s="12" t="str">
        <f>_xll.BDH("RMS FP Equity","IS_EXTRAORD_ITEMS_&amp;_ACCTG_CHNG","FY 2008","FY 2008","Currency=USD","Period=FY","BEST_FPERIOD_OVERRIDE=FY","FILING_STATUS=MR","SCALING_FORMAT=MLN","Sort=A","Dates=H","DateFormat=P","Fill=—","Direction=H","UseDPDF=Y")</f>
        <v>—</v>
      </c>
      <c r="U77" s="12">
        <f>_xll.BDH("RMS FP Equity","IS_EXTRAORD_ITEMS_&amp;_ACCTG_CHNG","FY 2009","FY 2009","Currency=USD","Period=FY","BEST_FPERIOD_OVERRIDE=FY","FILING_STATUS=MR","SCALING_FORMAT=MLN","Sort=A","Dates=H","DateFormat=P","Fill=—","Direction=H","UseDPDF=Y")</f>
        <v>0</v>
      </c>
      <c r="V77" s="12">
        <f>_xll.BDH("RMS FP Equity","IS_EXTRAORD_ITEMS_&amp;_ACCTG_CHNG","FY 2010","FY 2010","Currency=USD","Period=FY","BEST_FPERIOD_OVERRIDE=FY","FILING_STATUS=MR","SCALING_FORMAT=MLN","Sort=A","Dates=H","DateFormat=P","Fill=—","Direction=H","UseDPDF=Y")</f>
        <v>0</v>
      </c>
      <c r="W77" s="12">
        <f>_xll.BDH("RMS FP Equity","IS_EXTRAORD_ITEMS_&amp;_ACCTG_CHNG","FY 2011","FY 2011","Currency=USD","Period=FY","BEST_FPERIOD_OVERRIDE=FY","FILING_STATUS=MR","SCALING_FORMAT=MLN","Sort=A","Dates=H","DateFormat=P","Fill=—","Direction=H","UseDPDF=Y")</f>
        <v>0</v>
      </c>
      <c r="X77" s="12">
        <f>_xll.BDH("RMS FP Equity","IS_EXTRAORD_ITEMS_&amp;_ACCTG_CHNG","FY 2012","FY 2012","Currency=USD","Period=FY","BEST_FPERIOD_OVERRIDE=FY","FILING_STATUS=MR","SCALING_FORMAT=MLN","Sort=A","Dates=H","DateFormat=P","Fill=—","Direction=H","UseDPDF=Y")</f>
        <v>0</v>
      </c>
      <c r="Y77" s="12">
        <f>_xll.BDH("RMS FP Equity","IS_EXTRAORD_ITEMS_&amp;_ACCTG_CHNG","FY 2013","FY 2013","Currency=USD","Period=FY","BEST_FPERIOD_OVERRIDE=FY","FILING_STATUS=MR","SCALING_FORMAT=MLN","Sort=A","Dates=H","DateFormat=P","Fill=—","Direction=H","UseDPDF=Y")</f>
        <v>0</v>
      </c>
      <c r="Z77" s="12">
        <f>_xll.BDH("RMS FP Equity","IS_EXTRAORD_ITEMS_&amp;_ACCTG_CHNG","FY 2014","FY 2014","Currency=USD","Period=FY","BEST_FPERIOD_OVERRIDE=FY","FILING_STATUS=MR","SCALING_FORMAT=MLN","Sort=A","Dates=H","DateFormat=P","Fill=—","Direction=H","UseDPDF=Y")</f>
        <v>0</v>
      </c>
      <c r="AA77" s="12">
        <f>_xll.BDH("RMS FP Equity","IS_EXTRAORD_ITEMS_&amp;_ACCTG_CHNG","FY 2015","FY 2015","Currency=USD","Period=FY","BEST_FPERIOD_OVERRIDE=FY","FILING_STATUS=MR","SCALING_FORMAT=MLN","Sort=A","Dates=H","DateFormat=P","Fill=—","Direction=H","UseDPDF=Y")</f>
        <v>0</v>
      </c>
      <c r="AB77" s="12">
        <f>_xll.BDH("RMS FP Equity","IS_EXTRAORD_ITEMS_&amp;_ACCTG_CHNG","FY 2016","FY 2016","Currency=USD","Period=FY","BEST_FPERIOD_OVERRIDE=FY","FILING_STATUS=MR","SCALING_FORMAT=MLN","Sort=A","Dates=H","DateFormat=P","Fill=—","Direction=H","UseDPDF=Y")</f>
        <v>0</v>
      </c>
      <c r="AC77" s="12">
        <f>_xll.BDH("RMS FP Equity","IS_EXTRAORD_ITEMS_&amp;_ACCTG_CHNG","FY 2017","FY 2017","Currency=USD","Period=FY","BEST_FPERIOD_OVERRIDE=FY","FILING_STATUS=MR","SCALING_FORMAT=MLN","Sort=A","Dates=H","DateFormat=P","Fill=—","Direction=H","UseDPDF=Y")</f>
        <v>0</v>
      </c>
      <c r="AD77" s="12"/>
      <c r="AE77" s="12"/>
    </row>
    <row r="78" spans="1:31" x14ac:dyDescent="0.25">
      <c r="A78" s="6" t="s">
        <v>140</v>
      </c>
      <c r="B78" s="6" t="s">
        <v>141</v>
      </c>
      <c r="C78" s="14">
        <f>_xll.BDH("RMS FP Equity","NI_INCLUDING_MINORITY_INT_RATIO","FY 1991","FY 1991","Currency=USD","Period=FY","BEST_FPERIOD_OVERRIDE=FY","FILING_STATUS=MR","SCALING_FORMAT=MLN","FA_ADJUSTED=GAAP","Sort=A","Dates=H","DateFormat=P","Fill=—","Direction=H","UseDPDF=Y")</f>
        <v>22.992699999999999</v>
      </c>
      <c r="D78" s="14">
        <f>_xll.BDH("RMS FP Equity","NI_INCLUDING_MINORITY_INT_RATIO","FY 1992","FY 1992","Currency=USD","Period=FY","BEST_FPERIOD_OVERRIDE=FY","FILING_STATUS=MR","SCALING_FORMAT=MLN","FA_ADJUSTED=GAAP","Sort=A","Dates=H","DateFormat=P","Fill=—","Direction=H","UseDPDF=Y")</f>
        <v>36.562399999999997</v>
      </c>
      <c r="E78" s="14">
        <f>_xll.BDH("RMS FP Equity","NI_INCLUDING_MINORITY_INT_RATIO","FY 1993","FY 1993","Currency=USD","Period=FY","BEST_FPERIOD_OVERRIDE=FY","FILING_STATUS=MR","SCALING_FORMAT=MLN","FA_ADJUSTED=GAAP","Sort=A","Dates=H","DateFormat=P","Fill=—","Direction=H","UseDPDF=Y")</f>
        <v>41.593000000000004</v>
      </c>
      <c r="F78" s="14">
        <f>_xll.BDH("RMS FP Equity","NI_INCLUDING_MINORITY_INT_RATIO","FY 1994","FY 1994","Currency=USD","Period=FY","BEST_FPERIOD_OVERRIDE=FY","FILING_STATUS=MR","SCALING_FORMAT=MLN","FA_ADJUSTED=GAAP","Sort=A","Dates=H","DateFormat=P","Fill=—","Direction=H","UseDPDF=Y")</f>
        <v>60.695399999999999</v>
      </c>
      <c r="G78" s="14">
        <f>_xll.BDH("RMS FP Equity","NI_INCLUDING_MINORITY_INT_RATIO","FY 1995","FY 1995","Currency=USD","Period=FY","BEST_FPERIOD_OVERRIDE=FY","FILING_STATUS=MR","SCALING_FORMAT=MLN","FA_ADJUSTED=GAAP","Sort=A","Dates=H","DateFormat=P","Fill=—","Direction=H","UseDPDF=Y")</f>
        <v>92.3797</v>
      </c>
      <c r="H78" s="14">
        <f>_xll.BDH("RMS FP Equity","NI_INCLUDING_MINORITY_INT_RATIO","FY 1996","FY 1996","Currency=USD","Period=FY","BEST_FPERIOD_OVERRIDE=FY","FILING_STATUS=MR","SCALING_FORMAT=MLN","FA_ADJUSTED=GAAP","Sort=A","Dates=H","DateFormat=P","Fill=—","Direction=H","UseDPDF=Y")</f>
        <v>94.063500000000005</v>
      </c>
      <c r="I78" s="14">
        <f>_xll.BDH("RMS FP Equity","NI_INCLUDING_MINORITY_INT_RATIO","FY 1997","FY 1997","Currency=USD","Period=FY","BEST_FPERIOD_OVERRIDE=FY","FILING_STATUS=MR","SCALING_FORMAT=MLN","FA_ADJUSTED=GAAP","Sort=A","Dates=H","DateFormat=P","Fill=—","Direction=H","UseDPDF=Y")</f>
        <v>95.505499999999998</v>
      </c>
      <c r="J78" s="14">
        <f>_xll.BDH("RMS FP Equity","NI_INCLUDING_MINORITY_INT_RATIO","FY 1998","FY 1998","Currency=USD","Period=FY","BEST_FPERIOD_OVERRIDE=FY","FILING_STATUS=MR","SCALING_FORMAT=MLN","FA_ADJUSTED=GAAP","Sort=A","Dates=H","DateFormat=P","Fill=—","Direction=H","UseDPDF=Y")</f>
        <v>102.5796</v>
      </c>
      <c r="K78" s="14">
        <f>_xll.BDH("RMS FP Equity","NI_INCLUDING_MINORITY_INT_RATIO","FY 1999","FY 1999","Currency=USD","Period=FY","BEST_FPERIOD_OVERRIDE=FY","FILING_STATUS=MR","SCALING_FORMAT=MLN","FA_ADJUSTED=GAAP","Sort=A","Dates=H","DateFormat=P","Fill=—","Direction=H","UseDPDF=Y")</f>
        <v>129.43369999999999</v>
      </c>
      <c r="L78" s="14">
        <f>_xll.BDH("RMS FP Equity","NI_INCLUDING_MINORITY_INT_RATIO","FY 2000","FY 2000","Currency=USD","Period=FY","BEST_FPERIOD_OVERRIDE=FY","FILING_STATUS=MR","SCALING_FORMAT=MLN","FA_ADJUSTED=GAAP","Sort=A","Dates=H","DateFormat=P","Fill=—","Direction=H","UseDPDF=Y")</f>
        <v>167.8989</v>
      </c>
      <c r="M78" s="14">
        <f>_xll.BDH("RMS FP Equity","NI_INCLUDING_MINORITY_INT_RATIO","FY 2001","FY 2001","Currency=USD","Period=FY","BEST_FPERIOD_OVERRIDE=FY","FILING_STATUS=MR","SCALING_FORMAT=MLN","FA_ADJUSTED=GAAP","Sort=A","Dates=H","DateFormat=P","Fill=—","Direction=H","UseDPDF=Y")</f>
        <v>186.47030000000001</v>
      </c>
      <c r="N78" s="14">
        <f>_xll.BDH("RMS FP Equity","NI_INCLUDING_MINORITY_INT_RATIO","FY 2002","FY 2002","Currency=USD","Period=FY","BEST_FPERIOD_OVERRIDE=FY","FILING_STATUS=MR","SCALING_FORMAT=MLN","FA_ADJUSTED=GAAP","Sort=A","Dates=H","DateFormat=P","Fill=—","Direction=H","UseDPDF=Y")</f>
        <v>208.4487</v>
      </c>
      <c r="O78" s="14">
        <f>_xll.BDH("RMS FP Equity","NI_INCLUDING_MINORITY_INT_RATIO","FY 2003","FY 2003","Currency=USD","Period=FY","BEST_FPERIOD_OVERRIDE=FY","FILING_STATUS=MR","SCALING_FORMAT=MLN","FA_ADJUSTED=GAAP","Sort=A","Dates=H","DateFormat=P","Fill=—","Direction=H","UseDPDF=Y")</f>
        <v>249.93369999999999</v>
      </c>
      <c r="P78" s="14">
        <f>_xll.BDH("RMS FP Equity","NI_INCLUDING_MINORITY_INT_RATIO","FY 2004","FY 2004","Currency=USD","Period=FY","BEST_FPERIOD_OVERRIDE=FY","FILING_STATUS=MR","SCALING_FORMAT=MLN","FA_ADJUSTED=GAAP","Sort=A","Dates=H","DateFormat=P","Fill=—","Direction=H","UseDPDF=Y")</f>
        <v>271.73700000000002</v>
      </c>
      <c r="Q78" s="14">
        <f>_xll.BDH("RMS FP Equity","NI_INCLUDING_MINORITY_INT_RATIO","FY 2005","FY 2005","Currency=USD","Period=FY","BEST_FPERIOD_OVERRIDE=FY","FILING_STATUS=MR","SCALING_FORMAT=MLN","FA_ADJUSTED=GAAP","Sort=A","Dates=H","DateFormat=P","Fill=—","Direction=H","UseDPDF=Y")</f>
        <v>313.29390000000001</v>
      </c>
      <c r="R78" s="14">
        <f>_xll.BDH("RMS FP Equity","NI_INCLUDING_MINORITY_INT_RATIO","FY 2006","FY 2006","Currency=USD","Period=FY","BEST_FPERIOD_OVERRIDE=FY","FILING_STATUS=MR","SCALING_FORMAT=MLN","FA_ADJUSTED=GAAP","Sort=A","Dates=H","DateFormat=P","Fill=—","Direction=H","UseDPDF=Y")</f>
        <v>342.74279999999999</v>
      </c>
      <c r="S78" s="14">
        <f>_xll.BDH("RMS FP Equity","NI_INCLUDING_MINORITY_INT_RATIO","FY 2007","FY 2007","Currency=USD","Period=FY","BEST_FPERIOD_OVERRIDE=FY","FILING_STATUS=MR","SCALING_FORMAT=MLN","FA_ADJUSTED=GAAP","Sort=A","Dates=H","DateFormat=P","Fill=—","Direction=H","UseDPDF=Y")</f>
        <v>402.74059999999997</v>
      </c>
      <c r="T78" s="14">
        <f>_xll.BDH("RMS FP Equity","NI_INCLUDING_MINORITY_INT_RATIO","FY 2008","FY 2008","Currency=USD","Period=FY","BEST_FPERIOD_OVERRIDE=FY","FILING_STATUS=MR","SCALING_FORMAT=MLN","FA_ADJUSTED=GAAP","Sort=A","Dates=H","DateFormat=P","Fill=—","Direction=H","UseDPDF=Y")</f>
        <v>434.20659999999998</v>
      </c>
      <c r="U78" s="14">
        <f>_xll.BDH("RMS FP Equity","NI_INCLUDING_MINORITY_INT_RATIO","FY 2009","FY 2009","Currency=USD","Period=FY","BEST_FPERIOD_OVERRIDE=FY","FILING_STATUS=MR","SCALING_FORMAT=MLN","FA_ADJUSTED=GAAP","Sort=A","Dates=H","DateFormat=P","Fill=—","Direction=H","UseDPDF=Y")</f>
        <v>412.05599999999998</v>
      </c>
      <c r="V78" s="14">
        <f>_xll.BDH("RMS FP Equity","NI_INCLUDING_MINORITY_INT_RATIO","FY 2010","FY 2010","Currency=USD","Period=FY","BEST_FPERIOD_OVERRIDE=FY","FILING_STATUS=MR","SCALING_FORMAT=MLN","FA_ADJUSTED=GAAP","Sort=A","Dates=H","DateFormat=P","Fill=—","Direction=H","UseDPDF=Y")</f>
        <v>572.69799999999998</v>
      </c>
      <c r="W78" s="14">
        <f>_xll.BDH("RMS FP Equity","NI_INCLUDING_MINORITY_INT_RATIO","FY 2011","FY 2011","Currency=USD","Period=FY","BEST_FPERIOD_OVERRIDE=FY","FILING_STATUS=MR","SCALING_FORMAT=MLN","FA_ADJUSTED=GAAP","Sort=A","Dates=H","DateFormat=P","Fill=—","Direction=H","UseDPDF=Y")</f>
        <v>840.17539999999997</v>
      </c>
      <c r="X78" s="14">
        <f>_xll.BDH("RMS FP Equity","NI_INCLUDING_MINORITY_INT_RATIO","FY 2012","FY 2012","Currency=USD","Period=FY","BEST_FPERIOD_OVERRIDE=FY","FILING_STATUS=MR","SCALING_FORMAT=MLN","FA_ADJUSTED=GAAP","Sort=A","Dates=H","DateFormat=P","Fill=—","Direction=H","UseDPDF=Y")</f>
        <v>965.04629999999997</v>
      </c>
      <c r="Y78" s="14">
        <f>_xll.BDH("RMS FP Equity","NI_INCLUDING_MINORITY_INT_RATIO","FY 2013","FY 2013","Currency=USD","Period=FY","BEST_FPERIOD_OVERRIDE=FY","FILING_STATUS=MR","SCALING_FORMAT=MLN","FA_ADJUSTED=GAAP","Sort=A","Dates=H","DateFormat=P","Fill=—","Direction=H","UseDPDF=Y")</f>
        <v>1061.3208</v>
      </c>
      <c r="Z78" s="14">
        <f>_xll.BDH("RMS FP Equity","NI_INCLUDING_MINORITY_INT_RATIO","FY 2014","FY 2014","Currency=USD","Period=FY","BEST_FPERIOD_OVERRIDE=FY","FILING_STATUS=MR","SCALING_FORMAT=MLN","FA_ADJUSTED=GAAP","Sort=A","Dates=H","DateFormat=P","Fill=—","Direction=H","UseDPDF=Y")</f>
        <v>1146.8818000000001</v>
      </c>
      <c r="AA78" s="14">
        <f>_xll.BDH("RMS FP Equity","NI_INCLUDING_MINORITY_INT_RATIO","FY 2015","FY 2015","Currency=USD","Period=FY","BEST_FPERIOD_OVERRIDE=FY","FILING_STATUS=MR","SCALING_FORMAT=MLN","FA_ADJUSTED=GAAP","Sort=A","Dates=H","DateFormat=P","Fill=—","Direction=H","UseDPDF=Y")</f>
        <v>1084.6926000000001</v>
      </c>
      <c r="AB78" s="14">
        <f>_xll.BDH("RMS FP Equity","NI_INCLUDING_MINORITY_INT_RATIO","FY 2016","FY 2016","Currency=USD","Period=FY","BEST_FPERIOD_OVERRIDE=FY","FILING_STATUS=MR","SCALING_FORMAT=MLN","FA_ADJUSTED=GAAP","Sort=A","Dates=H","DateFormat=P","Fill=—","Direction=H","UseDPDF=Y")</f>
        <v>1222.1602</v>
      </c>
      <c r="AC78" s="14">
        <f>_xll.BDH("RMS FP Equity","NI_INCLUDING_MINORITY_INT_RATIO","FY 2017","FY 2017","Currency=USD","Period=FY","BEST_FPERIOD_OVERRIDE=FY","FILING_STATUS=MR","SCALING_FORMAT=MLN","FA_ADJUSTED=GAAP","Sort=A","Dates=H","DateFormat=P","Fill=—","Direction=H","UseDPDF=Y")</f>
        <v>1384.8124</v>
      </c>
      <c r="AD78" s="14"/>
      <c r="AE78" s="14"/>
    </row>
    <row r="79" spans="1:31" x14ac:dyDescent="0.25">
      <c r="A79" s="11" t="s">
        <v>65</v>
      </c>
      <c r="B79" s="11" t="s">
        <v>141</v>
      </c>
      <c r="C79" s="16" t="s">
        <v>66</v>
      </c>
      <c r="D79" s="16">
        <v>59.017405023996901</v>
      </c>
      <c r="E79" s="16">
        <v>13.758868014310099</v>
      </c>
      <c r="F79" s="16">
        <v>45.926788820018103</v>
      </c>
      <c r="G79" s="16">
        <v>52.202263181350098</v>
      </c>
      <c r="H79" s="16">
        <v>1.8227184894621999</v>
      </c>
      <c r="I79" s="16">
        <v>1.53301392721509</v>
      </c>
      <c r="J79" s="16">
        <v>7.40694131071103</v>
      </c>
      <c r="K79" s="16">
        <v>26.1788431078994</v>
      </c>
      <c r="L79" s="16">
        <v>29.718031516686501</v>
      </c>
      <c r="M79" s="16">
        <v>11.0610770917911</v>
      </c>
      <c r="N79" s="16">
        <v>11.7865451591301</v>
      </c>
      <c r="O79" s="16">
        <v>19.901777274174002</v>
      </c>
      <c r="P79" s="16">
        <v>8.7236258357826397</v>
      </c>
      <c r="Q79" s="16">
        <v>15.293082134499199</v>
      </c>
      <c r="R79" s="16">
        <v>9.3997377408601803</v>
      </c>
      <c r="S79" s="16">
        <v>17.5052051866585</v>
      </c>
      <c r="T79" s="16">
        <v>7.8129649782939401</v>
      </c>
      <c r="U79" s="16">
        <v>-5.1013764753076503</v>
      </c>
      <c r="V79" s="16">
        <v>38.985469993459098</v>
      </c>
      <c r="W79" s="16">
        <v>46.704791342497899</v>
      </c>
      <c r="X79" s="16">
        <v>14.8624676483792</v>
      </c>
      <c r="Y79" s="16">
        <v>9.9762913850229609</v>
      </c>
      <c r="Z79" s="16">
        <v>8.0618054456997807</v>
      </c>
      <c r="AA79" s="16">
        <v>-5.4219582758461904</v>
      </c>
      <c r="AB79" s="16">
        <v>12.673059828971001</v>
      </c>
      <c r="AC79" s="16">
        <v>13.308588451931801</v>
      </c>
      <c r="AD79" s="16"/>
      <c r="AE79" s="16"/>
    </row>
    <row r="80" spans="1:31" x14ac:dyDescent="0.25">
      <c r="A80" s="10" t="s">
        <v>142</v>
      </c>
      <c r="B80" s="10" t="s">
        <v>143</v>
      </c>
      <c r="C80" s="12">
        <f>_xll.BDH("RMS FP Equity","MIN_NONCONTROL_INTEREST_CREDITS","FY 1991","FY 1991","Currency=USD","Period=FY","BEST_FPERIOD_OVERRIDE=FY","FILING_STATUS=MR","SCALING_FORMAT=MLN","FA_ADJUSTED=GAAP","Sort=A","Dates=H","DateFormat=P","Fill=—","Direction=H","UseDPDF=Y")</f>
        <v>1.4937</v>
      </c>
      <c r="D80" s="12">
        <f>_xll.BDH("RMS FP Equity","MIN_NONCONTROL_INTEREST_CREDITS","FY 1992","FY 1992","Currency=USD","Period=FY","BEST_FPERIOD_OVERRIDE=FY","FILING_STATUS=MR","SCALING_FORMAT=MLN","FA_ADJUSTED=GAAP","Sort=A","Dates=H","DateFormat=P","Fill=—","Direction=H","UseDPDF=Y")</f>
        <v>3.1999</v>
      </c>
      <c r="E80" s="12">
        <f>_xll.BDH("RMS FP Equity","MIN_NONCONTROL_INTEREST_CREDITS","FY 1993","FY 1993","Currency=USD","Period=FY","BEST_FPERIOD_OVERRIDE=FY","FILING_STATUS=MR","SCALING_FORMAT=MLN","FA_ADJUSTED=GAAP","Sort=A","Dates=H","DateFormat=P","Fill=—","Direction=H","UseDPDF=Y")</f>
        <v>4.4526000000000003</v>
      </c>
      <c r="F80" s="12">
        <f>_xll.BDH("RMS FP Equity","MIN_NONCONTROL_INTEREST_CREDITS","FY 1994","FY 1994","Currency=USD","Period=FY","BEST_FPERIOD_OVERRIDE=FY","FILING_STATUS=MR","SCALING_FORMAT=MLN","FA_ADJUSTED=GAAP","Sort=A","Dates=H","DateFormat=P","Fill=—","Direction=H","UseDPDF=Y")</f>
        <v>8.1288</v>
      </c>
      <c r="G80" s="12">
        <f>_xll.BDH("RMS FP Equity","MIN_NONCONTROL_INTEREST_CREDITS","FY 1995","FY 1995","Currency=USD","Period=FY","BEST_FPERIOD_OVERRIDE=FY","FILING_STATUS=MR","SCALING_FORMAT=MLN","FA_ADJUSTED=GAAP","Sort=A","Dates=H","DateFormat=P","Fill=—","Direction=H","UseDPDF=Y")</f>
        <v>11.299099999999999</v>
      </c>
      <c r="H80" s="12">
        <f>_xll.BDH("RMS FP Equity","MIN_NONCONTROL_INTEREST_CREDITS","FY 1996","FY 1996","Currency=USD","Period=FY","BEST_FPERIOD_OVERRIDE=FY","FILING_STATUS=MR","SCALING_FORMAT=MLN","FA_ADJUSTED=GAAP","Sort=A","Dates=H","DateFormat=P","Fill=—","Direction=H","UseDPDF=Y")</f>
        <v>4.6748000000000003</v>
      </c>
      <c r="I80" s="12">
        <f>_xll.BDH("RMS FP Equity","MIN_NONCONTROL_INTEREST_CREDITS","FY 1997","FY 1997","Currency=USD","Period=FY","BEST_FPERIOD_OVERRIDE=FY","FILING_STATUS=MR","SCALING_FORMAT=MLN","FA_ADJUSTED=GAAP","Sort=A","Dates=H","DateFormat=P","Fill=—","Direction=H","UseDPDF=Y")</f>
        <v>4.4097999999999997</v>
      </c>
      <c r="J80" s="12">
        <f>_xll.BDH("RMS FP Equity","MIN_NONCONTROL_INTEREST_CREDITS","FY 1998","FY 1998","Currency=USD","Period=FY","BEST_FPERIOD_OVERRIDE=FY","FILING_STATUS=MR","SCALING_FORMAT=MLN","FA_ADJUSTED=GAAP","Sort=A","Dates=H","DateFormat=P","Fill=—","Direction=H","UseDPDF=Y")</f>
        <v>3.2267999999999999</v>
      </c>
      <c r="K80" s="12">
        <f>_xll.BDH("RMS FP Equity","MIN_NONCONTROL_INTEREST_CREDITS","FY 1999","FY 1999","Currency=USD","Period=FY","BEST_FPERIOD_OVERRIDE=FY","FILING_STATUS=MR","SCALING_FORMAT=MLN","FA_ADJUSTED=GAAP","Sort=A","Dates=H","DateFormat=P","Fill=—","Direction=H","UseDPDF=Y")</f>
        <v>2.6972</v>
      </c>
      <c r="L80" s="12">
        <f>_xll.BDH("RMS FP Equity","MIN_NONCONTROL_INTEREST_CREDITS","FY 2000","FY 2000","Currency=USD","Period=FY","BEST_FPERIOD_OVERRIDE=FY","FILING_STATUS=MR","SCALING_FORMAT=MLN","FA_ADJUSTED=GAAP","Sort=A","Dates=H","DateFormat=P","Fill=—","Direction=H","UseDPDF=Y")</f>
        <v>6.2789999999999999</v>
      </c>
      <c r="M80" s="12">
        <f>_xll.BDH("RMS FP Equity","MIN_NONCONTROL_INTEREST_CREDITS","FY 2001","FY 2001","Currency=USD","Period=FY","BEST_FPERIOD_OVERRIDE=FY","FILING_STATUS=MR","SCALING_FORMAT=MLN","FA_ADJUSTED=GAAP","Sort=A","Dates=H","DateFormat=P","Fill=—","Direction=H","UseDPDF=Y")</f>
        <v>5.8216000000000001</v>
      </c>
      <c r="N80" s="12">
        <f>_xll.BDH("RMS FP Equity","MIN_NONCONTROL_INTEREST_CREDITS","FY 2002","FY 2002","Currency=USD","Period=FY","BEST_FPERIOD_OVERRIDE=FY","FILING_STATUS=MR","SCALING_FORMAT=MLN","FA_ADJUSTED=GAAP","Sort=A","Dates=H","DateFormat=P","Fill=—","Direction=H","UseDPDF=Y")</f>
        <v>4.6342999999999996</v>
      </c>
      <c r="O80" s="12">
        <f>_xll.BDH("RMS FP Equity","MIN_NONCONTROL_INTEREST_CREDITS","FY 2003","FY 2003","Currency=USD","Period=FY","BEST_FPERIOD_OVERRIDE=FY","FILING_STATUS=MR","SCALING_FORMAT=MLN","FA_ADJUSTED=GAAP","Sort=A","Dates=H","DateFormat=P","Fill=—","Direction=H","UseDPDF=Y")</f>
        <v>4.4165999999999999</v>
      </c>
      <c r="P80" s="12">
        <f>_xll.BDH("RMS FP Equity","MIN_NONCONTROL_INTEREST_CREDITS","FY 2004","FY 2004","Currency=USD","Period=FY","BEST_FPERIOD_OVERRIDE=FY","FILING_STATUS=MR","SCALING_FORMAT=MLN","FA_ADJUSTED=GAAP","Sort=A","Dates=H","DateFormat=P","Fill=—","Direction=H","UseDPDF=Y")</f>
        <v>5.5990000000000002</v>
      </c>
      <c r="Q80" s="12">
        <f>_xll.BDH("RMS FP Equity","MIN_NONCONTROL_INTEREST_CREDITS","FY 2005","FY 2005","Currency=USD","Period=FY","BEST_FPERIOD_OVERRIDE=FY","FILING_STATUS=MR","SCALING_FORMAT=MLN","FA_ADJUSTED=GAAP","Sort=A","Dates=H","DateFormat=P","Fill=—","Direction=H","UseDPDF=Y")</f>
        <v>5.9722</v>
      </c>
      <c r="R80" s="12">
        <f>_xll.BDH("RMS FP Equity","MIN_NONCONTROL_INTEREST_CREDITS","FY 2006","FY 2006","Currency=USD","Period=FY","BEST_FPERIOD_OVERRIDE=FY","FILING_STATUS=MR","SCALING_FORMAT=MLN","FA_ADJUSTED=GAAP","Sort=A","Dates=H","DateFormat=P","Fill=—","Direction=H","UseDPDF=Y")</f>
        <v>5.5281000000000002</v>
      </c>
      <c r="S80" s="12">
        <f>_xll.BDH("RMS FP Equity","MIN_NONCONTROL_INTEREST_CREDITS","FY 2007","FY 2007","Currency=USD","Period=FY","BEST_FPERIOD_OVERRIDE=FY","FILING_STATUS=MR","SCALING_FORMAT=MLN","FA_ADJUSTED=GAAP","Sort=A","Dates=H","DateFormat=P","Fill=—","Direction=H","UseDPDF=Y")</f>
        <v>7.9505999999999997</v>
      </c>
      <c r="T80" s="12">
        <f>_xll.BDH("RMS FP Equity","MIN_NONCONTROL_INTEREST_CREDITS","FY 2008","FY 2008","Currency=USD","Period=FY","BEST_FPERIOD_OVERRIDE=FY","FILING_STATUS=MR","SCALING_FORMAT=MLN","FA_ADJUSTED=GAAP","Sort=A","Dates=H","DateFormat=P","Fill=—","Direction=H","UseDPDF=Y")</f>
        <v>7.3544</v>
      </c>
      <c r="U80" s="12">
        <f>_xll.BDH("RMS FP Equity","MIN_NONCONTROL_INTEREST_CREDITS","FY 2009","FY 2009","Currency=USD","Period=FY","BEST_FPERIOD_OVERRIDE=FY","FILING_STATUS=MR","SCALING_FORMAT=MLN","FA_ADJUSTED=GAAP","Sort=A","Dates=H","DateFormat=P","Fill=—","Direction=H","UseDPDF=Y")</f>
        <v>9.3427000000000007</v>
      </c>
      <c r="V80" s="12">
        <f>_xll.BDH("RMS FP Equity","MIN_NONCONTROL_INTEREST_CREDITS","FY 2010","FY 2010","Currency=USD","Period=FY","BEST_FPERIOD_OVERRIDE=FY","FILING_STATUS=MR","SCALING_FORMAT=MLN","FA_ADJUSTED=GAAP","Sort=A","Dates=H","DateFormat=P","Fill=—","Direction=H","UseDPDF=Y")</f>
        <v>13.2661</v>
      </c>
      <c r="W80" s="12">
        <f>_xll.BDH("RMS FP Equity","MIN_NONCONTROL_INTEREST_CREDITS","FY 2011","FY 2011","Currency=USD","Period=FY","BEST_FPERIOD_OVERRIDE=FY","FILING_STATUS=MR","SCALING_FORMAT=MLN","FA_ADJUSTED=GAAP","Sort=A","Dates=H","DateFormat=P","Fill=—","Direction=H","UseDPDF=Y")</f>
        <v>12.6709</v>
      </c>
      <c r="X80" s="12">
        <f>_xll.BDH("RMS FP Equity","MIN_NONCONTROL_INTEREST_CREDITS","FY 2012","FY 2012","Currency=USD","Period=FY","BEST_FPERIOD_OVERRIDE=FY","FILING_STATUS=MR","SCALING_FORMAT=MLN","FA_ADJUSTED=GAAP","Sort=A","Dates=H","DateFormat=P","Fill=—","Direction=H","UseDPDF=Y")</f>
        <v>13.6302</v>
      </c>
      <c r="Y80" s="12">
        <f>_xll.BDH("RMS FP Equity","MIN_NONCONTROL_INTEREST_CREDITS","FY 2013","FY 2013","Currency=USD","Period=FY","BEST_FPERIOD_OVERRIDE=FY","FILING_STATUS=MR","SCALING_FORMAT=MLN","FA_ADJUSTED=GAAP","Sort=A","Dates=H","DateFormat=P","Fill=—","Direction=H","UseDPDF=Y")</f>
        <v>11.5563</v>
      </c>
      <c r="Z80" s="12">
        <f>_xll.BDH("RMS FP Equity","MIN_NONCONTROL_INTEREST_CREDITS","FY 2014","FY 2014","Currency=USD","Period=FY","BEST_FPERIOD_OVERRIDE=FY","FILING_STATUS=MR","SCALING_FORMAT=MLN","FA_ADJUSTED=GAAP","Sort=A","Dates=H","DateFormat=P","Fill=—","Direction=H","UseDPDF=Y")</f>
        <v>5.9782000000000002</v>
      </c>
      <c r="AA80" s="12">
        <f>_xll.BDH("RMS FP Equity","MIN_NONCONTROL_INTEREST_CREDITS","FY 2015","FY 2015","Currency=USD","Period=FY","BEST_FPERIOD_OVERRIDE=FY","FILING_STATUS=MR","SCALING_FORMAT=MLN","FA_ADJUSTED=GAAP","Sort=A","Dates=H","DateFormat=P","Fill=—","Direction=H","UseDPDF=Y")</f>
        <v>5.1059999999999999</v>
      </c>
      <c r="AB80" s="12">
        <f>_xll.BDH("RMS FP Equity","MIN_NONCONTROL_INTEREST_CREDITS","FY 2016","FY 2016","Currency=USD","Period=FY","BEST_FPERIOD_OVERRIDE=FY","FILING_STATUS=MR","SCALING_FORMAT=MLN","FA_ADJUSTED=GAAP","Sort=A","Dates=H","DateFormat=P","Fill=—","Direction=H","UseDPDF=Y")</f>
        <v>4.3166000000000002</v>
      </c>
      <c r="AC80" s="12">
        <f>_xll.BDH("RMS FP Equity","MIN_NONCONTROL_INTEREST_CREDITS","FY 2017","FY 2017","Currency=USD","Period=FY","BEST_FPERIOD_OVERRIDE=FY","FILING_STATUS=MR","SCALING_FORMAT=MLN","FA_ADJUSTED=GAAP","Sort=A","Dates=H","DateFormat=P","Fill=—","Direction=H","UseDPDF=Y")</f>
        <v>4.8578000000000001</v>
      </c>
      <c r="AD80" s="12"/>
      <c r="AE80" s="12"/>
    </row>
    <row r="81" spans="1:31" x14ac:dyDescent="0.25">
      <c r="A81" s="11" t="s">
        <v>65</v>
      </c>
      <c r="B81" s="11" t="s">
        <v>143</v>
      </c>
      <c r="C81" s="16" t="s">
        <v>66</v>
      </c>
      <c r="D81" s="16">
        <v>101.19048100000001</v>
      </c>
      <c r="E81" s="16">
        <v>49.112434</v>
      </c>
      <c r="F81" s="16">
        <v>78.571422999999996</v>
      </c>
      <c r="G81" s="16">
        <v>25.111108999999999</v>
      </c>
      <c r="H81" s="16">
        <v>-57.548845999999998</v>
      </c>
      <c r="I81" s="16">
        <v>7.5313860000000004</v>
      </c>
      <c r="J81" s="16">
        <v>-26.070041</v>
      </c>
      <c r="K81" s="16">
        <v>-12.631577</v>
      </c>
      <c r="L81" s="16">
        <v>168.67468099999999</v>
      </c>
      <c r="M81" s="16">
        <v>-4.400881</v>
      </c>
      <c r="N81" s="16">
        <v>-24.615385</v>
      </c>
      <c r="O81" s="16">
        <v>-20.408162999999998</v>
      </c>
      <c r="P81" s="16">
        <v>15.384615</v>
      </c>
      <c r="Q81" s="16">
        <v>6.666671</v>
      </c>
      <c r="R81" s="16">
        <v>-8.3333370000000002</v>
      </c>
      <c r="S81" s="16">
        <v>31.818182</v>
      </c>
      <c r="T81" s="16">
        <v>-13.793103</v>
      </c>
      <c r="U81" s="16">
        <v>34</v>
      </c>
      <c r="V81" s="16">
        <v>49.253731000000002</v>
      </c>
      <c r="W81" s="16">
        <v>-9</v>
      </c>
      <c r="X81" s="16">
        <v>16.483516000000002</v>
      </c>
      <c r="Y81" s="16">
        <v>-17.924527999999999</v>
      </c>
      <c r="Z81" s="16">
        <v>-48.275861999999996</v>
      </c>
      <c r="AA81" s="16">
        <v>2.2222219999999999</v>
      </c>
      <c r="AB81" s="16">
        <v>-15.217390999999999</v>
      </c>
      <c r="AC81" s="16">
        <v>10.256410000000001</v>
      </c>
      <c r="AD81" s="16"/>
      <c r="AE81" s="16"/>
    </row>
    <row r="82" spans="1:31" x14ac:dyDescent="0.25">
      <c r="A82" s="6" t="s">
        <v>144</v>
      </c>
      <c r="B82" s="6" t="s">
        <v>145</v>
      </c>
      <c r="C82" s="14">
        <f>_xll.BDH("RMS FP Equity","NET_INCOME","FY 1991","FY 1991","Currency=USD","Period=FY","BEST_FPERIOD_OVERRIDE=FY","FILING_STATUS=MR","SCALING_FORMAT=MLN","FA_ADJUSTED=GAAP","Sort=A","Dates=H","DateFormat=P","Fill=—","Direction=H","UseDPDF=Y")</f>
        <v>21.498999999999999</v>
      </c>
      <c r="D82" s="14">
        <f>_xll.BDH("RMS FP Equity","NET_INCOME","FY 1992","FY 1992","Currency=USD","Period=FY","BEST_FPERIOD_OVERRIDE=FY","FILING_STATUS=MR","SCALING_FORMAT=MLN","FA_ADJUSTED=GAAP","Sort=A","Dates=H","DateFormat=P","Fill=—","Direction=H","UseDPDF=Y")</f>
        <v>33.362499999999997</v>
      </c>
      <c r="E82" s="14">
        <f>_xll.BDH("RMS FP Equity","NET_INCOME","FY 1993","FY 1993","Currency=USD","Period=FY","BEST_FPERIOD_OVERRIDE=FY","FILING_STATUS=MR","SCALING_FORMAT=MLN","FA_ADJUSTED=GAAP","Sort=A","Dates=H","DateFormat=P","Fill=—","Direction=H","UseDPDF=Y")</f>
        <v>37.1404</v>
      </c>
      <c r="F82" s="14">
        <f>_xll.BDH("RMS FP Equity","NET_INCOME","FY 1994","FY 1994","Currency=USD","Period=FY","BEST_FPERIOD_OVERRIDE=FY","FILING_STATUS=MR","SCALING_FORMAT=MLN","FA_ADJUSTED=GAAP","Sort=A","Dates=H","DateFormat=P","Fill=—","Direction=H","UseDPDF=Y")</f>
        <v>52.566499999999998</v>
      </c>
      <c r="G82" s="14">
        <f>_xll.BDH("RMS FP Equity","NET_INCOME","FY 1995","FY 1995","Currency=USD","Period=FY","BEST_FPERIOD_OVERRIDE=FY","FILING_STATUS=MR","SCALING_FORMAT=MLN","FA_ADJUSTED=GAAP","Sort=A","Dates=H","DateFormat=P","Fill=—","Direction=H","UseDPDF=Y")</f>
        <v>81.080600000000004</v>
      </c>
      <c r="H82" s="14">
        <f>_xll.BDH("RMS FP Equity","NET_INCOME","FY 1996","FY 1996","Currency=USD","Period=FY","BEST_FPERIOD_OVERRIDE=FY","FILING_STATUS=MR","SCALING_FORMAT=MLN","FA_ADJUSTED=GAAP","Sort=A","Dates=H","DateFormat=P","Fill=—","Direction=H","UseDPDF=Y")</f>
        <v>89.3887</v>
      </c>
      <c r="I82" s="14">
        <f>_xll.BDH("RMS FP Equity","NET_INCOME","FY 1997","FY 1997","Currency=USD","Period=FY","BEST_FPERIOD_OVERRIDE=FY","FILING_STATUS=MR","SCALING_FORMAT=MLN","FA_ADJUSTED=GAAP","Sort=A","Dates=H","DateFormat=P","Fill=—","Direction=H","UseDPDF=Y")</f>
        <v>91.095699999999994</v>
      </c>
      <c r="J82" s="14">
        <f>_xll.BDH("RMS FP Equity","NET_INCOME","FY 1998","FY 1998","Currency=USD","Period=FY","BEST_FPERIOD_OVERRIDE=FY","FILING_STATUS=MR","SCALING_FORMAT=MLN","FA_ADJUSTED=GAAP","Sort=A","Dates=H","DateFormat=P","Fill=—","Direction=H","UseDPDF=Y")</f>
        <v>99.352699999999999</v>
      </c>
      <c r="K82" s="14">
        <f>_xll.BDH("RMS FP Equity","NET_INCOME","FY 1999","FY 1999","Currency=USD","Period=FY","BEST_FPERIOD_OVERRIDE=FY","FILING_STATUS=MR","SCALING_FORMAT=MLN","FA_ADJUSTED=GAAP","Sort=A","Dates=H","DateFormat=P","Fill=—","Direction=H","UseDPDF=Y")</f>
        <v>126.73650000000001</v>
      </c>
      <c r="L82" s="14">
        <f>_xll.BDH("RMS FP Equity","NET_INCOME","FY 2000","FY 2000","Currency=USD","Period=FY","BEST_FPERIOD_OVERRIDE=FY","FILING_STATUS=MR","SCALING_FORMAT=MLN","FA_ADJUSTED=GAAP","Sort=A","Dates=H","DateFormat=P","Fill=—","Direction=H","UseDPDF=Y")</f>
        <v>161.6199</v>
      </c>
      <c r="M82" s="14">
        <f>_xll.BDH("RMS FP Equity","NET_INCOME","FY 2001","FY 2001","Currency=USD","Period=FY","BEST_FPERIOD_OVERRIDE=FY","FILING_STATUS=MR","SCALING_FORMAT=MLN","FA_ADJUSTED=GAAP","Sort=A","Dates=H","DateFormat=P","Fill=—","Direction=H","UseDPDF=Y")</f>
        <v>180.64869999999999</v>
      </c>
      <c r="N82" s="14">
        <f>_xll.BDH("RMS FP Equity","NET_INCOME","FY 2002","FY 2002","Currency=USD","Period=FY","BEST_FPERIOD_OVERRIDE=FY","FILING_STATUS=MR","SCALING_FORMAT=MLN","FA_ADJUSTED=GAAP","Sort=A","Dates=H","DateFormat=P","Fill=—","Direction=H","UseDPDF=Y")</f>
        <v>203.81440000000001</v>
      </c>
      <c r="O82" s="14">
        <f>_xll.BDH("RMS FP Equity","NET_INCOME","FY 2003","FY 2003","Currency=USD","Period=FY","BEST_FPERIOD_OVERRIDE=FY","FILING_STATUS=MR","SCALING_FORMAT=MLN","FA_ADJUSTED=GAAP","Sort=A","Dates=H","DateFormat=P","Fill=—","Direction=H","UseDPDF=Y")</f>
        <v>245.5171</v>
      </c>
      <c r="P82" s="14">
        <f>_xll.BDH("RMS FP Equity","NET_INCOME","FY 2004","FY 2004","Currency=USD","Period=FY","BEST_FPERIOD_OVERRIDE=FY","FILING_STATUS=MR","SCALING_FORMAT=MLN","FA_ADJUSTED=GAAP","Sort=A","Dates=H","DateFormat=P","Fill=—","Direction=H","UseDPDF=Y")</f>
        <v>266.13799999999998</v>
      </c>
      <c r="Q82" s="14">
        <f>_xll.BDH("RMS FP Equity","NET_INCOME","FY 2005","FY 2005","Currency=USD","Period=FY","BEST_FPERIOD_OVERRIDE=FY","FILING_STATUS=MR","SCALING_FORMAT=MLN","FA_ADJUSTED=GAAP","Sort=A","Dates=H","DateFormat=P","Fill=—","Direction=H","UseDPDF=Y")</f>
        <v>307.32170000000002</v>
      </c>
      <c r="R82" s="14">
        <f>_xll.BDH("RMS FP Equity","NET_INCOME","FY 2006","FY 2006","Currency=USD","Period=FY","BEST_FPERIOD_OVERRIDE=FY","FILING_STATUS=MR","SCALING_FORMAT=MLN","FA_ADJUSTED=GAAP","Sort=A","Dates=H","DateFormat=P","Fill=—","Direction=H","UseDPDF=Y")</f>
        <v>337.21460000000002</v>
      </c>
      <c r="S82" s="14">
        <f>_xll.BDH("RMS FP Equity","NET_INCOME","FY 2007","FY 2007","Currency=USD","Period=FY","BEST_FPERIOD_OVERRIDE=FY","FILING_STATUS=MR","SCALING_FORMAT=MLN","FA_ADJUSTED=GAAP","Sort=A","Dates=H","DateFormat=P","Fill=—","Direction=H","UseDPDF=Y")</f>
        <v>394.78989999999999</v>
      </c>
      <c r="T82" s="14">
        <f>_xll.BDH("RMS FP Equity","NET_INCOME","FY 2008","FY 2008","Currency=USD","Period=FY","BEST_FPERIOD_OVERRIDE=FY","FILING_STATUS=MR","SCALING_FORMAT=MLN","FA_ADJUSTED=GAAP","Sort=A","Dates=H","DateFormat=P","Fill=—","Direction=H","UseDPDF=Y")</f>
        <v>426.85210000000001</v>
      </c>
      <c r="U82" s="14">
        <f>_xll.BDH("RMS FP Equity","NET_INCOME","FY 2009","FY 2009","Currency=USD","Period=FY","BEST_FPERIOD_OVERRIDE=FY","FILING_STATUS=MR","SCALING_FORMAT=MLN","FA_ADJUSTED=GAAP","Sort=A","Dates=H","DateFormat=P","Fill=—","Direction=H","UseDPDF=Y")</f>
        <v>402.7133</v>
      </c>
      <c r="V82" s="14">
        <f>_xll.BDH("RMS FP Equity","NET_INCOME","FY 2010","FY 2010","Currency=USD","Period=FY","BEST_FPERIOD_OVERRIDE=FY","FILING_STATUS=MR","SCALING_FORMAT=MLN","FA_ADJUSTED=GAAP","Sort=A","Dates=H","DateFormat=P","Fill=—","Direction=H","UseDPDF=Y")</f>
        <v>559.43190000000004</v>
      </c>
      <c r="W82" s="14">
        <f>_xll.BDH("RMS FP Equity","NET_INCOME","FY 2011","FY 2011","Currency=USD","Period=FY","BEST_FPERIOD_OVERRIDE=FY","FILING_STATUS=MR","SCALING_FORMAT=MLN","FA_ADJUSTED=GAAP","Sort=A","Dates=H","DateFormat=P","Fill=—","Direction=H","UseDPDF=Y")</f>
        <v>827.50459999999998</v>
      </c>
      <c r="X82" s="14">
        <f>_xll.BDH("RMS FP Equity","NET_INCOME","FY 2012","FY 2012","Currency=USD","Period=FY","BEST_FPERIOD_OVERRIDE=FY","FILING_STATUS=MR","SCALING_FORMAT=MLN","FA_ADJUSTED=GAAP","Sort=A","Dates=H","DateFormat=P","Fill=—","Direction=H","UseDPDF=Y")</f>
        <v>951.41600000000005</v>
      </c>
      <c r="Y82" s="14">
        <f>_xll.BDH("RMS FP Equity","NET_INCOME","FY 2013","FY 2013","Currency=USD","Period=FY","BEST_FPERIOD_OVERRIDE=FY","FILING_STATUS=MR","SCALING_FORMAT=MLN","FA_ADJUSTED=GAAP","Sort=A","Dates=H","DateFormat=P","Fill=—","Direction=H","UseDPDF=Y")</f>
        <v>1049.7645</v>
      </c>
      <c r="Z82" s="14">
        <f>_xll.BDH("RMS FP Equity","NET_INCOME","FY 2014","FY 2014","Currency=USD","Period=FY","BEST_FPERIOD_OVERRIDE=FY","FILING_STATUS=MR","SCALING_FORMAT=MLN","FA_ADJUSTED=GAAP","Sort=A","Dates=H","DateFormat=P","Fill=—","Direction=H","UseDPDF=Y")</f>
        <v>1140.9036000000001</v>
      </c>
      <c r="AA82" s="14">
        <f>_xll.BDH("RMS FP Equity","NET_INCOME","FY 2015","FY 2015","Currency=USD","Period=FY","BEST_FPERIOD_OVERRIDE=FY","FILING_STATUS=MR","SCALING_FORMAT=MLN","FA_ADJUSTED=GAAP","Sort=A","Dates=H","DateFormat=P","Fill=—","Direction=H","UseDPDF=Y")</f>
        <v>1079.5866000000001</v>
      </c>
      <c r="AB82" s="14">
        <f>_xll.BDH("RMS FP Equity","NET_INCOME","FY 2016","FY 2016","Currency=USD","Period=FY","BEST_FPERIOD_OVERRIDE=FY","FILING_STATUS=MR","SCALING_FORMAT=MLN","FA_ADJUSTED=GAAP","Sort=A","Dates=H","DateFormat=P","Fill=—","Direction=H","UseDPDF=Y")</f>
        <v>1217.8435999999999</v>
      </c>
      <c r="AC82" s="14">
        <f>_xll.BDH("RMS FP Equity","NET_INCOME","FY 2017","FY 2017","Currency=USD","Period=FY","BEST_FPERIOD_OVERRIDE=FY","FILING_STATUS=MR","SCALING_FORMAT=MLN","FA_ADJUSTED=GAAP","Sort=A","Dates=H","DateFormat=P","Fill=—","Direction=H","UseDPDF=Y")</f>
        <v>1379.9546</v>
      </c>
      <c r="AD82" s="14">
        <v>1540.0740000000001</v>
      </c>
      <c r="AE82" s="14">
        <v>1659.2449999999999</v>
      </c>
    </row>
    <row r="83" spans="1:31" x14ac:dyDescent="0.25">
      <c r="A83" s="11" t="s">
        <v>65</v>
      </c>
      <c r="B83" s="11" t="s">
        <v>145</v>
      </c>
      <c r="C83" s="16" t="s">
        <v>66</v>
      </c>
      <c r="D83" s="16">
        <v>45.740276999999999</v>
      </c>
      <c r="E83" s="16">
        <v>19.296254999999999</v>
      </c>
      <c r="F83" s="16">
        <v>38.439582999999999</v>
      </c>
      <c r="G83" s="16">
        <v>38.831614999999999</v>
      </c>
      <c r="H83" s="16">
        <v>13.118812</v>
      </c>
      <c r="I83" s="16">
        <v>16.170684000000001</v>
      </c>
      <c r="J83" s="16">
        <v>10.190238000000001</v>
      </c>
      <c r="K83" s="16">
        <v>33.333333000000003</v>
      </c>
      <c r="L83" s="16">
        <v>47.179487000000002</v>
      </c>
      <c r="M83" s="16">
        <v>15.249586000000001</v>
      </c>
      <c r="N83" s="16">
        <v>6.8418460000000003</v>
      </c>
      <c r="O83" s="16">
        <v>0.60324800000000001</v>
      </c>
      <c r="P83" s="16">
        <v>-1.3376410000000001</v>
      </c>
      <c r="Q83" s="16">
        <v>15.474524000000001</v>
      </c>
      <c r="R83" s="16">
        <v>8.6639680000000006</v>
      </c>
      <c r="S83" s="16">
        <v>7.3025339999999996</v>
      </c>
      <c r="T83" s="16">
        <v>0.76388900000000004</v>
      </c>
      <c r="U83" s="16">
        <v>-0.48242600000000002</v>
      </c>
      <c r="V83" s="16">
        <v>46.018006</v>
      </c>
      <c r="W83" s="16">
        <v>40.929571000000003</v>
      </c>
      <c r="X83" s="16">
        <v>24.499410999999998</v>
      </c>
      <c r="Y83" s="16">
        <v>6.811731</v>
      </c>
      <c r="Z83" s="16">
        <v>8.6675950000000004</v>
      </c>
      <c r="AA83" s="16">
        <v>13.251048000000001</v>
      </c>
      <c r="AB83" s="16">
        <v>13.129754999999999</v>
      </c>
      <c r="AC83" s="16">
        <v>11.015178000000001</v>
      </c>
      <c r="AD83" s="16">
        <v>11.6027977358176</v>
      </c>
      <c r="AE83" s="16">
        <v>7.7380047971720902</v>
      </c>
    </row>
    <row r="84" spans="1:31" x14ac:dyDescent="0.25">
      <c r="A84" s="10" t="s">
        <v>146</v>
      </c>
      <c r="B84" s="10" t="s">
        <v>147</v>
      </c>
      <c r="C84" s="12">
        <f>_xll.BDH("RMS FP Equity","IS_TOT_CASH_PFD_DVD","FY 1991","FY 1991","Currency=USD","Period=FY","BEST_FPERIOD_OVERRIDE=FY","FILING_STATUS=MR","SCALING_FORMAT=MLN","Sort=A","Dates=H","DateFormat=P","Fill=—","Direction=H","UseDPDF=Y")</f>
        <v>0</v>
      </c>
      <c r="D84" s="12">
        <f>_xll.BDH("RMS FP Equity","IS_TOT_CASH_PFD_DVD","FY 1992","FY 1992","Currency=USD","Period=FY","BEST_FPERIOD_OVERRIDE=FY","FILING_STATUS=MR","SCALING_FORMAT=MLN","Sort=A","Dates=H","DateFormat=P","Fill=—","Direction=H","UseDPDF=Y")</f>
        <v>0</v>
      </c>
      <c r="E84" s="12">
        <f>_xll.BDH("RMS FP Equity","IS_TOT_CASH_PFD_DVD","FY 1993","FY 1993","Currency=USD","Period=FY","BEST_FPERIOD_OVERRIDE=FY","FILING_STATUS=MR","SCALING_FORMAT=MLN","Sort=A","Dates=H","DateFormat=P","Fill=—","Direction=H","UseDPDF=Y")</f>
        <v>0</v>
      </c>
      <c r="F84" s="12">
        <f>_xll.BDH("RMS FP Equity","IS_TOT_CASH_PFD_DVD","FY 1994","FY 1994","Currency=USD","Period=FY","BEST_FPERIOD_OVERRIDE=FY","FILING_STATUS=MR","SCALING_FORMAT=MLN","Sort=A","Dates=H","DateFormat=P","Fill=—","Direction=H","UseDPDF=Y")</f>
        <v>0</v>
      </c>
      <c r="G84" s="12">
        <f>_xll.BDH("RMS FP Equity","IS_TOT_CASH_PFD_DVD","FY 1995","FY 1995","Currency=USD","Period=FY","BEST_FPERIOD_OVERRIDE=FY","FILING_STATUS=MR","SCALING_FORMAT=MLN","Sort=A","Dates=H","DateFormat=P","Fill=—","Direction=H","UseDPDF=Y")</f>
        <v>0</v>
      </c>
      <c r="H84" s="12">
        <f>_xll.BDH("RMS FP Equity","IS_TOT_CASH_PFD_DVD","FY 1996","FY 1996","Currency=USD","Period=FY","BEST_FPERIOD_OVERRIDE=FY","FILING_STATUS=MR","SCALING_FORMAT=MLN","Sort=A","Dates=H","DateFormat=P","Fill=—","Direction=H","UseDPDF=Y")</f>
        <v>0</v>
      </c>
      <c r="I84" s="12">
        <f>_xll.BDH("RMS FP Equity","IS_TOT_CASH_PFD_DVD","FY 1997","FY 1997","Currency=USD","Period=FY","BEST_FPERIOD_OVERRIDE=FY","FILING_STATUS=MR","SCALING_FORMAT=MLN","Sort=A","Dates=H","DateFormat=P","Fill=—","Direction=H","UseDPDF=Y")</f>
        <v>0</v>
      </c>
      <c r="J84" s="12">
        <f>_xll.BDH("RMS FP Equity","IS_TOT_CASH_PFD_DVD","FY 1998","FY 1998","Currency=USD","Period=FY","BEST_FPERIOD_OVERRIDE=FY","FILING_STATUS=MR","SCALING_FORMAT=MLN","Sort=A","Dates=H","DateFormat=P","Fill=—","Direction=H","UseDPDF=Y")</f>
        <v>0</v>
      </c>
      <c r="K84" s="12">
        <f>_xll.BDH("RMS FP Equity","IS_TOT_CASH_PFD_DVD","FY 1999","FY 1999","Currency=USD","Period=FY","BEST_FPERIOD_OVERRIDE=FY","FILING_STATUS=MR","SCALING_FORMAT=MLN","Sort=A","Dates=H","DateFormat=P","Fill=—","Direction=H","UseDPDF=Y")</f>
        <v>0</v>
      </c>
      <c r="L84" s="12">
        <f>_xll.BDH("RMS FP Equity","IS_TOT_CASH_PFD_DVD","FY 2000","FY 2000","Currency=USD","Period=FY","BEST_FPERIOD_OVERRIDE=FY","FILING_STATUS=MR","SCALING_FORMAT=MLN","Sort=A","Dates=H","DateFormat=P","Fill=—","Direction=H","UseDPDF=Y")</f>
        <v>0</v>
      </c>
      <c r="M84" s="12">
        <f>_xll.BDH("RMS FP Equity","IS_TOT_CASH_PFD_DVD","FY 2001","FY 2001","Currency=USD","Period=FY","BEST_FPERIOD_OVERRIDE=FY","FILING_STATUS=MR","SCALING_FORMAT=MLN","Sort=A","Dates=H","DateFormat=P","Fill=—","Direction=H","UseDPDF=Y")</f>
        <v>0</v>
      </c>
      <c r="N84" s="12">
        <f>_xll.BDH("RMS FP Equity","IS_TOT_CASH_PFD_DVD","FY 2002","FY 2002","Currency=USD","Period=FY","BEST_FPERIOD_OVERRIDE=FY","FILING_STATUS=MR","SCALING_FORMAT=MLN","Sort=A","Dates=H","DateFormat=P","Fill=—","Direction=H","UseDPDF=Y")</f>
        <v>0</v>
      </c>
      <c r="O84" s="12">
        <f>_xll.BDH("RMS FP Equity","IS_TOT_CASH_PFD_DVD","FY 2003","FY 2003","Currency=USD","Period=FY","BEST_FPERIOD_OVERRIDE=FY","FILING_STATUS=MR","SCALING_FORMAT=MLN","Sort=A","Dates=H","DateFormat=P","Fill=—","Direction=H","UseDPDF=Y")</f>
        <v>0</v>
      </c>
      <c r="P84" s="12">
        <f>_xll.BDH("RMS FP Equity","IS_TOT_CASH_PFD_DVD","FY 2004","FY 2004","Currency=USD","Period=FY","BEST_FPERIOD_OVERRIDE=FY","FILING_STATUS=MR","SCALING_FORMAT=MLN","Sort=A","Dates=H","DateFormat=P","Fill=—","Direction=H","UseDPDF=Y")</f>
        <v>0</v>
      </c>
      <c r="Q84" s="12">
        <f>_xll.BDH("RMS FP Equity","IS_TOT_CASH_PFD_DVD","FY 2005","FY 2005","Currency=USD","Period=FY","BEST_FPERIOD_OVERRIDE=FY","FILING_STATUS=MR","SCALING_FORMAT=MLN","Sort=A","Dates=H","DateFormat=P","Fill=—","Direction=H","UseDPDF=Y")</f>
        <v>0</v>
      </c>
      <c r="R84" s="12">
        <f>_xll.BDH("RMS FP Equity","IS_TOT_CASH_PFD_DVD","FY 2006","FY 2006","Currency=USD","Period=FY","BEST_FPERIOD_OVERRIDE=FY","FILING_STATUS=MR","SCALING_FORMAT=MLN","Sort=A","Dates=H","DateFormat=P","Fill=—","Direction=H","UseDPDF=Y")</f>
        <v>0</v>
      </c>
      <c r="S84" s="12">
        <f>_xll.BDH("RMS FP Equity","IS_TOT_CASH_PFD_DVD","FY 2007","FY 2007","Currency=USD","Period=FY","BEST_FPERIOD_OVERRIDE=FY","FILING_STATUS=MR","SCALING_FORMAT=MLN","Sort=A","Dates=H","DateFormat=P","Fill=—","Direction=H","UseDPDF=Y")</f>
        <v>0</v>
      </c>
      <c r="T84" s="12">
        <f>_xll.BDH("RMS FP Equity","IS_TOT_CASH_PFD_DVD","FY 2008","FY 2008","Currency=USD","Period=FY","BEST_FPERIOD_OVERRIDE=FY","FILING_STATUS=MR","SCALING_FORMAT=MLN","Sort=A","Dates=H","DateFormat=P","Fill=—","Direction=H","UseDPDF=Y")</f>
        <v>0</v>
      </c>
      <c r="U84" s="12">
        <f>_xll.BDH("RMS FP Equity","IS_TOT_CASH_PFD_DVD","FY 2009","FY 2009","Currency=USD","Period=FY","BEST_FPERIOD_OVERRIDE=FY","FILING_STATUS=MR","SCALING_FORMAT=MLN","Sort=A","Dates=H","DateFormat=P","Fill=—","Direction=H","UseDPDF=Y")</f>
        <v>0</v>
      </c>
      <c r="V84" s="12">
        <f>_xll.BDH("RMS FP Equity","IS_TOT_CASH_PFD_DVD","FY 2010","FY 2010","Currency=USD","Period=FY","BEST_FPERIOD_OVERRIDE=FY","FILING_STATUS=MR","SCALING_FORMAT=MLN","Sort=A","Dates=H","DateFormat=P","Fill=—","Direction=H","UseDPDF=Y")</f>
        <v>0</v>
      </c>
      <c r="W84" s="12">
        <f>_xll.BDH("RMS FP Equity","IS_TOT_CASH_PFD_DVD","FY 2011","FY 2011","Currency=USD","Period=FY","BEST_FPERIOD_OVERRIDE=FY","FILING_STATUS=MR","SCALING_FORMAT=MLN","Sort=A","Dates=H","DateFormat=P","Fill=—","Direction=H","UseDPDF=Y")</f>
        <v>0</v>
      </c>
      <c r="X84" s="12">
        <f>_xll.BDH("RMS FP Equity","IS_TOT_CASH_PFD_DVD","FY 2012","FY 2012","Currency=USD","Period=FY","BEST_FPERIOD_OVERRIDE=FY","FILING_STATUS=MR","SCALING_FORMAT=MLN","Sort=A","Dates=H","DateFormat=P","Fill=—","Direction=H","UseDPDF=Y")</f>
        <v>0</v>
      </c>
      <c r="Y84" s="12">
        <f>_xll.BDH("RMS FP Equity","IS_TOT_CASH_PFD_DVD","FY 2013","FY 2013","Currency=USD","Period=FY","BEST_FPERIOD_OVERRIDE=FY","FILING_STATUS=MR","SCALING_FORMAT=MLN","Sort=A","Dates=H","DateFormat=P","Fill=—","Direction=H","UseDPDF=Y")</f>
        <v>0</v>
      </c>
      <c r="Z84" s="12">
        <f>_xll.BDH("RMS FP Equity","IS_TOT_CASH_PFD_DVD","FY 2014","FY 2014","Currency=USD","Period=FY","BEST_FPERIOD_OVERRIDE=FY","FILING_STATUS=MR","SCALING_FORMAT=MLN","Sort=A","Dates=H","DateFormat=P","Fill=—","Direction=H","UseDPDF=Y")</f>
        <v>0</v>
      </c>
      <c r="AA84" s="12">
        <f>_xll.BDH("RMS FP Equity","IS_TOT_CASH_PFD_DVD","FY 2015","FY 2015","Currency=USD","Period=FY","BEST_FPERIOD_OVERRIDE=FY","FILING_STATUS=MR","SCALING_FORMAT=MLN","Sort=A","Dates=H","DateFormat=P","Fill=—","Direction=H","UseDPDF=Y")</f>
        <v>0</v>
      </c>
      <c r="AB84" s="12">
        <f>_xll.BDH("RMS FP Equity","IS_TOT_CASH_PFD_DVD","FY 2016","FY 2016","Currency=USD","Period=FY","BEST_FPERIOD_OVERRIDE=FY","FILING_STATUS=MR","SCALING_FORMAT=MLN","Sort=A","Dates=H","DateFormat=P","Fill=—","Direction=H","UseDPDF=Y")</f>
        <v>0</v>
      </c>
      <c r="AC84" s="12">
        <f>_xll.BDH("RMS FP Equity","IS_TOT_CASH_PFD_DVD","FY 2017","FY 2017","Currency=USD","Period=FY","BEST_FPERIOD_OVERRIDE=FY","FILING_STATUS=MR","SCALING_FORMAT=MLN","Sort=A","Dates=H","DateFormat=P","Fill=—","Direction=H","UseDPDF=Y")</f>
        <v>0</v>
      </c>
      <c r="AD84" s="12"/>
      <c r="AE84" s="12"/>
    </row>
    <row r="85" spans="1:31" x14ac:dyDescent="0.25">
      <c r="A85" s="10" t="s">
        <v>148</v>
      </c>
      <c r="B85" s="10" t="s">
        <v>149</v>
      </c>
      <c r="C85" s="12" t="str">
        <f>_xll.BDH("RMS FP Equity","OTHER_ADJUSTMENTS","FY 1991","FY 1991","Currency=USD","Period=FY","BEST_FPERIOD_OVERRIDE=FY","FILING_STATUS=MR","SCALING_FORMAT=MLN","Sort=A","Dates=H","DateFormat=P","Fill=—","Direction=H","UseDPDF=Y")</f>
        <v>—</v>
      </c>
      <c r="D85" s="12" t="str">
        <f>_xll.BDH("RMS FP Equity","OTHER_ADJUSTMENTS","FY 1992","FY 1992","Currency=USD","Period=FY","BEST_FPERIOD_OVERRIDE=FY","FILING_STATUS=MR","SCALING_FORMAT=MLN","Sort=A","Dates=H","DateFormat=P","Fill=—","Direction=H","UseDPDF=Y")</f>
        <v>—</v>
      </c>
      <c r="E85" s="12" t="str">
        <f>_xll.BDH("RMS FP Equity","OTHER_ADJUSTMENTS","FY 1993","FY 1993","Currency=USD","Period=FY","BEST_FPERIOD_OVERRIDE=FY","FILING_STATUS=MR","SCALING_FORMAT=MLN","Sort=A","Dates=H","DateFormat=P","Fill=—","Direction=H","UseDPDF=Y")</f>
        <v>—</v>
      </c>
      <c r="F85" s="12" t="str">
        <f>_xll.BDH("RMS FP Equity","OTHER_ADJUSTMENTS","FY 1994","FY 1994","Currency=USD","Period=FY","BEST_FPERIOD_OVERRIDE=FY","FILING_STATUS=MR","SCALING_FORMAT=MLN","Sort=A","Dates=H","DateFormat=P","Fill=—","Direction=H","UseDPDF=Y")</f>
        <v>—</v>
      </c>
      <c r="G85" s="12" t="str">
        <f>_xll.BDH("RMS FP Equity","OTHER_ADJUSTMENTS","FY 1995","FY 1995","Currency=USD","Period=FY","BEST_FPERIOD_OVERRIDE=FY","FILING_STATUS=MR","SCALING_FORMAT=MLN","Sort=A","Dates=H","DateFormat=P","Fill=—","Direction=H","UseDPDF=Y")</f>
        <v>—</v>
      </c>
      <c r="H85" s="12" t="str">
        <f>_xll.BDH("RMS FP Equity","OTHER_ADJUSTMENTS","FY 1996","FY 1996","Currency=USD","Period=FY","BEST_FPERIOD_OVERRIDE=FY","FILING_STATUS=MR","SCALING_FORMAT=MLN","Sort=A","Dates=H","DateFormat=P","Fill=—","Direction=H","UseDPDF=Y")</f>
        <v>—</v>
      </c>
      <c r="I85" s="12" t="str">
        <f>_xll.BDH("RMS FP Equity","OTHER_ADJUSTMENTS","FY 1997","FY 1997","Currency=USD","Period=FY","BEST_FPERIOD_OVERRIDE=FY","FILING_STATUS=MR","SCALING_FORMAT=MLN","Sort=A","Dates=H","DateFormat=P","Fill=—","Direction=H","UseDPDF=Y")</f>
        <v>—</v>
      </c>
      <c r="J85" s="12" t="str">
        <f>_xll.BDH("RMS FP Equity","OTHER_ADJUSTMENTS","FY 1998","FY 1998","Currency=USD","Period=FY","BEST_FPERIOD_OVERRIDE=FY","FILING_STATUS=MR","SCALING_FORMAT=MLN","Sort=A","Dates=H","DateFormat=P","Fill=—","Direction=H","UseDPDF=Y")</f>
        <v>—</v>
      </c>
      <c r="K85" s="12" t="str">
        <f>_xll.BDH("RMS FP Equity","OTHER_ADJUSTMENTS","FY 1999","FY 1999","Currency=USD","Period=FY","BEST_FPERIOD_OVERRIDE=FY","FILING_STATUS=MR","SCALING_FORMAT=MLN","Sort=A","Dates=H","DateFormat=P","Fill=—","Direction=H","UseDPDF=Y")</f>
        <v>—</v>
      </c>
      <c r="L85" s="12" t="str">
        <f>_xll.BDH("RMS FP Equity","OTHER_ADJUSTMENTS","FY 2000","FY 2000","Currency=USD","Period=FY","BEST_FPERIOD_OVERRIDE=FY","FILING_STATUS=MR","SCALING_FORMAT=MLN","Sort=A","Dates=H","DateFormat=P","Fill=—","Direction=H","UseDPDF=Y")</f>
        <v>—</v>
      </c>
      <c r="M85" s="12" t="str">
        <f>_xll.BDH("RMS FP Equity","OTHER_ADJUSTMENTS","FY 2001","FY 2001","Currency=USD","Period=FY","BEST_FPERIOD_OVERRIDE=FY","FILING_STATUS=MR","SCALING_FORMAT=MLN","Sort=A","Dates=H","DateFormat=P","Fill=—","Direction=H","UseDPDF=Y")</f>
        <v>—</v>
      </c>
      <c r="N85" s="12" t="str">
        <f>_xll.BDH("RMS FP Equity","OTHER_ADJUSTMENTS","FY 2002","FY 2002","Currency=USD","Period=FY","BEST_FPERIOD_OVERRIDE=FY","FILING_STATUS=MR","SCALING_FORMAT=MLN","Sort=A","Dates=H","DateFormat=P","Fill=—","Direction=H","UseDPDF=Y")</f>
        <v>—</v>
      </c>
      <c r="O85" s="12" t="str">
        <f>_xll.BDH("RMS FP Equity","OTHER_ADJUSTMENTS","FY 2003","FY 2003","Currency=USD","Period=FY","BEST_FPERIOD_OVERRIDE=FY","FILING_STATUS=MR","SCALING_FORMAT=MLN","Sort=A","Dates=H","DateFormat=P","Fill=—","Direction=H","UseDPDF=Y")</f>
        <v>—</v>
      </c>
      <c r="P85" s="12" t="str">
        <f>_xll.BDH("RMS FP Equity","OTHER_ADJUSTMENTS","FY 2004","FY 2004","Currency=USD","Period=FY","BEST_FPERIOD_OVERRIDE=FY","FILING_STATUS=MR","SCALING_FORMAT=MLN","Sort=A","Dates=H","DateFormat=P","Fill=—","Direction=H","UseDPDF=Y")</f>
        <v>—</v>
      </c>
      <c r="Q85" s="12" t="str">
        <f>_xll.BDH("RMS FP Equity","OTHER_ADJUSTMENTS","FY 2005","FY 2005","Currency=USD","Period=FY","BEST_FPERIOD_OVERRIDE=FY","FILING_STATUS=MR","SCALING_FORMAT=MLN","Sort=A","Dates=H","DateFormat=P","Fill=—","Direction=H","UseDPDF=Y")</f>
        <v>—</v>
      </c>
      <c r="R85" s="12" t="str">
        <f>_xll.BDH("RMS FP Equity","OTHER_ADJUSTMENTS","FY 2006","FY 2006","Currency=USD","Period=FY","BEST_FPERIOD_OVERRIDE=FY","FILING_STATUS=MR","SCALING_FORMAT=MLN","Sort=A","Dates=H","DateFormat=P","Fill=—","Direction=H","UseDPDF=Y")</f>
        <v>—</v>
      </c>
      <c r="S85" s="12" t="str">
        <f>_xll.BDH("RMS FP Equity","OTHER_ADJUSTMENTS","FY 2007","FY 2007","Currency=USD","Period=FY","BEST_FPERIOD_OVERRIDE=FY","FILING_STATUS=MR","SCALING_FORMAT=MLN","Sort=A","Dates=H","DateFormat=P","Fill=—","Direction=H","UseDPDF=Y")</f>
        <v>—</v>
      </c>
      <c r="T85" s="12">
        <f>_xll.BDH("RMS FP Equity","OTHER_ADJUSTMENTS","FY 2008","FY 2008","Currency=USD","Period=FY","BEST_FPERIOD_OVERRIDE=FY","FILING_STATUS=MR","SCALING_FORMAT=MLN","Sort=A","Dates=H","DateFormat=P","Fill=—","Direction=H","UseDPDF=Y")</f>
        <v>0</v>
      </c>
      <c r="U85" s="12">
        <f>_xll.BDH("RMS FP Equity","OTHER_ADJUSTMENTS","FY 2009","FY 2009","Currency=USD","Period=FY","BEST_FPERIOD_OVERRIDE=FY","FILING_STATUS=MR","SCALING_FORMAT=MLN","Sort=A","Dates=H","DateFormat=P","Fill=—","Direction=H","UseDPDF=Y")</f>
        <v>0</v>
      </c>
      <c r="V85" s="12">
        <f>_xll.BDH("RMS FP Equity","OTHER_ADJUSTMENTS","FY 2010","FY 2010","Currency=USD","Period=FY","BEST_FPERIOD_OVERRIDE=FY","FILING_STATUS=MR","SCALING_FORMAT=MLN","Sort=A","Dates=H","DateFormat=P","Fill=—","Direction=H","UseDPDF=Y")</f>
        <v>0</v>
      </c>
      <c r="W85" s="12">
        <f>_xll.BDH("RMS FP Equity","OTHER_ADJUSTMENTS","FY 2011","FY 2011","Currency=USD","Period=FY","BEST_FPERIOD_OVERRIDE=FY","FILING_STATUS=MR","SCALING_FORMAT=MLN","Sort=A","Dates=H","DateFormat=P","Fill=—","Direction=H","UseDPDF=Y")</f>
        <v>0</v>
      </c>
      <c r="X85" s="12">
        <f>_xll.BDH("RMS FP Equity","OTHER_ADJUSTMENTS","FY 2012","FY 2012","Currency=USD","Period=FY","BEST_FPERIOD_OVERRIDE=FY","FILING_STATUS=MR","SCALING_FORMAT=MLN","Sort=A","Dates=H","DateFormat=P","Fill=—","Direction=H","UseDPDF=Y")</f>
        <v>0</v>
      </c>
      <c r="Y85" s="12">
        <f>_xll.BDH("RMS FP Equity","OTHER_ADJUSTMENTS","FY 2013","FY 2013","Currency=USD","Period=FY","BEST_FPERIOD_OVERRIDE=FY","FILING_STATUS=MR","SCALING_FORMAT=MLN","Sort=A","Dates=H","DateFormat=P","Fill=—","Direction=H","UseDPDF=Y")</f>
        <v>0</v>
      </c>
      <c r="Z85" s="12">
        <f>_xll.BDH("RMS FP Equity","OTHER_ADJUSTMENTS","FY 2014","FY 2014","Currency=USD","Period=FY","BEST_FPERIOD_OVERRIDE=FY","FILING_STATUS=MR","SCALING_FORMAT=MLN","Sort=A","Dates=H","DateFormat=P","Fill=—","Direction=H","UseDPDF=Y")</f>
        <v>0</v>
      </c>
      <c r="AA85" s="12">
        <f>_xll.BDH("RMS FP Equity","OTHER_ADJUSTMENTS","FY 2015","FY 2015","Currency=USD","Period=FY","BEST_FPERIOD_OVERRIDE=FY","FILING_STATUS=MR","SCALING_FORMAT=MLN","Sort=A","Dates=H","DateFormat=P","Fill=—","Direction=H","UseDPDF=Y")</f>
        <v>0</v>
      </c>
      <c r="AB85" s="12">
        <f>_xll.BDH("RMS FP Equity","OTHER_ADJUSTMENTS","FY 2016","FY 2016","Currency=USD","Period=FY","BEST_FPERIOD_OVERRIDE=FY","FILING_STATUS=MR","SCALING_FORMAT=MLN","Sort=A","Dates=H","DateFormat=P","Fill=—","Direction=H","UseDPDF=Y")</f>
        <v>0</v>
      </c>
      <c r="AC85" s="12">
        <f>_xll.BDH("RMS FP Equity","OTHER_ADJUSTMENTS","FY 2017","FY 2017","Currency=USD","Period=FY","BEST_FPERIOD_OVERRIDE=FY","FILING_STATUS=MR","SCALING_FORMAT=MLN","Sort=A","Dates=H","DateFormat=P","Fill=—","Direction=H","UseDPDF=Y")</f>
        <v>0</v>
      </c>
      <c r="AD85" s="12"/>
      <c r="AE85" s="12"/>
    </row>
    <row r="86" spans="1:31" x14ac:dyDescent="0.25">
      <c r="A86" s="6" t="s">
        <v>150</v>
      </c>
      <c r="B86" s="6" t="s">
        <v>151</v>
      </c>
      <c r="C86" s="14">
        <f>_xll.BDH("RMS FP Equity","EARN_FOR_COMMON","FY 1991","FY 1991","Currency=USD","Period=FY","BEST_FPERIOD_OVERRIDE=FY","FILING_STATUS=MR","SCALING_FORMAT=MLN","FA_ADJUSTED=GAAP","Sort=A","Dates=H","DateFormat=P","Fill=—","Direction=H","UseDPDF=Y")</f>
        <v>21.498999999999999</v>
      </c>
      <c r="D86" s="14">
        <f>_xll.BDH("RMS FP Equity","EARN_FOR_COMMON","FY 1992","FY 1992","Currency=USD","Period=FY","BEST_FPERIOD_OVERRIDE=FY","FILING_STATUS=MR","SCALING_FORMAT=MLN","FA_ADJUSTED=GAAP","Sort=A","Dates=H","DateFormat=P","Fill=—","Direction=H","UseDPDF=Y")</f>
        <v>33.362499999999997</v>
      </c>
      <c r="E86" s="14">
        <f>_xll.BDH("RMS FP Equity","EARN_FOR_COMMON","FY 1993","FY 1993","Currency=USD","Period=FY","BEST_FPERIOD_OVERRIDE=FY","FILING_STATUS=MR","SCALING_FORMAT=MLN","FA_ADJUSTED=GAAP","Sort=A","Dates=H","DateFormat=P","Fill=—","Direction=H","UseDPDF=Y")</f>
        <v>37.1404</v>
      </c>
      <c r="F86" s="14">
        <f>_xll.BDH("RMS FP Equity","EARN_FOR_COMMON","FY 1994","FY 1994","Currency=USD","Period=FY","BEST_FPERIOD_OVERRIDE=FY","FILING_STATUS=MR","SCALING_FORMAT=MLN","FA_ADJUSTED=GAAP","Sort=A","Dates=H","DateFormat=P","Fill=—","Direction=H","UseDPDF=Y")</f>
        <v>52.566499999999998</v>
      </c>
      <c r="G86" s="14">
        <f>_xll.BDH("RMS FP Equity","EARN_FOR_COMMON","FY 1995","FY 1995","Currency=USD","Period=FY","BEST_FPERIOD_OVERRIDE=FY","FILING_STATUS=MR","SCALING_FORMAT=MLN","FA_ADJUSTED=GAAP","Sort=A","Dates=H","DateFormat=P","Fill=—","Direction=H","UseDPDF=Y")</f>
        <v>81.080600000000004</v>
      </c>
      <c r="H86" s="14">
        <f>_xll.BDH("RMS FP Equity","EARN_FOR_COMMON","FY 1996","FY 1996","Currency=USD","Period=FY","BEST_FPERIOD_OVERRIDE=FY","FILING_STATUS=MR","SCALING_FORMAT=MLN","FA_ADJUSTED=GAAP","Sort=A","Dates=H","DateFormat=P","Fill=—","Direction=H","UseDPDF=Y")</f>
        <v>89.3887</v>
      </c>
      <c r="I86" s="14">
        <f>_xll.BDH("RMS FP Equity","EARN_FOR_COMMON","FY 1997","FY 1997","Currency=USD","Period=FY","BEST_FPERIOD_OVERRIDE=FY","FILING_STATUS=MR","SCALING_FORMAT=MLN","FA_ADJUSTED=GAAP","Sort=A","Dates=H","DateFormat=P","Fill=—","Direction=H","UseDPDF=Y")</f>
        <v>91.095699999999994</v>
      </c>
      <c r="J86" s="14">
        <f>_xll.BDH("RMS FP Equity","EARN_FOR_COMMON","FY 1998","FY 1998","Currency=USD","Period=FY","BEST_FPERIOD_OVERRIDE=FY","FILING_STATUS=MR","SCALING_FORMAT=MLN","FA_ADJUSTED=GAAP","Sort=A","Dates=H","DateFormat=P","Fill=—","Direction=H","UseDPDF=Y")</f>
        <v>99.352699999999999</v>
      </c>
      <c r="K86" s="14">
        <f>_xll.BDH("RMS FP Equity","EARN_FOR_COMMON","FY 1999","FY 1999","Currency=USD","Period=FY","BEST_FPERIOD_OVERRIDE=FY","FILING_STATUS=MR","SCALING_FORMAT=MLN","FA_ADJUSTED=GAAP","Sort=A","Dates=H","DateFormat=P","Fill=—","Direction=H","UseDPDF=Y")</f>
        <v>126.73650000000001</v>
      </c>
      <c r="L86" s="14">
        <f>_xll.BDH("RMS FP Equity","EARN_FOR_COMMON","FY 2000","FY 2000","Currency=USD","Period=FY","BEST_FPERIOD_OVERRIDE=FY","FILING_STATUS=MR","SCALING_FORMAT=MLN","FA_ADJUSTED=GAAP","Sort=A","Dates=H","DateFormat=P","Fill=—","Direction=H","UseDPDF=Y")</f>
        <v>161.6199</v>
      </c>
      <c r="M86" s="14">
        <f>_xll.BDH("RMS FP Equity","EARN_FOR_COMMON","FY 2001","FY 2001","Currency=USD","Period=FY","BEST_FPERIOD_OVERRIDE=FY","FILING_STATUS=MR","SCALING_FORMAT=MLN","FA_ADJUSTED=GAAP","Sort=A","Dates=H","DateFormat=P","Fill=—","Direction=H","UseDPDF=Y")</f>
        <v>180.64869999999999</v>
      </c>
      <c r="N86" s="14">
        <f>_xll.BDH("RMS FP Equity","EARN_FOR_COMMON","FY 2002","FY 2002","Currency=USD","Period=FY","BEST_FPERIOD_OVERRIDE=FY","FILING_STATUS=MR","SCALING_FORMAT=MLN","FA_ADJUSTED=GAAP","Sort=A","Dates=H","DateFormat=P","Fill=—","Direction=H","UseDPDF=Y")</f>
        <v>203.81440000000001</v>
      </c>
      <c r="O86" s="14">
        <f>_xll.BDH("RMS FP Equity","EARN_FOR_COMMON","FY 2003","FY 2003","Currency=USD","Period=FY","BEST_FPERIOD_OVERRIDE=FY","FILING_STATUS=MR","SCALING_FORMAT=MLN","FA_ADJUSTED=GAAP","Sort=A","Dates=H","DateFormat=P","Fill=—","Direction=H","UseDPDF=Y")</f>
        <v>245.5171</v>
      </c>
      <c r="P86" s="14">
        <f>_xll.BDH("RMS FP Equity","EARN_FOR_COMMON","FY 2004","FY 2004","Currency=USD","Period=FY","BEST_FPERIOD_OVERRIDE=FY","FILING_STATUS=MR","SCALING_FORMAT=MLN","FA_ADJUSTED=GAAP","Sort=A","Dates=H","DateFormat=P","Fill=—","Direction=H","UseDPDF=Y")</f>
        <v>266.13799999999998</v>
      </c>
      <c r="Q86" s="14">
        <f>_xll.BDH("RMS FP Equity","EARN_FOR_COMMON","FY 2005","FY 2005","Currency=USD","Period=FY","BEST_FPERIOD_OVERRIDE=FY","FILING_STATUS=MR","SCALING_FORMAT=MLN","FA_ADJUSTED=GAAP","Sort=A","Dates=H","DateFormat=P","Fill=—","Direction=H","UseDPDF=Y")</f>
        <v>307.32170000000002</v>
      </c>
      <c r="R86" s="14">
        <f>_xll.BDH("RMS FP Equity","EARN_FOR_COMMON","FY 2006","FY 2006","Currency=USD","Period=FY","BEST_FPERIOD_OVERRIDE=FY","FILING_STATUS=MR","SCALING_FORMAT=MLN","FA_ADJUSTED=GAAP","Sort=A","Dates=H","DateFormat=P","Fill=—","Direction=H","UseDPDF=Y")</f>
        <v>337.21460000000002</v>
      </c>
      <c r="S86" s="14">
        <f>_xll.BDH("RMS FP Equity","EARN_FOR_COMMON","FY 2007","FY 2007","Currency=USD","Period=FY","BEST_FPERIOD_OVERRIDE=FY","FILING_STATUS=MR","SCALING_FORMAT=MLN","FA_ADJUSTED=GAAP","Sort=A","Dates=H","DateFormat=P","Fill=—","Direction=H","UseDPDF=Y")</f>
        <v>394.78989999999999</v>
      </c>
      <c r="T86" s="14">
        <f>_xll.BDH("RMS FP Equity","EARN_FOR_COMMON","FY 2008","FY 2008","Currency=USD","Period=FY","BEST_FPERIOD_OVERRIDE=FY","FILING_STATUS=MR","SCALING_FORMAT=MLN","FA_ADJUSTED=GAAP","Sort=A","Dates=H","DateFormat=P","Fill=—","Direction=H","UseDPDF=Y")</f>
        <v>426.85210000000001</v>
      </c>
      <c r="U86" s="14">
        <f>_xll.BDH("RMS FP Equity","EARN_FOR_COMMON","FY 2009","FY 2009","Currency=USD","Period=FY","BEST_FPERIOD_OVERRIDE=FY","FILING_STATUS=MR","SCALING_FORMAT=MLN","FA_ADJUSTED=GAAP","Sort=A","Dates=H","DateFormat=P","Fill=—","Direction=H","UseDPDF=Y")</f>
        <v>402.7133</v>
      </c>
      <c r="V86" s="14">
        <f>_xll.BDH("RMS FP Equity","EARN_FOR_COMMON","FY 2010","FY 2010","Currency=USD","Period=FY","BEST_FPERIOD_OVERRIDE=FY","FILING_STATUS=MR","SCALING_FORMAT=MLN","FA_ADJUSTED=GAAP","Sort=A","Dates=H","DateFormat=P","Fill=—","Direction=H","UseDPDF=Y")</f>
        <v>559.43190000000004</v>
      </c>
      <c r="W86" s="14">
        <f>_xll.BDH("RMS FP Equity","EARN_FOR_COMMON","FY 2011","FY 2011","Currency=USD","Period=FY","BEST_FPERIOD_OVERRIDE=FY","FILING_STATUS=MR","SCALING_FORMAT=MLN","FA_ADJUSTED=GAAP","Sort=A","Dates=H","DateFormat=P","Fill=—","Direction=H","UseDPDF=Y")</f>
        <v>827.50459999999998</v>
      </c>
      <c r="X86" s="14">
        <f>_xll.BDH("RMS FP Equity","EARN_FOR_COMMON","FY 2012","FY 2012","Currency=USD","Period=FY","BEST_FPERIOD_OVERRIDE=FY","FILING_STATUS=MR","SCALING_FORMAT=MLN","FA_ADJUSTED=GAAP","Sort=A","Dates=H","DateFormat=P","Fill=—","Direction=H","UseDPDF=Y")</f>
        <v>951.41600000000005</v>
      </c>
      <c r="Y86" s="14">
        <f>_xll.BDH("RMS FP Equity","EARN_FOR_COMMON","FY 2013","FY 2013","Currency=USD","Period=FY","BEST_FPERIOD_OVERRIDE=FY","FILING_STATUS=MR","SCALING_FORMAT=MLN","FA_ADJUSTED=GAAP","Sort=A","Dates=H","DateFormat=P","Fill=—","Direction=H","UseDPDF=Y")</f>
        <v>1049.7645</v>
      </c>
      <c r="Z86" s="14">
        <f>_xll.BDH("RMS FP Equity","EARN_FOR_COMMON","FY 2014","FY 2014","Currency=USD","Period=FY","BEST_FPERIOD_OVERRIDE=FY","FILING_STATUS=MR","SCALING_FORMAT=MLN","FA_ADJUSTED=GAAP","Sort=A","Dates=H","DateFormat=P","Fill=—","Direction=H","UseDPDF=Y")</f>
        <v>1140.9036000000001</v>
      </c>
      <c r="AA86" s="14">
        <f>_xll.BDH("RMS FP Equity","EARN_FOR_COMMON","FY 2015","FY 2015","Currency=USD","Period=FY","BEST_FPERIOD_OVERRIDE=FY","FILING_STATUS=MR","SCALING_FORMAT=MLN","FA_ADJUSTED=GAAP","Sort=A","Dates=H","DateFormat=P","Fill=—","Direction=H","UseDPDF=Y")</f>
        <v>1079.5866000000001</v>
      </c>
      <c r="AB86" s="14">
        <f>_xll.BDH("RMS FP Equity","EARN_FOR_COMMON","FY 2016","FY 2016","Currency=USD","Period=FY","BEST_FPERIOD_OVERRIDE=FY","FILING_STATUS=MR","SCALING_FORMAT=MLN","FA_ADJUSTED=GAAP","Sort=A","Dates=H","DateFormat=P","Fill=—","Direction=H","UseDPDF=Y")</f>
        <v>1217.8435999999999</v>
      </c>
      <c r="AC86" s="14">
        <f>_xll.BDH("RMS FP Equity","EARN_FOR_COMMON","FY 2017","FY 2017","Currency=USD","Period=FY","BEST_FPERIOD_OVERRIDE=FY","FILING_STATUS=MR","SCALING_FORMAT=MLN","FA_ADJUSTED=GAAP","Sort=A","Dates=H","DateFormat=P","Fill=—","Direction=H","UseDPDF=Y")</f>
        <v>1379.9546</v>
      </c>
      <c r="AD86" s="14">
        <v>1540.0740000000001</v>
      </c>
      <c r="AE86" s="14">
        <v>1659.2449999999999</v>
      </c>
    </row>
    <row r="87" spans="1:31" x14ac:dyDescent="0.25">
      <c r="A87" s="11" t="s">
        <v>65</v>
      </c>
      <c r="B87" s="11" t="s">
        <v>151</v>
      </c>
      <c r="C87" s="16" t="s">
        <v>66</v>
      </c>
      <c r="D87" s="16">
        <v>45.740276999999999</v>
      </c>
      <c r="E87" s="16">
        <v>19.296254999999999</v>
      </c>
      <c r="F87" s="16">
        <v>38.439582999999999</v>
      </c>
      <c r="G87" s="16">
        <v>38.831614999999999</v>
      </c>
      <c r="H87" s="16">
        <v>13.118812</v>
      </c>
      <c r="I87" s="16">
        <v>16.170684000000001</v>
      </c>
      <c r="J87" s="16">
        <v>10.190238000000001</v>
      </c>
      <c r="K87" s="16">
        <v>33.333333000000003</v>
      </c>
      <c r="L87" s="16">
        <v>47.179487000000002</v>
      </c>
      <c r="M87" s="16">
        <v>15.249586000000001</v>
      </c>
      <c r="N87" s="16">
        <v>6.8418460000000003</v>
      </c>
      <c r="O87" s="16">
        <v>0.60324800000000001</v>
      </c>
      <c r="P87" s="16">
        <v>-1.3376410000000001</v>
      </c>
      <c r="Q87" s="16">
        <v>15.474524000000001</v>
      </c>
      <c r="R87" s="16">
        <v>8.6639680000000006</v>
      </c>
      <c r="S87" s="16">
        <v>7.3025339999999996</v>
      </c>
      <c r="T87" s="16">
        <v>0.76388900000000004</v>
      </c>
      <c r="U87" s="16">
        <v>-0.48242600000000002</v>
      </c>
      <c r="V87" s="16">
        <v>46.018006</v>
      </c>
      <c r="W87" s="16">
        <v>40.929571000000003</v>
      </c>
      <c r="X87" s="16">
        <v>24.499410999999998</v>
      </c>
      <c r="Y87" s="16">
        <v>6.811731</v>
      </c>
      <c r="Z87" s="16">
        <v>8.6675950000000004</v>
      </c>
      <c r="AA87" s="16">
        <v>13.251048000000001</v>
      </c>
      <c r="AB87" s="16">
        <v>13.129754999999999</v>
      </c>
      <c r="AC87" s="16">
        <v>11.015178000000001</v>
      </c>
      <c r="AD87" s="16">
        <v>11.6027977358176</v>
      </c>
      <c r="AE87" s="16">
        <v>7.7380047971720902</v>
      </c>
    </row>
    <row r="88" spans="1:31" x14ac:dyDescent="0.25">
      <c r="A88" s="6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x14ac:dyDescent="0.25">
      <c r="A89" s="6" t="s">
        <v>152</v>
      </c>
      <c r="B89" s="6" t="s">
        <v>151</v>
      </c>
      <c r="C89" s="14">
        <f>_xll.BDH("RMS FP Equity","EARN_FOR_COMMON","FY 1991","FY 1991","Currency=USD","Period=FY","BEST_FPERIOD_OVERRIDE=FY","FILING_STATUS=MR","SCALING_FORMAT=MLN","FA_ADJUSTED=Adjusted","Sort=A","Dates=H","DateFormat=P","Fill=—","Direction=H","UseDPDF=Y")</f>
        <v>21.498999999999999</v>
      </c>
      <c r="D89" s="14">
        <f>_xll.BDH("RMS FP Equity","EARN_FOR_COMMON","FY 1992","FY 1992","Currency=USD","Period=FY","BEST_FPERIOD_OVERRIDE=FY","FILING_STATUS=MR","SCALING_FORMAT=MLN","FA_ADJUSTED=Adjusted","Sort=A","Dates=H","DateFormat=P","Fill=—","Direction=H","UseDPDF=Y")</f>
        <v>33.362499999999997</v>
      </c>
      <c r="E89" s="14">
        <f>_xll.BDH("RMS FP Equity","EARN_FOR_COMMON","FY 1993","FY 1993","Currency=USD","Period=FY","BEST_FPERIOD_OVERRIDE=FY","FILING_STATUS=MR","SCALING_FORMAT=MLN","FA_ADJUSTED=Adjusted","Sort=A","Dates=H","DateFormat=P","Fill=—","Direction=H","UseDPDF=Y")</f>
        <v>37.1404</v>
      </c>
      <c r="F89" s="14">
        <f>_xll.BDH("RMS FP Equity","EARN_FOR_COMMON","FY 1994","FY 1994","Currency=USD","Period=FY","BEST_FPERIOD_OVERRIDE=FY","FILING_STATUS=MR","SCALING_FORMAT=MLN","FA_ADJUSTED=Adjusted","Sort=A","Dates=H","DateFormat=P","Fill=—","Direction=H","UseDPDF=Y")</f>
        <v>52.566499999999998</v>
      </c>
      <c r="G89" s="14">
        <f>_xll.BDH("RMS FP Equity","EARN_FOR_COMMON","FY 1995","FY 1995","Currency=USD","Period=FY","BEST_FPERIOD_OVERRIDE=FY","FILING_STATUS=MR","SCALING_FORMAT=MLN","FA_ADJUSTED=Adjusted","Sort=A","Dates=H","DateFormat=P","Fill=—","Direction=H","UseDPDF=Y")</f>
        <v>81.080600000000004</v>
      </c>
      <c r="H89" s="14">
        <f>_xll.BDH("RMS FP Equity","EARN_FOR_COMMON","FY 1996","FY 1996","Currency=USD","Period=FY","BEST_FPERIOD_OVERRIDE=FY","FILING_STATUS=MR","SCALING_FORMAT=MLN","FA_ADJUSTED=Adjusted","Sort=A","Dates=H","DateFormat=P","Fill=—","Direction=H","UseDPDF=Y")</f>
        <v>89.3887</v>
      </c>
      <c r="I89" s="14">
        <f>_xll.BDH("RMS FP Equity","EARN_FOR_COMMON","FY 1997","FY 1997","Currency=USD","Period=FY","BEST_FPERIOD_OVERRIDE=FY","FILING_STATUS=MR","SCALING_FORMAT=MLN","FA_ADJUSTED=Adjusted","Sort=A","Dates=H","DateFormat=P","Fill=—","Direction=H","UseDPDF=Y")</f>
        <v>91.095699999999994</v>
      </c>
      <c r="J89" s="14">
        <f>_xll.BDH("RMS FP Equity","EARN_FOR_COMMON","FY 1998","FY 1998","Currency=USD","Period=FY","BEST_FPERIOD_OVERRIDE=FY","FILING_STATUS=MR","SCALING_FORMAT=MLN","FA_ADJUSTED=Adjusted","Sort=A","Dates=H","DateFormat=P","Fill=—","Direction=H","UseDPDF=Y")</f>
        <v>99.352699999999999</v>
      </c>
      <c r="K89" s="14">
        <f>_xll.BDH("RMS FP Equity","EARN_FOR_COMMON","FY 1999","FY 1999","Currency=USD","Period=FY","BEST_FPERIOD_OVERRIDE=FY","FILING_STATUS=MR","SCALING_FORMAT=MLN","FA_ADJUSTED=Adjusted","Sort=A","Dates=H","DateFormat=P","Fill=—","Direction=H","UseDPDF=Y")</f>
        <v>126.73650000000001</v>
      </c>
      <c r="L89" s="14">
        <f>_xll.BDH("RMS FP Equity","EARN_FOR_COMMON","FY 2000","FY 2000","Currency=USD","Period=FY","BEST_FPERIOD_OVERRIDE=FY","FILING_STATUS=MR","SCALING_FORMAT=MLN","FA_ADJUSTED=Adjusted","Sort=A","Dates=H","DateFormat=P","Fill=—","Direction=H","UseDPDF=Y")</f>
        <v>161.6199</v>
      </c>
      <c r="M89" s="14">
        <f>_xll.BDH("RMS FP Equity","EARN_FOR_COMMON","FY 2001","FY 2001","Currency=USD","Period=FY","BEST_FPERIOD_OVERRIDE=FY","FILING_STATUS=MR","SCALING_FORMAT=MLN","FA_ADJUSTED=Adjusted","Sort=A","Dates=H","DateFormat=P","Fill=—","Direction=H","UseDPDF=Y")</f>
        <v>180.64869999999999</v>
      </c>
      <c r="N89" s="14">
        <f>_xll.BDH("RMS FP Equity","EARN_FOR_COMMON","FY 2002","FY 2002","Currency=USD","Period=FY","BEST_FPERIOD_OVERRIDE=FY","FILING_STATUS=MR","SCALING_FORMAT=MLN","FA_ADJUSTED=Adjusted","Sort=A","Dates=H","DateFormat=P","Fill=—","Direction=H","UseDPDF=Y")</f>
        <v>203.81440000000001</v>
      </c>
      <c r="O89" s="14">
        <f>_xll.BDH("RMS FP Equity","EARN_FOR_COMMON","FY 2003","FY 2003","Currency=USD","Period=FY","BEST_FPERIOD_OVERRIDE=FY","FILING_STATUS=MR","SCALING_FORMAT=MLN","FA_ADJUSTED=Adjusted","Sort=A","Dates=H","DateFormat=P","Fill=—","Direction=H","UseDPDF=Y")</f>
        <v>245.5171</v>
      </c>
      <c r="P89" s="14">
        <f>_xll.BDH("RMS FP Equity","EARN_FOR_COMMON","FY 2004","FY 2004","Currency=USD","Period=FY","BEST_FPERIOD_OVERRIDE=FY","FILING_STATUS=MR","SCALING_FORMAT=MLN","FA_ADJUSTED=Adjusted","Sort=A","Dates=H","DateFormat=P","Fill=—","Direction=H","UseDPDF=Y")</f>
        <v>266.13799999999998</v>
      </c>
      <c r="Q89" s="14">
        <f>_xll.BDH("RMS FP Equity","EARN_FOR_COMMON","FY 2005","FY 2005","Currency=USD","Period=FY","BEST_FPERIOD_OVERRIDE=FY","FILING_STATUS=MR","SCALING_FORMAT=MLN","FA_ADJUSTED=Adjusted","Sort=A","Dates=H","DateFormat=P","Fill=—","Direction=H","UseDPDF=Y")</f>
        <v>307.32170000000002</v>
      </c>
      <c r="R89" s="14">
        <f>_xll.BDH("RMS FP Equity","EARN_FOR_COMMON","FY 2006","FY 2006","Currency=USD","Period=FY","BEST_FPERIOD_OVERRIDE=FY","FILING_STATUS=MR","SCALING_FORMAT=MLN","FA_ADJUSTED=Adjusted","Sort=A","Dates=H","DateFormat=P","Fill=—","Direction=H","UseDPDF=Y")</f>
        <v>337.21460000000002</v>
      </c>
      <c r="S89" s="14">
        <f>_xll.BDH("RMS FP Equity","EARN_FOR_COMMON","FY 2007","FY 2007","Currency=USD","Period=FY","BEST_FPERIOD_OVERRIDE=FY","FILING_STATUS=MR","SCALING_FORMAT=MLN","FA_ADJUSTED=Adjusted","Sort=A","Dates=H","DateFormat=P","Fill=—","Direction=H","UseDPDF=Y")</f>
        <v>394.78989999999999</v>
      </c>
      <c r="T89" s="14">
        <f>_xll.BDH("RMS FP Equity","EARN_FOR_COMMON","FY 2008","FY 2008","Currency=USD","Period=FY","BEST_FPERIOD_OVERRIDE=FY","FILING_STATUS=MR","SCALING_FORMAT=MLN","FA_ADJUSTED=Adjusted","Sort=A","Dates=H","DateFormat=P","Fill=—","Direction=H","UseDPDF=Y")</f>
        <v>426.85210000000001</v>
      </c>
      <c r="U89" s="14">
        <f>_xll.BDH("RMS FP Equity","EARN_FOR_COMMON","FY 2009","FY 2009","Currency=USD","Period=FY","BEST_FPERIOD_OVERRIDE=FY","FILING_STATUS=MR","SCALING_FORMAT=MLN","FA_ADJUSTED=Adjusted","Sort=A","Dates=H","DateFormat=P","Fill=—","Direction=H","UseDPDF=Y")</f>
        <v>405.27460000000002</v>
      </c>
      <c r="V89" s="14">
        <f>_xll.BDH("RMS FP Equity","EARN_FOR_COMMON","FY 2010","FY 2010","Currency=USD","Period=FY","BEST_FPERIOD_OVERRIDE=FY","FILING_STATUS=MR","SCALING_FORMAT=MLN","FA_ADJUSTED=Adjusted","Sort=A","Dates=H","DateFormat=P","Fill=—","Direction=H","UseDPDF=Y")</f>
        <v>562.73889999999994</v>
      </c>
      <c r="W89" s="14">
        <f>_xll.BDH("RMS FP Equity","EARN_FOR_COMMON","FY 2011","FY 2011","Currency=USD","Period=FY","BEST_FPERIOD_OVERRIDE=FY","FILING_STATUS=MR","SCALING_FORMAT=MLN","FA_ADJUSTED=Adjusted","Sort=A","Dates=H","DateFormat=P","Fill=—","Direction=H","UseDPDF=Y")</f>
        <v>829.37310000000002</v>
      </c>
      <c r="X89" s="14">
        <f>_xll.BDH("RMS FP Equity","EARN_FOR_COMMON","FY 2012","FY 2012","Currency=USD","Period=FY","BEST_FPERIOD_OVERRIDE=FY","FILING_STATUS=MR","SCALING_FORMAT=MLN","FA_ADJUSTED=Adjusted","Sort=A","Dates=H","DateFormat=P","Fill=—","Direction=H","UseDPDF=Y")</f>
        <v>960.14520000000005</v>
      </c>
      <c r="Y89" s="14">
        <f>_xll.BDH("RMS FP Equity","EARN_FOR_COMMON","FY 2013","FY 2013","Currency=USD","Period=FY","BEST_FPERIOD_OVERRIDE=FY","FILING_STATUS=MR","SCALING_FORMAT=MLN","FA_ADJUSTED=Adjusted","Sort=A","Dates=H","DateFormat=P","Fill=—","Direction=H","UseDPDF=Y")</f>
        <v>1075.114</v>
      </c>
      <c r="Z89" s="14">
        <f>_xll.BDH("RMS FP Equity","EARN_FOR_COMMON","FY 2014","FY 2014","Currency=USD","Period=FY","BEST_FPERIOD_OVERRIDE=FY","FILING_STATUS=MR","SCALING_FORMAT=MLN","FA_ADJUSTED=Adjusted","Sort=A","Dates=H","DateFormat=P","Fill=—","Direction=H","UseDPDF=Y")</f>
        <v>1168.8389999999999</v>
      </c>
      <c r="AA89" s="14">
        <f>_xll.BDH("RMS FP Equity","EARN_FOR_COMMON","FY 2015","FY 2015","Currency=USD","Period=FY","BEST_FPERIOD_OVERRIDE=FY","FILING_STATUS=MR","SCALING_FORMAT=MLN","FA_ADJUSTED=Adjusted","Sort=A","Dates=H","DateFormat=P","Fill=—","Direction=H","UseDPDF=Y")</f>
        <v>1100.1394</v>
      </c>
      <c r="AB89" s="14">
        <f>_xll.BDH("RMS FP Equity","EARN_FOR_COMMON","FY 2016","FY 2016","Currency=USD","Period=FY","BEST_FPERIOD_OVERRIDE=FY","FILING_STATUS=MR","SCALING_FORMAT=MLN","FA_ADJUSTED=Adjusted","Sort=A","Dates=H","DateFormat=P","Fill=—","Direction=H","UseDPDF=Y")</f>
        <v>1224.5235</v>
      </c>
      <c r="AC89" s="14">
        <f>_xll.BDH("RMS FP Equity","EARN_FOR_COMMON","FY 2017","FY 2017","Currency=USD","Period=FY","BEST_FPERIOD_OVERRIDE=FY","FILING_STATUS=MR","SCALING_FORMAT=MLN","FA_ADJUSTED=Adjusted","Sort=A","Dates=H","DateFormat=P","Fill=—","Direction=H","UseDPDF=Y")</f>
        <v>1411.0065</v>
      </c>
      <c r="AD89" s="14">
        <v>1537.4059999999999</v>
      </c>
      <c r="AE89" s="14">
        <v>1672.885</v>
      </c>
    </row>
    <row r="90" spans="1:31" x14ac:dyDescent="0.25">
      <c r="A90" s="11" t="s">
        <v>65</v>
      </c>
      <c r="B90" s="11" t="s">
        <v>151</v>
      </c>
      <c r="C90" s="16" t="s">
        <v>66</v>
      </c>
      <c r="D90" s="16">
        <v>45.740276999999999</v>
      </c>
      <c r="E90" s="16">
        <v>19.296254999999999</v>
      </c>
      <c r="F90" s="16">
        <v>38.439582999999999</v>
      </c>
      <c r="G90" s="16">
        <v>38.831614999999999</v>
      </c>
      <c r="H90" s="16">
        <v>13.118812</v>
      </c>
      <c r="I90" s="16">
        <v>16.170684000000001</v>
      </c>
      <c r="J90" s="16">
        <v>10.190238000000001</v>
      </c>
      <c r="K90" s="16">
        <v>33.333333000000003</v>
      </c>
      <c r="L90" s="16">
        <v>47.179487000000002</v>
      </c>
      <c r="M90" s="16">
        <v>15.249586000000001</v>
      </c>
      <c r="N90" s="16">
        <v>6.8418460000000003</v>
      </c>
      <c r="O90" s="16">
        <v>0.60324800000000001</v>
      </c>
      <c r="P90" s="16">
        <v>-1.3376410000000001</v>
      </c>
      <c r="Q90" s="16">
        <v>15.474524000000001</v>
      </c>
      <c r="R90" s="16">
        <v>8.6639680000000006</v>
      </c>
      <c r="S90" s="16">
        <v>7.3025339999999996</v>
      </c>
      <c r="T90" s="16">
        <v>0.76388900000000004</v>
      </c>
      <c r="U90" s="16">
        <v>0.15051700000000001</v>
      </c>
      <c r="V90" s="16">
        <v>45.952886999999997</v>
      </c>
      <c r="W90" s="16">
        <v>40.417729999999999</v>
      </c>
      <c r="X90" s="16">
        <v>25.358626000000001</v>
      </c>
      <c r="Y90" s="16">
        <v>8.3964730000000003</v>
      </c>
      <c r="Z90" s="16">
        <v>8.7034090000000006</v>
      </c>
      <c r="AA90" s="16">
        <v>12.648835999999999</v>
      </c>
      <c r="AB90" s="16">
        <v>11.625197999999999</v>
      </c>
      <c r="AC90" s="16">
        <v>12.894031</v>
      </c>
      <c r="AD90" s="16">
        <v>8.9576746967767296</v>
      </c>
      <c r="AE90" s="16">
        <v>8.8121810374097702</v>
      </c>
    </row>
    <row r="91" spans="1:31" x14ac:dyDescent="0.25">
      <c r="A91" s="10" t="s">
        <v>153</v>
      </c>
      <c r="B91" s="10" t="s">
        <v>154</v>
      </c>
      <c r="C91" s="12" t="str">
        <f>_xll.BDH("RMS FP Equity","IS_NET_ABNORMAL_ITEMS","FY 1991","FY 1991","Currency=USD","Period=FY","BEST_FPERIOD_OVERRIDE=FY","FILING_STATUS=MR","SCALING_FORMAT=MLN","Sort=A","Dates=H","DateFormat=P","Fill=—","Direction=H","UseDPDF=Y")</f>
        <v>—</v>
      </c>
      <c r="D91" s="12" t="str">
        <f>_xll.BDH("RMS FP Equity","IS_NET_ABNORMAL_ITEMS","FY 1992","FY 1992","Currency=USD","Period=FY","BEST_FPERIOD_OVERRIDE=FY","FILING_STATUS=MR","SCALING_FORMAT=MLN","Sort=A","Dates=H","DateFormat=P","Fill=—","Direction=H","UseDPDF=Y")</f>
        <v>—</v>
      </c>
      <c r="E91" s="12" t="str">
        <f>_xll.BDH("RMS FP Equity","IS_NET_ABNORMAL_ITEMS","FY 1993","FY 1993","Currency=USD","Period=FY","BEST_FPERIOD_OVERRIDE=FY","FILING_STATUS=MR","SCALING_FORMAT=MLN","Sort=A","Dates=H","DateFormat=P","Fill=—","Direction=H","UseDPDF=Y")</f>
        <v>—</v>
      </c>
      <c r="F91" s="12" t="str">
        <f>_xll.BDH("RMS FP Equity","IS_NET_ABNORMAL_ITEMS","FY 1994","FY 1994","Currency=USD","Period=FY","BEST_FPERIOD_OVERRIDE=FY","FILING_STATUS=MR","SCALING_FORMAT=MLN","Sort=A","Dates=H","DateFormat=P","Fill=—","Direction=H","UseDPDF=Y")</f>
        <v>—</v>
      </c>
      <c r="G91" s="12" t="str">
        <f>_xll.BDH("RMS FP Equity","IS_NET_ABNORMAL_ITEMS","FY 1995","FY 1995","Currency=USD","Period=FY","BEST_FPERIOD_OVERRIDE=FY","FILING_STATUS=MR","SCALING_FORMAT=MLN","Sort=A","Dates=H","DateFormat=P","Fill=—","Direction=H","UseDPDF=Y")</f>
        <v>—</v>
      </c>
      <c r="H91" s="12" t="str">
        <f>_xll.BDH("RMS FP Equity","IS_NET_ABNORMAL_ITEMS","FY 1996","FY 1996","Currency=USD","Period=FY","BEST_FPERIOD_OVERRIDE=FY","FILING_STATUS=MR","SCALING_FORMAT=MLN","Sort=A","Dates=H","DateFormat=P","Fill=—","Direction=H","UseDPDF=Y")</f>
        <v>—</v>
      </c>
      <c r="I91" s="12" t="str">
        <f>_xll.BDH("RMS FP Equity","IS_NET_ABNORMAL_ITEMS","FY 1997","FY 1997","Currency=USD","Period=FY","BEST_FPERIOD_OVERRIDE=FY","FILING_STATUS=MR","SCALING_FORMAT=MLN","Sort=A","Dates=H","DateFormat=P","Fill=—","Direction=H","UseDPDF=Y")</f>
        <v>—</v>
      </c>
      <c r="J91" s="12" t="str">
        <f>_xll.BDH("RMS FP Equity","IS_NET_ABNORMAL_ITEMS","FY 1998","FY 1998","Currency=USD","Period=FY","BEST_FPERIOD_OVERRIDE=FY","FILING_STATUS=MR","SCALING_FORMAT=MLN","Sort=A","Dates=H","DateFormat=P","Fill=—","Direction=H","UseDPDF=Y")</f>
        <v>—</v>
      </c>
      <c r="K91" s="12" t="str">
        <f>_xll.BDH("RMS FP Equity","IS_NET_ABNORMAL_ITEMS","FY 1999","FY 1999","Currency=USD","Period=FY","BEST_FPERIOD_OVERRIDE=FY","FILING_STATUS=MR","SCALING_FORMAT=MLN","Sort=A","Dates=H","DateFormat=P","Fill=—","Direction=H","UseDPDF=Y")</f>
        <v>—</v>
      </c>
      <c r="L91" s="12" t="str">
        <f>_xll.BDH("RMS FP Equity","IS_NET_ABNORMAL_ITEMS","FY 2000","FY 2000","Currency=USD","Period=FY","BEST_FPERIOD_OVERRIDE=FY","FILING_STATUS=MR","SCALING_FORMAT=MLN","Sort=A","Dates=H","DateFormat=P","Fill=—","Direction=H","UseDPDF=Y")</f>
        <v>—</v>
      </c>
      <c r="M91" s="12" t="str">
        <f>_xll.BDH("RMS FP Equity","IS_NET_ABNORMAL_ITEMS","FY 2001","FY 2001","Currency=USD","Period=FY","BEST_FPERIOD_OVERRIDE=FY","FILING_STATUS=MR","SCALING_FORMAT=MLN","Sort=A","Dates=H","DateFormat=P","Fill=—","Direction=H","UseDPDF=Y")</f>
        <v>—</v>
      </c>
      <c r="N91" s="12" t="str">
        <f>_xll.BDH("RMS FP Equity","IS_NET_ABNORMAL_ITEMS","FY 2002","FY 2002","Currency=USD","Period=FY","BEST_FPERIOD_OVERRIDE=FY","FILING_STATUS=MR","SCALING_FORMAT=MLN","Sort=A","Dates=H","DateFormat=P","Fill=—","Direction=H","UseDPDF=Y")</f>
        <v>—</v>
      </c>
      <c r="O91" s="12" t="str">
        <f>_xll.BDH("RMS FP Equity","IS_NET_ABNORMAL_ITEMS","FY 2003","FY 2003","Currency=USD","Period=FY","BEST_FPERIOD_OVERRIDE=FY","FILING_STATUS=MR","SCALING_FORMAT=MLN","Sort=A","Dates=H","DateFormat=P","Fill=—","Direction=H","UseDPDF=Y")</f>
        <v>—</v>
      </c>
      <c r="P91" s="12" t="str">
        <f>_xll.BDH("RMS FP Equity","IS_NET_ABNORMAL_ITEMS","FY 2004","FY 2004","Currency=USD","Period=FY","BEST_FPERIOD_OVERRIDE=FY","FILING_STATUS=MR","SCALING_FORMAT=MLN","Sort=A","Dates=H","DateFormat=P","Fill=—","Direction=H","UseDPDF=Y")</f>
        <v>—</v>
      </c>
      <c r="Q91" s="12" t="str">
        <f>_xll.BDH("RMS FP Equity","IS_NET_ABNORMAL_ITEMS","FY 2005","FY 2005","Currency=USD","Period=FY","BEST_FPERIOD_OVERRIDE=FY","FILING_STATUS=MR","SCALING_FORMAT=MLN","Sort=A","Dates=H","DateFormat=P","Fill=—","Direction=H","UseDPDF=Y")</f>
        <v>—</v>
      </c>
      <c r="R91" s="12" t="str">
        <f>_xll.BDH("RMS FP Equity","IS_NET_ABNORMAL_ITEMS","FY 2006","FY 2006","Currency=USD","Period=FY","BEST_FPERIOD_OVERRIDE=FY","FILING_STATUS=MR","SCALING_FORMAT=MLN","Sort=A","Dates=H","DateFormat=P","Fill=—","Direction=H","UseDPDF=Y")</f>
        <v>—</v>
      </c>
      <c r="S91" s="12" t="str">
        <f>_xll.BDH("RMS FP Equity","IS_NET_ABNORMAL_ITEMS","FY 2007","FY 2007","Currency=USD","Period=FY","BEST_FPERIOD_OVERRIDE=FY","FILING_STATUS=MR","SCALING_FORMAT=MLN","Sort=A","Dates=H","DateFormat=P","Fill=—","Direction=H","UseDPDF=Y")</f>
        <v>—</v>
      </c>
      <c r="T91" s="12">
        <f>_xll.BDH("RMS FP Equity","IS_NET_ABNORMAL_ITEMS","FY 2008","FY 2008","Currency=USD","Period=FY","BEST_FPERIOD_OVERRIDE=FY","FILING_STATUS=MR","SCALING_FORMAT=MLN","Sort=A","Dates=H","DateFormat=P","Fill=—","Direction=H","UseDPDF=Y")</f>
        <v>28.991599999999998</v>
      </c>
      <c r="U91" s="12">
        <f>_xll.BDH("RMS FP Equity","IS_NET_ABNORMAL_ITEMS","FY 2009","FY 2009","Currency=USD","Period=FY","BEST_FPERIOD_OVERRIDE=FY","FILING_STATUS=MR","SCALING_FORMAT=MLN","Sort=A","Dates=H","DateFormat=P","Fill=—","Direction=H","UseDPDF=Y")</f>
        <v>2.5613000000000001</v>
      </c>
      <c r="V91" s="12">
        <f>_xll.BDH("RMS FP Equity","IS_NET_ABNORMAL_ITEMS","FY 2010","FY 2010","Currency=USD","Period=FY","BEST_FPERIOD_OVERRIDE=FY","FILING_STATUS=MR","SCALING_FORMAT=MLN","Sort=A","Dates=H","DateFormat=P","Fill=—","Direction=H","UseDPDF=Y")</f>
        <v>3.3069999999999999</v>
      </c>
      <c r="W91" s="12">
        <f>_xll.BDH("RMS FP Equity","IS_NET_ABNORMAL_ITEMS","FY 2011","FY 2011","Currency=USD","Period=FY","BEST_FPERIOD_OVERRIDE=FY","FILING_STATUS=MR","SCALING_FORMAT=MLN","Sort=A","Dates=H","DateFormat=P","Fill=—","Direction=H","UseDPDF=Y")</f>
        <v>1.8685</v>
      </c>
      <c r="X91" s="12">
        <f>_xll.BDH("RMS FP Equity","IS_NET_ABNORMAL_ITEMS","FY 2012","FY 2012","Currency=USD","Period=FY","BEST_FPERIOD_OVERRIDE=FY","FILING_STATUS=MR","SCALING_FORMAT=MLN","Sort=A","Dates=H","DateFormat=P","Fill=—","Direction=H","UseDPDF=Y")</f>
        <v>8.7291000000000007</v>
      </c>
      <c r="Y91" s="12">
        <f>_xll.BDH("RMS FP Equity","IS_NET_ABNORMAL_ITEMS","FY 2013","FY 2013","Currency=USD","Period=FY","BEST_FPERIOD_OVERRIDE=FY","FILING_STATUS=MR","SCALING_FORMAT=MLN","Sort=A","Dates=H","DateFormat=P","Fill=—","Direction=H","UseDPDF=Y")</f>
        <v>25.349499999999999</v>
      </c>
      <c r="Z91" s="12">
        <f>_xll.BDH("RMS FP Equity","IS_NET_ABNORMAL_ITEMS","FY 2014","FY 2014","Currency=USD","Period=FY","BEST_FPERIOD_OVERRIDE=FY","FILING_STATUS=MR","SCALING_FORMAT=MLN","Sort=A","Dates=H","DateFormat=P","Fill=—","Direction=H","UseDPDF=Y")</f>
        <v>27.935400000000001</v>
      </c>
      <c r="AA91" s="12">
        <f>_xll.BDH("RMS FP Equity","IS_NET_ABNORMAL_ITEMS","FY 2015","FY 2015","Currency=USD","Period=FY","BEST_FPERIOD_OVERRIDE=FY","FILING_STATUS=MR","SCALING_FORMAT=MLN","Sort=A","Dates=H","DateFormat=P","Fill=—","Direction=H","UseDPDF=Y")</f>
        <v>20.552800000000001</v>
      </c>
      <c r="AB91" s="12">
        <f>_xll.BDH("RMS FP Equity","IS_NET_ABNORMAL_ITEMS","FY 2016","FY 2016","Currency=USD","Period=FY","BEST_FPERIOD_OVERRIDE=FY","FILING_STATUS=MR","SCALING_FORMAT=MLN","Sort=A","Dates=H","DateFormat=P","Fill=—","Direction=H","UseDPDF=Y")</f>
        <v>6.6798999999999999</v>
      </c>
      <c r="AC91" s="12">
        <f>_xll.BDH("RMS FP Equity","IS_NET_ABNORMAL_ITEMS","FY 2017","FY 2017","Currency=USD","Period=FY","BEST_FPERIOD_OVERRIDE=FY","FILING_STATUS=MR","SCALING_FORMAT=MLN","Sort=A","Dates=H","DateFormat=P","Fill=—","Direction=H","UseDPDF=Y")</f>
        <v>31.052</v>
      </c>
      <c r="AD91" s="12"/>
      <c r="AE91" s="12"/>
    </row>
    <row r="92" spans="1:31" x14ac:dyDescent="0.25">
      <c r="A92" s="11" t="s">
        <v>65</v>
      </c>
      <c r="B92" s="11" t="s">
        <v>154</v>
      </c>
      <c r="C92" s="16" t="s">
        <v>66</v>
      </c>
      <c r="D92" s="16" t="s">
        <v>66</v>
      </c>
      <c r="E92" s="16" t="s">
        <v>66</v>
      </c>
      <c r="F92" s="16" t="s">
        <v>66</v>
      </c>
      <c r="G92" s="16" t="s">
        <v>66</v>
      </c>
      <c r="H92" s="16" t="s">
        <v>66</v>
      </c>
      <c r="I92" s="16" t="s">
        <v>66</v>
      </c>
      <c r="J92" s="16" t="s">
        <v>66</v>
      </c>
      <c r="K92" s="16" t="s">
        <v>66</v>
      </c>
      <c r="L92" s="16" t="s">
        <v>66</v>
      </c>
      <c r="M92" s="16" t="s">
        <v>66</v>
      </c>
      <c r="N92" s="16" t="s">
        <v>66</v>
      </c>
      <c r="O92" s="16" t="s">
        <v>66</v>
      </c>
      <c r="P92" s="16" t="s">
        <v>66</v>
      </c>
      <c r="Q92" s="16" t="s">
        <v>66</v>
      </c>
      <c r="R92" s="16" t="s">
        <v>66</v>
      </c>
      <c r="S92" s="16" t="s">
        <v>66</v>
      </c>
      <c r="T92" s="16" t="s">
        <v>66</v>
      </c>
      <c r="U92" s="16">
        <v>-91.165371027367598</v>
      </c>
      <c r="V92" s="16">
        <v>29.113134301669401</v>
      </c>
      <c r="W92" s="16">
        <v>-43.499317805753698</v>
      </c>
      <c r="X92" s="16">
        <v>367.18245574974998</v>
      </c>
      <c r="Y92" s="16">
        <v>190.40130661270501</v>
      </c>
      <c r="Z92" s="16">
        <v>10.201070828743299</v>
      </c>
      <c r="AA92" s="16">
        <v>-26.427111532272502</v>
      </c>
      <c r="AB92" s="16">
        <v>-67.498733513045096</v>
      </c>
      <c r="AC92" s="16">
        <v>364.854629325514</v>
      </c>
      <c r="AD92" s="16"/>
      <c r="AE92" s="16"/>
    </row>
    <row r="93" spans="1:31" x14ac:dyDescent="0.25">
      <c r="A93" s="10" t="s">
        <v>155</v>
      </c>
      <c r="B93" s="10" t="s">
        <v>135</v>
      </c>
      <c r="C93" s="12">
        <f>_xll.BDH("RMS FP Equity","XO_GL_NET_OF_TAX","FY 1991","FY 1991","Currency=USD","Period=FY","BEST_FPERIOD_OVERRIDE=FY","FILING_STATUS=MR","SCALING_FORMAT=MLN","Sort=A","Dates=H","DateFormat=P","Fill=—","Direction=H","UseDPDF=Y")</f>
        <v>0</v>
      </c>
      <c r="D93" s="12">
        <f>_xll.BDH("RMS FP Equity","XO_GL_NET_OF_TAX","FY 1992","FY 1992","Currency=USD","Period=FY","BEST_FPERIOD_OVERRIDE=FY","FILING_STATUS=MR","SCALING_FORMAT=MLN","Sort=A","Dates=H","DateFormat=P","Fill=—","Direction=H","UseDPDF=Y")</f>
        <v>0</v>
      </c>
      <c r="E93" s="12">
        <f>_xll.BDH("RMS FP Equity","XO_GL_NET_OF_TAX","FY 1993","FY 1993","Currency=USD","Period=FY","BEST_FPERIOD_OVERRIDE=FY","FILING_STATUS=MR","SCALING_FORMAT=MLN","Sort=A","Dates=H","DateFormat=P","Fill=—","Direction=H","UseDPDF=Y")</f>
        <v>0</v>
      </c>
      <c r="F93" s="12">
        <f>_xll.BDH("RMS FP Equity","XO_GL_NET_OF_TAX","FY 1994","FY 1994","Currency=USD","Period=FY","BEST_FPERIOD_OVERRIDE=FY","FILING_STATUS=MR","SCALING_FORMAT=MLN","Sort=A","Dates=H","DateFormat=P","Fill=—","Direction=H","UseDPDF=Y")</f>
        <v>0</v>
      </c>
      <c r="G93" s="12">
        <f>_xll.BDH("RMS FP Equity","XO_GL_NET_OF_TAX","FY 1995","FY 1995","Currency=USD","Period=FY","BEST_FPERIOD_OVERRIDE=FY","FILING_STATUS=MR","SCALING_FORMAT=MLN","Sort=A","Dates=H","DateFormat=P","Fill=—","Direction=H","UseDPDF=Y")</f>
        <v>0</v>
      </c>
      <c r="H93" s="12">
        <f>_xll.BDH("RMS FP Equity","XO_GL_NET_OF_TAX","FY 1996","FY 1996","Currency=USD","Period=FY","BEST_FPERIOD_OVERRIDE=FY","FILING_STATUS=MR","SCALING_FORMAT=MLN","Sort=A","Dates=H","DateFormat=P","Fill=—","Direction=H","UseDPDF=Y")</f>
        <v>0</v>
      </c>
      <c r="I93" s="12">
        <f>_xll.BDH("RMS FP Equity","XO_GL_NET_OF_TAX","FY 1997","FY 1997","Currency=USD","Period=FY","BEST_FPERIOD_OVERRIDE=FY","FILING_STATUS=MR","SCALING_FORMAT=MLN","Sort=A","Dates=H","DateFormat=P","Fill=—","Direction=H","UseDPDF=Y")</f>
        <v>0</v>
      </c>
      <c r="J93" s="12">
        <f>_xll.BDH("RMS FP Equity","XO_GL_NET_OF_TAX","FY 1998","FY 1998","Currency=USD","Period=FY","BEST_FPERIOD_OVERRIDE=FY","FILING_STATUS=MR","SCALING_FORMAT=MLN","Sort=A","Dates=H","DateFormat=P","Fill=—","Direction=H","UseDPDF=Y")</f>
        <v>0</v>
      </c>
      <c r="K93" s="12">
        <f>_xll.BDH("RMS FP Equity","XO_GL_NET_OF_TAX","FY 1999","FY 1999","Currency=USD","Period=FY","BEST_FPERIOD_OVERRIDE=FY","FILING_STATUS=MR","SCALING_FORMAT=MLN","Sort=A","Dates=H","DateFormat=P","Fill=—","Direction=H","UseDPDF=Y")</f>
        <v>0</v>
      </c>
      <c r="L93" s="12">
        <f>_xll.BDH("RMS FP Equity","XO_GL_NET_OF_TAX","FY 2000","FY 2000","Currency=USD","Period=FY","BEST_FPERIOD_OVERRIDE=FY","FILING_STATUS=MR","SCALING_FORMAT=MLN","Sort=A","Dates=H","DateFormat=P","Fill=—","Direction=H","UseDPDF=Y")</f>
        <v>0</v>
      </c>
      <c r="M93" s="12">
        <f>_xll.BDH("RMS FP Equity","XO_GL_NET_OF_TAX","FY 2001","FY 2001","Currency=USD","Period=FY","BEST_FPERIOD_OVERRIDE=FY","FILING_STATUS=MR","SCALING_FORMAT=MLN","Sort=A","Dates=H","DateFormat=P","Fill=—","Direction=H","UseDPDF=Y")</f>
        <v>0</v>
      </c>
      <c r="N93" s="12">
        <f>_xll.BDH("RMS FP Equity","XO_GL_NET_OF_TAX","FY 2002","FY 2002","Currency=USD","Period=FY","BEST_FPERIOD_OVERRIDE=FY","FILING_STATUS=MR","SCALING_FORMAT=MLN","Sort=A","Dates=H","DateFormat=P","Fill=—","Direction=H","UseDPDF=Y")</f>
        <v>0</v>
      </c>
      <c r="O93" s="12">
        <f>_xll.BDH("RMS FP Equity","XO_GL_NET_OF_TAX","FY 2003","FY 2003","Currency=USD","Period=FY","BEST_FPERIOD_OVERRIDE=FY","FILING_STATUS=MR","SCALING_FORMAT=MLN","Sort=A","Dates=H","DateFormat=P","Fill=—","Direction=H","UseDPDF=Y")</f>
        <v>0</v>
      </c>
      <c r="P93" s="12">
        <f>_xll.BDH("RMS FP Equity","XO_GL_NET_OF_TAX","FY 2004","FY 2004","Currency=USD","Period=FY","BEST_FPERIOD_OVERRIDE=FY","FILING_STATUS=MR","SCALING_FORMAT=MLN","Sort=A","Dates=H","DateFormat=P","Fill=—","Direction=H","UseDPDF=Y")</f>
        <v>0</v>
      </c>
      <c r="Q93" s="12">
        <f>_xll.BDH("RMS FP Equity","XO_GL_NET_OF_TAX","FY 2005","FY 2005","Currency=USD","Period=FY","BEST_FPERIOD_OVERRIDE=FY","FILING_STATUS=MR","SCALING_FORMAT=MLN","Sort=A","Dates=H","DateFormat=P","Fill=—","Direction=H","UseDPDF=Y")</f>
        <v>0</v>
      </c>
      <c r="R93" s="12" t="str">
        <f>_xll.BDH("RMS FP Equity","XO_GL_NET_OF_TAX","FY 2006","FY 2006","Currency=USD","Period=FY","BEST_FPERIOD_OVERRIDE=FY","FILING_STATUS=MR","SCALING_FORMAT=MLN","Sort=A","Dates=H","DateFormat=P","Fill=—","Direction=H","UseDPDF=Y")</f>
        <v>—</v>
      </c>
      <c r="S93" s="12">
        <f>_xll.BDH("RMS FP Equity","XO_GL_NET_OF_TAX","FY 2007","FY 2007","Currency=USD","Period=FY","BEST_FPERIOD_OVERRIDE=FY","FILING_STATUS=MR","SCALING_FORMAT=MLN","Sort=A","Dates=H","DateFormat=P","Fill=—","Direction=H","UseDPDF=Y")</f>
        <v>0</v>
      </c>
      <c r="T93" s="12">
        <f>_xll.BDH("RMS FP Equity","XO_GL_NET_OF_TAX","FY 2008","FY 2008","Currency=USD","Period=FY","BEST_FPERIOD_OVERRIDE=FY","FILING_STATUS=MR","SCALING_FORMAT=MLN","Sort=A","Dates=H","DateFormat=P","Fill=—","Direction=H","UseDPDF=Y")</f>
        <v>0</v>
      </c>
      <c r="U93" s="12">
        <f>_xll.BDH("RMS FP Equity","XO_GL_NET_OF_TAX","FY 2009","FY 2009","Currency=USD","Period=FY","BEST_FPERIOD_OVERRIDE=FY","FILING_STATUS=MR","SCALING_FORMAT=MLN","Sort=A","Dates=H","DateFormat=P","Fill=—","Direction=H","UseDPDF=Y")</f>
        <v>0</v>
      </c>
      <c r="V93" s="12">
        <f>_xll.BDH("RMS FP Equity","XO_GL_NET_OF_TAX","FY 2010","FY 2010","Currency=USD","Period=FY","BEST_FPERIOD_OVERRIDE=FY","FILING_STATUS=MR","SCALING_FORMAT=MLN","Sort=A","Dates=H","DateFormat=P","Fill=—","Direction=H","UseDPDF=Y")</f>
        <v>0</v>
      </c>
      <c r="W93" s="12">
        <f>_xll.BDH("RMS FP Equity","XO_GL_NET_OF_TAX","FY 2011","FY 2011","Currency=USD","Period=FY","BEST_FPERIOD_OVERRIDE=FY","FILING_STATUS=MR","SCALING_FORMAT=MLN","Sort=A","Dates=H","DateFormat=P","Fill=—","Direction=H","UseDPDF=Y")</f>
        <v>0</v>
      </c>
      <c r="X93" s="12">
        <f>_xll.BDH("RMS FP Equity","XO_GL_NET_OF_TAX","FY 2012","FY 2012","Currency=USD","Period=FY","BEST_FPERIOD_OVERRIDE=FY","FILING_STATUS=MR","SCALING_FORMAT=MLN","Sort=A","Dates=H","DateFormat=P","Fill=—","Direction=H","UseDPDF=Y")</f>
        <v>0</v>
      </c>
      <c r="Y93" s="12">
        <f>_xll.BDH("RMS FP Equity","XO_GL_NET_OF_TAX","FY 2013","FY 2013","Currency=USD","Period=FY","BEST_FPERIOD_OVERRIDE=FY","FILING_STATUS=MR","SCALING_FORMAT=MLN","Sort=A","Dates=H","DateFormat=P","Fill=—","Direction=H","UseDPDF=Y")</f>
        <v>0</v>
      </c>
      <c r="Z93" s="12">
        <f>_xll.BDH("RMS FP Equity","XO_GL_NET_OF_TAX","FY 2014","FY 2014","Currency=USD","Period=FY","BEST_FPERIOD_OVERRIDE=FY","FILING_STATUS=MR","SCALING_FORMAT=MLN","Sort=A","Dates=H","DateFormat=P","Fill=—","Direction=H","UseDPDF=Y")</f>
        <v>0</v>
      </c>
      <c r="AA93" s="12">
        <f>_xll.BDH("RMS FP Equity","XO_GL_NET_OF_TAX","FY 2015","FY 2015","Currency=USD","Period=FY","BEST_FPERIOD_OVERRIDE=FY","FILING_STATUS=MR","SCALING_FORMAT=MLN","Sort=A","Dates=H","DateFormat=P","Fill=—","Direction=H","UseDPDF=Y")</f>
        <v>0</v>
      </c>
      <c r="AB93" s="12">
        <f>_xll.BDH("RMS FP Equity","XO_GL_NET_OF_TAX","FY 2016","FY 2016","Currency=USD","Period=FY","BEST_FPERIOD_OVERRIDE=FY","FILING_STATUS=MR","SCALING_FORMAT=MLN","Sort=A","Dates=H","DateFormat=P","Fill=—","Direction=H","UseDPDF=Y")</f>
        <v>0</v>
      </c>
      <c r="AC93" s="12">
        <f>_xll.BDH("RMS FP Equity","XO_GL_NET_OF_TAX","FY 2017","FY 2017","Currency=USD","Period=FY","BEST_FPERIOD_OVERRIDE=FY","FILING_STATUS=MR","SCALING_FORMAT=MLN","Sort=A","Dates=H","DateFormat=P","Fill=—","Direction=H","UseDPDF=Y")</f>
        <v>0</v>
      </c>
      <c r="AD93" s="12"/>
      <c r="AE93" s="12"/>
    </row>
    <row r="94" spans="1:31" x14ac:dyDescent="0.25">
      <c r="A94" s="6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x14ac:dyDescent="0.25">
      <c r="A95" s="10" t="s">
        <v>156</v>
      </c>
      <c r="B95" s="10" t="s">
        <v>157</v>
      </c>
      <c r="C95" s="12">
        <f>_xll.BDH("RMS FP Equity","IS_AVG_NUM_SH_FOR_EPS","FY 1991","FY 1991","Currency=USD","Period=FY","BEST_FPERIOD_OVERRIDE=FY","FILING_STATUS=MR","Sort=A","Dates=H","DateFormat=P","Fill=—","Direction=H","UseDPDF=Y")</f>
        <v>3.51</v>
      </c>
      <c r="D95" s="12">
        <f>_xll.BDH("RMS FP Equity","IS_AVG_NUM_SH_FOR_EPS","FY 1992","FY 1992","Currency=USD","Period=FY","BEST_FPERIOD_OVERRIDE=FY","FILING_STATUS=MR","Sort=A","Dates=H","DateFormat=P","Fill=—","Direction=H","UseDPDF=Y")</f>
        <v>3.51</v>
      </c>
      <c r="E95" s="12">
        <f>_xll.BDH("RMS FP Equity","IS_AVG_NUM_SH_FOR_EPS","FY 1993","FY 1993","Currency=USD","Period=FY","BEST_FPERIOD_OVERRIDE=FY","FILING_STATUS=MR","Sort=A","Dates=H","DateFormat=P","Fill=—","Direction=H","UseDPDF=Y")</f>
        <v>56.484000000000002</v>
      </c>
      <c r="F95" s="12">
        <f>_xll.BDH("RMS FP Equity","IS_AVG_NUM_SH_FOR_EPS","FY 1994","FY 1994","Currency=USD","Period=FY","BEST_FPERIOD_OVERRIDE=FY","FILING_STATUS=MR","Sort=A","Dates=H","DateFormat=P","Fill=—","Direction=H","UseDPDF=Y")</f>
        <v>109.548</v>
      </c>
      <c r="G95" s="12">
        <f>_xll.BDH("RMS FP Equity","IS_AVG_NUM_SH_FOR_EPS","FY 1995","FY 1995","Currency=USD","Period=FY","BEST_FPERIOD_OVERRIDE=FY","FILING_STATUS=MR","Sort=A","Dates=H","DateFormat=P","Fill=—","Direction=H","UseDPDF=Y")</f>
        <v>109.72799999999999</v>
      </c>
      <c r="H95" s="12">
        <f>_xll.BDH("RMS FP Equity","IS_AVG_NUM_SH_FOR_EPS","FY 1996","FY 1996","Currency=USD","Period=FY","BEST_FPERIOD_OVERRIDE=FY","FILING_STATUS=MR","Sort=A","Dates=H","DateFormat=P","Fill=—","Direction=H","UseDPDF=Y")</f>
        <v>109.962</v>
      </c>
      <c r="I95" s="12">
        <f>_xll.BDH("RMS FP Equity","IS_AVG_NUM_SH_FOR_EPS","FY 1997","FY 1997","Currency=USD","Period=FY","BEST_FPERIOD_OVERRIDE=FY","FILING_STATUS=MR","Sort=A","Dates=H","DateFormat=P","Fill=—","Direction=H","UseDPDF=Y")</f>
        <v>110.16</v>
      </c>
      <c r="J95" s="12">
        <f>_xll.BDH("RMS FP Equity","IS_AVG_NUM_SH_FOR_EPS","FY 1998","FY 1998","Currency=USD","Period=FY","BEST_FPERIOD_OVERRIDE=FY","FILING_STATUS=MR","Sort=A","Dates=H","DateFormat=P","Fill=—","Direction=H","UseDPDF=Y")</f>
        <v>110.304</v>
      </c>
      <c r="K95" s="12">
        <f>_xll.BDH("RMS FP Equity","IS_AVG_NUM_SH_FOR_EPS","FY 1999","FY 1999","Currency=USD","Period=FY","BEST_FPERIOD_OVERRIDE=FY","FILING_STATUS=MR","Sort=A","Dates=H","DateFormat=P","Fill=—","Direction=H","UseDPDF=Y")</f>
        <v>110.44199999999999</v>
      </c>
      <c r="L95" s="12">
        <f>_xll.BDH("RMS FP Equity","IS_AVG_NUM_SH_FOR_EPS","FY 2000","FY 2000","Currency=USD","Period=FY","BEST_FPERIOD_OVERRIDE=FY","FILING_STATUS=MR","Sort=A","Dates=H","DateFormat=P","Fill=—","Direction=H","UseDPDF=Y")</f>
        <v>110.172</v>
      </c>
      <c r="M95" s="12">
        <f>_xll.BDH("RMS FP Equity","IS_AVG_NUM_SH_FOR_EPS","FY 2001","FY 2001","Currency=USD","Period=FY","BEST_FPERIOD_OVERRIDE=FY","FILING_STATUS=MR","Sort=A","Dates=H","DateFormat=P","Fill=—","Direction=H","UseDPDF=Y")</f>
        <v>109.869</v>
      </c>
      <c r="N95" s="12">
        <f>_xll.BDH("RMS FP Equity","IS_AVG_NUM_SH_FOR_EPS","FY 2002","FY 2002","Currency=USD","Period=FY","BEST_FPERIOD_OVERRIDE=FY","FILING_STATUS=MR","Sort=A","Dates=H","DateFormat=P","Fill=—","Direction=H","UseDPDF=Y")</f>
        <v>109.90179999999999</v>
      </c>
      <c r="O95" s="12">
        <f>_xll.BDH("RMS FP Equity","IS_AVG_NUM_SH_FOR_EPS","FY 2003","FY 2003","Currency=USD","Period=FY","BEST_FPERIOD_OVERRIDE=FY","FILING_STATUS=MR","Sort=A","Dates=H","DateFormat=P","Fill=—","Direction=H","UseDPDF=Y")</f>
        <v>109.899</v>
      </c>
      <c r="P95" s="12">
        <f>_xll.BDH("RMS FP Equity","IS_AVG_NUM_SH_FOR_EPS","FY 2004","FY 2004","Currency=USD","Period=FY","BEST_FPERIOD_OVERRIDE=FY","FILING_STATUS=MR","Sort=A","Dates=H","DateFormat=P","Fill=—","Direction=H","UseDPDF=Y")</f>
        <v>109.9923</v>
      </c>
      <c r="Q95" s="12">
        <f>_xll.BDH("RMS FP Equity","IS_AVG_NUM_SH_FOR_EPS","FY 2005","FY 2005","Currency=USD","Period=FY","BEST_FPERIOD_OVERRIDE=FY","FILING_STATUS=MR","Sort=A","Dates=H","DateFormat=P","Fill=—","Direction=H","UseDPDF=Y")</f>
        <v>108.9675</v>
      </c>
      <c r="R95" s="12">
        <f>_xll.BDH("RMS FP Equity","IS_AVG_NUM_SH_FOR_EPS","FY 2006","FY 2006","Currency=USD","Period=FY","BEST_FPERIOD_OVERRIDE=FY","FILING_STATUS=MR","Sort=A","Dates=H","DateFormat=P","Fill=—","Direction=H","UseDPDF=Y")</f>
        <v>107.0318</v>
      </c>
      <c r="S95" s="12">
        <f>_xll.BDH("RMS FP Equity","IS_AVG_NUM_SH_FOR_EPS","FY 2007","FY 2007","Currency=USD","Period=FY","BEST_FPERIOD_OVERRIDE=FY","FILING_STATUS=MR","Sort=A","Dates=H","DateFormat=P","Fill=—","Direction=H","UseDPDF=Y")</f>
        <v>106.14400000000001</v>
      </c>
      <c r="T95" s="12">
        <f>_xll.BDH("RMS FP Equity","IS_AVG_NUM_SH_FOR_EPS","FY 2008","FY 2008","Currency=USD","Period=FY","BEST_FPERIOD_OVERRIDE=FY","FILING_STATUS=MR","Sort=A","Dates=H","DateFormat=P","Fill=—","Direction=H","UseDPDF=Y")</f>
        <v>105.074</v>
      </c>
      <c r="U95" s="12">
        <f>_xll.BDH("RMS FP Equity","IS_AVG_NUM_SH_FOR_EPS","FY 2009","FY 2009","Currency=USD","Period=FY","BEST_FPERIOD_OVERRIDE=FY","FILING_STATUS=MR","Sort=A","Dates=H","DateFormat=P","Fill=—","Direction=H","UseDPDF=Y")</f>
        <v>105.1289</v>
      </c>
      <c r="V95" s="12">
        <f>_xll.BDH("RMS FP Equity","IS_AVG_NUM_SH_FOR_EPS","FY 2010","FY 2010","Currency=USD","Period=FY","BEST_FPERIOD_OVERRIDE=FY","FILING_STATUS=MR","Sort=A","Dates=H","DateFormat=P","Fill=—","Direction=H","UseDPDF=Y")</f>
        <v>105.16240000000001</v>
      </c>
      <c r="W95" s="12">
        <f>_xll.BDH("RMS FP Equity","IS_AVG_NUM_SH_FOR_EPS","FY 2011","FY 2011","Currency=USD","Period=FY","BEST_FPERIOD_OVERRIDE=FY","FILING_STATUS=MR","Sort=A","Dates=H","DateFormat=P","Fill=—","Direction=H","UseDPDF=Y")</f>
        <v>104.5569</v>
      </c>
      <c r="X95" s="12">
        <f>_xll.BDH("RMS FP Equity","IS_AVG_NUM_SH_FOR_EPS","FY 2012","FY 2012","Currency=USD","Period=FY","BEST_FPERIOD_OVERRIDE=FY","FILING_STATUS=MR","Sort=A","Dates=H","DateFormat=P","Fill=—","Direction=H","UseDPDF=Y")</f>
        <v>104.0872</v>
      </c>
      <c r="Y95" s="12">
        <f>_xll.BDH("RMS FP Equity","IS_AVG_NUM_SH_FOR_EPS","FY 2013","FY 2013","Currency=USD","Period=FY","BEST_FPERIOD_OVERRIDE=FY","FILING_STATUS=MR","Sort=A","Dates=H","DateFormat=P","Fill=—","Direction=H","UseDPDF=Y")</f>
        <v>104.1182</v>
      </c>
      <c r="Z95" s="12">
        <f>_xll.BDH("RMS FP Equity","IS_AVG_NUM_SH_FOR_EPS","FY 2014","FY 2014","Currency=USD","Period=FY","BEST_FPERIOD_OVERRIDE=FY","FILING_STATUS=MR","Sort=A","Dates=H","DateFormat=P","Fill=—","Direction=H","UseDPDF=Y")</f>
        <v>104.2677</v>
      </c>
      <c r="AA95" s="12">
        <f>_xll.BDH("RMS FP Equity","IS_AVG_NUM_SH_FOR_EPS","FY 2015","FY 2015","Currency=USD","Period=FY","BEST_FPERIOD_OVERRIDE=FY","FILING_STATUS=MR","Sort=A","Dates=H","DateFormat=P","Fill=—","Direction=H","UseDPDF=Y")</f>
        <v>104.3959</v>
      </c>
      <c r="AB95" s="12">
        <f>_xll.BDH("RMS FP Equity","IS_AVG_NUM_SH_FOR_EPS","FY 2016","FY 2016","Currency=USD","Period=FY","BEST_FPERIOD_OVERRIDE=FY","FILING_STATUS=MR","Sort=A","Dates=H","DateFormat=P","Fill=—","Direction=H","UseDPDF=Y")</f>
        <v>104.5189</v>
      </c>
      <c r="AC95" s="12">
        <f>_xll.BDH("RMS FP Equity","IS_AVG_NUM_SH_FOR_EPS","FY 2017","FY 2017","Currency=USD","Period=FY","BEST_FPERIOD_OVERRIDE=FY","FILING_STATUS=MR","Sort=A","Dates=H","DateFormat=P","Fill=—","Direction=H","UseDPDF=Y")</f>
        <v>104.4358</v>
      </c>
      <c r="AD95" s="12"/>
      <c r="AE95" s="12"/>
    </row>
    <row r="96" spans="1:31" x14ac:dyDescent="0.25">
      <c r="A96" s="11" t="s">
        <v>65</v>
      </c>
      <c r="B96" s="11" t="s">
        <v>157</v>
      </c>
      <c r="C96" s="16" t="s">
        <v>66</v>
      </c>
      <c r="D96" s="16">
        <v>0</v>
      </c>
      <c r="E96" s="16">
        <v>1509.23076923077</v>
      </c>
      <c r="F96" s="16">
        <v>93.9451862474329</v>
      </c>
      <c r="G96" s="16">
        <v>0.16431610037897099</v>
      </c>
      <c r="H96" s="16">
        <v>0.213254585401913</v>
      </c>
      <c r="I96" s="16">
        <v>0.18006219675662499</v>
      </c>
      <c r="J96" s="16">
        <v>0.13071985727233901</v>
      </c>
      <c r="K96" s="16">
        <v>0.12510243848353</v>
      </c>
      <c r="L96" s="16">
        <v>-0.24447312153841499</v>
      </c>
      <c r="M96" s="16">
        <v>-0.27501906859326303</v>
      </c>
      <c r="N96" s="16">
        <v>2.9830979716805699E-2</v>
      </c>
      <c r="O96" s="16">
        <v>-2.5331710283988699E-3</v>
      </c>
      <c r="P96" s="16">
        <v>8.4903415949370106E-2</v>
      </c>
      <c r="Q96" s="16">
        <v>-0.93173884114180605</v>
      </c>
      <c r="R96" s="16">
        <v>-1.7764064448560499</v>
      </c>
      <c r="S96" s="16">
        <v>-0.82945756771476198</v>
      </c>
      <c r="T96" s="16">
        <v>-1.00802143518784</v>
      </c>
      <c r="U96" s="16">
        <v>5.22022480171805E-2</v>
      </c>
      <c r="V96" s="16">
        <v>3.1936993139942499E-2</v>
      </c>
      <c r="W96" s="16">
        <v>-0.57577588653440503</v>
      </c>
      <c r="X96" s="16">
        <v>-0.44924514579113101</v>
      </c>
      <c r="Y96" s="16">
        <v>2.9744283323605701E-2</v>
      </c>
      <c r="Z96" s="16">
        <v>0.143620440263521</v>
      </c>
      <c r="AA96" s="16">
        <v>0.122915314838123</v>
      </c>
      <c r="AB96" s="16">
        <v>0.117836063345186</v>
      </c>
      <c r="AC96" s="16">
        <v>-7.9550205752262806E-2</v>
      </c>
      <c r="AD96" s="16"/>
      <c r="AE96" s="16"/>
    </row>
    <row r="97" spans="1:31" x14ac:dyDescent="0.25">
      <c r="A97" s="6" t="s">
        <v>158</v>
      </c>
      <c r="B97" s="6" t="s">
        <v>159</v>
      </c>
      <c r="C97" s="15">
        <f>_xll.BDH("RMS FP Equity","IS_EPS","FY 1991","FY 1991","Currency=USD","Period=FY","BEST_FPERIOD_OVERRIDE=FY","FILING_STATUS=MR","FA_ADJUSTED=GAAP","Sort=A","Dates=H","DateFormat=P","Fill=—","Direction=H","UseDPDF=Y")</f>
        <v>6.1250999999999998</v>
      </c>
      <c r="D97" s="15">
        <f>_xll.BDH("RMS FP Equity","IS_EPS","FY 1992","FY 1992","Currency=USD","Period=FY","BEST_FPERIOD_OVERRIDE=FY","FILING_STATUS=MR","FA_ADJUSTED=GAAP","Sort=A","Dates=H","DateFormat=P","Fill=—","Direction=H","UseDPDF=Y")</f>
        <v>9.5050000000000008</v>
      </c>
      <c r="E97" s="15">
        <f>_xll.BDH("RMS FP Equity","IS_EPS","FY 1993","FY 1993","Currency=USD","Period=FY","BEST_FPERIOD_OVERRIDE=FY","FILING_STATUS=MR","FA_ADJUSTED=GAAP","Sort=A","Dates=H","DateFormat=P","Fill=—","Direction=H","UseDPDF=Y")</f>
        <v>0.65749999999999997</v>
      </c>
      <c r="F97" s="15">
        <f>_xll.BDH("RMS FP Equity","IS_EPS","FY 1994","FY 1994","Currency=USD","Period=FY","BEST_FPERIOD_OVERRIDE=FY","FILING_STATUS=MR","FA_ADJUSTED=GAAP","Sort=A","Dates=H","DateFormat=P","Fill=—","Direction=H","UseDPDF=Y")</f>
        <v>0.4798</v>
      </c>
      <c r="G97" s="15">
        <f>_xll.BDH("RMS FP Equity","IS_EPS","FY 1995","FY 1995","Currency=USD","Period=FY","BEST_FPERIOD_OVERRIDE=FY","FILING_STATUS=MR","FA_ADJUSTED=GAAP","Sort=A","Dates=H","DateFormat=P","Fill=—","Direction=H","UseDPDF=Y")</f>
        <v>0.73899999999999999</v>
      </c>
      <c r="H97" s="15">
        <f>_xll.BDH("RMS FP Equity","IS_EPS","FY 1996","FY 1996","Currency=USD","Period=FY","BEST_FPERIOD_OVERRIDE=FY","FILING_STATUS=MR","FA_ADJUSTED=GAAP","Sort=A","Dates=H","DateFormat=P","Fill=—","Direction=H","UseDPDF=Y")</f>
        <v>0.81289999999999996</v>
      </c>
      <c r="I97" s="15">
        <f>_xll.BDH("RMS FP Equity","IS_EPS","FY 1997","FY 1997","Currency=USD","Period=FY","BEST_FPERIOD_OVERRIDE=FY","FILING_STATUS=MR","FA_ADJUSTED=GAAP","Sort=A","Dates=H","DateFormat=P","Fill=—","Direction=H","UseDPDF=Y")</f>
        <v>0.82709999999999995</v>
      </c>
      <c r="J97" s="15">
        <f>_xll.BDH("RMS FP Equity","IS_EPS","FY 1998","FY 1998","Currency=USD","Period=FY","BEST_FPERIOD_OVERRIDE=FY","FILING_STATUS=MR","FA_ADJUSTED=GAAP","Sort=A","Dates=H","DateFormat=P","Fill=—","Direction=H","UseDPDF=Y")</f>
        <v>0.90069999999999995</v>
      </c>
      <c r="K97" s="15">
        <f>_xll.BDH("RMS FP Equity","IS_EPS","FY 1999","FY 1999","Currency=USD","Period=FY","BEST_FPERIOD_OVERRIDE=FY","FILING_STATUS=MR","FA_ADJUSTED=GAAP","Sort=A","Dates=H","DateFormat=P","Fill=—","Direction=H","UseDPDF=Y")</f>
        <v>1.1504000000000001</v>
      </c>
      <c r="L97" s="15">
        <f>_xll.BDH("RMS FP Equity","IS_EPS","FY 2000","FY 2000","Currency=USD","Period=FY","BEST_FPERIOD_OVERRIDE=FY","FILING_STATUS=MR","FA_ADJUSTED=GAAP","Sort=A","Dates=H","DateFormat=P","Fill=—","Direction=H","UseDPDF=Y")</f>
        <v>1.4670000000000001</v>
      </c>
      <c r="M97" s="15">
        <f>_xll.BDH("RMS FP Equity","IS_EPS","FY 2001","FY 2001","Currency=USD","Period=FY","BEST_FPERIOD_OVERRIDE=FY","FILING_STATUS=MR","FA_ADJUSTED=GAAP","Sort=A","Dates=H","DateFormat=P","Fill=—","Direction=H","UseDPDF=Y")</f>
        <v>1.645</v>
      </c>
      <c r="N97" s="15">
        <f>_xll.BDH("RMS FP Equity","IS_EPS","FY 2002","FY 2002","Currency=USD","Period=FY","BEST_FPERIOD_OVERRIDE=FY","FILING_STATUS=MR","FA_ADJUSTED=GAAP","Sort=A","Dates=H","DateFormat=P","Fill=—","Direction=H","UseDPDF=Y")</f>
        <v>1.8536999999999999</v>
      </c>
      <c r="O97" s="15">
        <f>_xll.BDH("RMS FP Equity","IS_EPS","FY 2003","FY 2003","Currency=USD","Period=FY","BEST_FPERIOD_OVERRIDE=FY","FILING_STATUS=MR","FA_ADJUSTED=GAAP","Sort=A","Dates=H","DateFormat=P","Fill=—","Direction=H","UseDPDF=Y")</f>
        <v>2.2347000000000001</v>
      </c>
      <c r="P97" s="15">
        <f>_xll.BDH("RMS FP Equity","IS_EPS","FY 2004","FY 2004","Currency=USD","Period=FY","BEST_FPERIOD_OVERRIDE=FY","FILING_STATUS=MR","FA_ADJUSTED=GAAP","Sort=A","Dates=H","DateFormat=P","Fill=—","Direction=H","UseDPDF=Y")</f>
        <v>2.4178999999999999</v>
      </c>
      <c r="Q97" s="15">
        <f>_xll.BDH("RMS FP Equity","IS_EPS","FY 2005","FY 2005","Currency=USD","Period=FY","BEST_FPERIOD_OVERRIDE=FY","FILING_STATUS=MR","FA_ADJUSTED=GAAP","Sort=A","Dates=H","DateFormat=P","Fill=—","Direction=H","UseDPDF=Y")</f>
        <v>2.8201999999999998</v>
      </c>
      <c r="R97" s="15">
        <f>_xll.BDH("RMS FP Equity","IS_EPS","FY 2006","FY 2006","Currency=USD","Period=FY","BEST_FPERIOD_OVERRIDE=FY","FILING_STATUS=MR","FA_ADJUSTED=GAAP","Sort=A","Dates=H","DateFormat=P","Fill=—","Direction=H","UseDPDF=Y")</f>
        <v>3.1535000000000002</v>
      </c>
      <c r="S97" s="15">
        <f>_xll.BDH("RMS FP Equity","IS_EPS","FY 2007","FY 2007","Currency=USD","Period=FY","BEST_FPERIOD_OVERRIDE=FY","FILING_STATUS=MR","FA_ADJUSTED=GAAP","Sort=A","Dates=H","DateFormat=P","Fill=—","Direction=H","UseDPDF=Y")</f>
        <v>3.7149000000000001</v>
      </c>
      <c r="T97" s="15">
        <f>_xll.BDH("RMS FP Equity","IS_EPS","FY 2008","FY 2008","Currency=USD","Period=FY","BEST_FPERIOD_OVERRIDE=FY","FILING_STATUS=MR","FA_ADJUSTED=GAAP","Sort=A","Dates=H","DateFormat=P","Fill=—","Direction=H","UseDPDF=Y")</f>
        <v>4.0597000000000003</v>
      </c>
      <c r="U97" s="15">
        <f>_xll.BDH("RMS FP Equity","IS_EPS","FY 2009","FY 2009","Currency=USD","Period=FY","BEST_FPERIOD_OVERRIDE=FY","FILING_STATUS=MR","FA_ADJUSTED=GAAP","Sort=A","Dates=H","DateFormat=P","Fill=—","Direction=H","UseDPDF=Y")</f>
        <v>3.8346999999999998</v>
      </c>
      <c r="V97" s="15">
        <f>_xll.BDH("RMS FP Equity","IS_EPS","FY 2010","FY 2010","Currency=USD","Period=FY","BEST_FPERIOD_OVERRIDE=FY","FILING_STATUS=MR","FA_ADJUSTED=GAAP","Sort=A","Dates=H","DateFormat=P","Fill=—","Direction=H","UseDPDF=Y")</f>
        <v>5.3197000000000001</v>
      </c>
      <c r="W97" s="15">
        <f>_xll.BDH("RMS FP Equity","IS_EPS","FY 2011","FY 2011","Currency=USD","Period=FY","BEST_FPERIOD_OVERRIDE=FY","FILING_STATUS=MR","FA_ADJUSTED=GAAP","Sort=A","Dates=H","DateFormat=P","Fill=—","Direction=H","UseDPDF=Y")</f>
        <v>7.9088000000000003</v>
      </c>
      <c r="X97" s="15">
        <f>_xll.BDH("RMS FP Equity","IS_EPS","FY 2012","FY 2012","Currency=USD","Period=FY","BEST_FPERIOD_OVERRIDE=FY","FILING_STATUS=MR","FA_ADJUSTED=GAAP","Sort=A","Dates=H","DateFormat=P","Fill=—","Direction=H","UseDPDF=Y")</f>
        <v>9.1425000000000001</v>
      </c>
      <c r="Y97" s="15">
        <f>_xll.BDH("RMS FP Equity","IS_EPS","FY 2013","FY 2013","Currency=USD","Period=FY","BEST_FPERIOD_OVERRIDE=FY","FILING_STATUS=MR","FA_ADJUSTED=GAAP","Sort=A","Dates=H","DateFormat=P","Fill=—","Direction=H","UseDPDF=Y")</f>
        <v>10.081899999999999</v>
      </c>
      <c r="Z97" s="15">
        <f>_xll.BDH("RMS FP Equity","IS_EPS","FY 2014","FY 2014","Currency=USD","Period=FY","BEST_FPERIOD_OVERRIDE=FY","FILING_STATUS=MR","FA_ADJUSTED=GAAP","Sort=A","Dates=H","DateFormat=P","Fill=—","Direction=H","UseDPDF=Y")</f>
        <v>10.9467</v>
      </c>
      <c r="AA97" s="15">
        <f>_xll.BDH("RMS FP Equity","IS_EPS","FY 2015","FY 2015","Currency=USD","Period=FY","BEST_FPERIOD_OVERRIDE=FY","FILING_STATUS=MR","FA_ADJUSTED=GAAP","Sort=A","Dates=H","DateFormat=P","Fill=—","Direction=H","UseDPDF=Y")</f>
        <v>10.3452</v>
      </c>
      <c r="AB97" s="15">
        <f>_xll.BDH("RMS FP Equity","IS_EPS","FY 2016","FY 2016","Currency=USD","Period=FY","BEST_FPERIOD_OVERRIDE=FY","FILING_STATUS=MR","FA_ADJUSTED=GAAP","Sort=A","Dates=H","DateFormat=P","Fill=—","Direction=H","UseDPDF=Y")</f>
        <v>11.6549</v>
      </c>
      <c r="AC97" s="15">
        <f>_xll.BDH("RMS FP Equity","IS_EPS","FY 2017","FY 2017","Currency=USD","Period=FY","BEST_FPERIOD_OVERRIDE=FY","FILING_STATUS=MR","FA_ADJUSTED=GAAP","Sort=A","Dates=H","DateFormat=P","Fill=—","Direction=H","UseDPDF=Y")</f>
        <v>13.217700000000001</v>
      </c>
      <c r="AD97" s="15">
        <v>14.725</v>
      </c>
      <c r="AE97" s="15">
        <v>15.792</v>
      </c>
    </row>
    <row r="98" spans="1:31" x14ac:dyDescent="0.25">
      <c r="A98" s="11" t="s">
        <v>65</v>
      </c>
      <c r="B98" s="11" t="s">
        <v>159</v>
      </c>
      <c r="C98" s="16" t="s">
        <v>66</v>
      </c>
      <c r="D98" s="16">
        <v>45.740327000000001</v>
      </c>
      <c r="E98" s="16">
        <v>-92.586681999999996</v>
      </c>
      <c r="F98" s="16">
        <v>-28.620906999999999</v>
      </c>
      <c r="G98" s="16">
        <v>38.620488000000002</v>
      </c>
      <c r="H98" s="16">
        <v>12.866626</v>
      </c>
      <c r="I98" s="16">
        <v>15.976900000000001</v>
      </c>
      <c r="J98" s="16">
        <v>10.027661</v>
      </c>
      <c r="K98" s="16">
        <v>33.500942999999999</v>
      </c>
      <c r="L98" s="16">
        <v>47.175142999999998</v>
      </c>
      <c r="M98" s="16">
        <v>15.621339000000001</v>
      </c>
      <c r="N98" s="16">
        <v>6.7150639999999999</v>
      </c>
      <c r="O98" s="16">
        <v>0.68027199999999999</v>
      </c>
      <c r="P98" s="16">
        <v>-1.5202720000000001</v>
      </c>
      <c r="Q98" s="16">
        <v>16.638083999999999</v>
      </c>
      <c r="R98" s="16">
        <v>10.735288000000001</v>
      </c>
      <c r="S98" s="16">
        <v>7.968127</v>
      </c>
      <c r="T98" s="16">
        <v>1.845018</v>
      </c>
      <c r="U98" s="16">
        <v>-0.362319</v>
      </c>
      <c r="V98" s="16">
        <v>45.818182</v>
      </c>
      <c r="W98" s="16">
        <v>41.645885</v>
      </c>
      <c r="X98" s="16">
        <v>25.176055999999999</v>
      </c>
      <c r="Y98" s="16">
        <v>6.751055</v>
      </c>
      <c r="Z98" s="16">
        <v>8.5639000000000003</v>
      </c>
      <c r="AA98" s="16">
        <v>13.106795999999999</v>
      </c>
      <c r="AB98" s="16">
        <v>12.982832999999999</v>
      </c>
      <c r="AC98" s="16">
        <v>11.111110999999999</v>
      </c>
      <c r="AD98" s="16">
        <v>11.402872733963401</v>
      </c>
      <c r="AE98" s="16">
        <v>7.2461799660441404</v>
      </c>
    </row>
    <row r="99" spans="1:31" x14ac:dyDescent="0.25">
      <c r="A99" s="6" t="s">
        <v>160</v>
      </c>
      <c r="B99" s="6" t="s">
        <v>161</v>
      </c>
      <c r="C99" s="15">
        <f>_xll.BDH("RMS FP Equity","IS_EARN_BEF_XO_ITEMS_PER_SH","FY 1991","FY 1991","Currency=USD","Period=FY","BEST_FPERIOD_OVERRIDE=FY","FILING_STATUS=MR","Sort=A","Dates=H","DateFormat=P","Fill=—","Direction=H","UseDPDF=Y")</f>
        <v>6.1250999999999998</v>
      </c>
      <c r="D99" s="15">
        <f>_xll.BDH("RMS FP Equity","IS_EARN_BEF_XO_ITEMS_PER_SH","FY 1992","FY 1992","Currency=USD","Period=FY","BEST_FPERIOD_OVERRIDE=FY","FILING_STATUS=MR","Sort=A","Dates=H","DateFormat=P","Fill=—","Direction=H","UseDPDF=Y")</f>
        <v>9.5050000000000008</v>
      </c>
      <c r="E99" s="15">
        <f>_xll.BDH("RMS FP Equity","IS_EARN_BEF_XO_ITEMS_PER_SH","FY 1993","FY 1993","Currency=USD","Period=FY","BEST_FPERIOD_OVERRIDE=FY","FILING_STATUS=MR","Sort=A","Dates=H","DateFormat=P","Fill=—","Direction=H","UseDPDF=Y")</f>
        <v>0.65749999999999997</v>
      </c>
      <c r="F99" s="15">
        <f>_xll.BDH("RMS FP Equity","IS_EARN_BEF_XO_ITEMS_PER_SH","FY 1994","FY 1994","Currency=USD","Period=FY","BEST_FPERIOD_OVERRIDE=FY","FILING_STATUS=MR","Sort=A","Dates=H","DateFormat=P","Fill=—","Direction=H","UseDPDF=Y")</f>
        <v>0.4798</v>
      </c>
      <c r="G99" s="15">
        <f>_xll.BDH("RMS FP Equity","IS_EARN_BEF_XO_ITEMS_PER_SH","FY 1995","FY 1995","Currency=USD","Period=FY","BEST_FPERIOD_OVERRIDE=FY","FILING_STATUS=MR","Sort=A","Dates=H","DateFormat=P","Fill=—","Direction=H","UseDPDF=Y")</f>
        <v>0.73899999999999999</v>
      </c>
      <c r="H99" s="15">
        <f>_xll.BDH("RMS FP Equity","IS_EARN_BEF_XO_ITEMS_PER_SH","FY 1996","FY 1996","Currency=USD","Period=FY","BEST_FPERIOD_OVERRIDE=FY","FILING_STATUS=MR","Sort=A","Dates=H","DateFormat=P","Fill=—","Direction=H","UseDPDF=Y")</f>
        <v>0.81289999999999996</v>
      </c>
      <c r="I99" s="15">
        <f>_xll.BDH("RMS FP Equity","IS_EARN_BEF_XO_ITEMS_PER_SH","FY 1997","FY 1997","Currency=USD","Period=FY","BEST_FPERIOD_OVERRIDE=FY","FILING_STATUS=MR","Sort=A","Dates=H","DateFormat=P","Fill=—","Direction=H","UseDPDF=Y")</f>
        <v>0.82709999999999995</v>
      </c>
      <c r="J99" s="15">
        <f>_xll.BDH("RMS FP Equity","IS_EARN_BEF_XO_ITEMS_PER_SH","FY 1998","FY 1998","Currency=USD","Period=FY","BEST_FPERIOD_OVERRIDE=FY","FILING_STATUS=MR","Sort=A","Dates=H","DateFormat=P","Fill=—","Direction=H","UseDPDF=Y")</f>
        <v>0.90069999999999995</v>
      </c>
      <c r="K99" s="15">
        <f>_xll.BDH("RMS FP Equity","IS_EARN_BEF_XO_ITEMS_PER_SH","FY 1999","FY 1999","Currency=USD","Period=FY","BEST_FPERIOD_OVERRIDE=FY","FILING_STATUS=MR","Sort=A","Dates=H","DateFormat=P","Fill=—","Direction=H","UseDPDF=Y")</f>
        <v>1.1504000000000001</v>
      </c>
      <c r="L99" s="15">
        <f>_xll.BDH("RMS FP Equity","IS_EARN_BEF_XO_ITEMS_PER_SH","FY 2000","FY 2000","Currency=USD","Period=FY","BEST_FPERIOD_OVERRIDE=FY","FILING_STATUS=MR","Sort=A","Dates=H","DateFormat=P","Fill=—","Direction=H","UseDPDF=Y")</f>
        <v>1.4670000000000001</v>
      </c>
      <c r="M99" s="15">
        <f>_xll.BDH("RMS FP Equity","IS_EARN_BEF_XO_ITEMS_PER_SH","FY 2001","FY 2001","Currency=USD","Period=FY","BEST_FPERIOD_OVERRIDE=FY","FILING_STATUS=MR","Sort=A","Dates=H","DateFormat=P","Fill=—","Direction=H","UseDPDF=Y")</f>
        <v>1.645</v>
      </c>
      <c r="N99" s="15">
        <f>_xll.BDH("RMS FP Equity","IS_EARN_BEF_XO_ITEMS_PER_SH","FY 2002","FY 2002","Currency=USD","Period=FY","BEST_FPERIOD_OVERRIDE=FY","FILING_STATUS=MR","Sort=A","Dates=H","DateFormat=P","Fill=—","Direction=H","UseDPDF=Y")</f>
        <v>1.8536999999999999</v>
      </c>
      <c r="O99" s="15">
        <f>_xll.BDH("RMS FP Equity","IS_EARN_BEF_XO_ITEMS_PER_SH","FY 2003","FY 2003","Currency=USD","Period=FY","BEST_FPERIOD_OVERRIDE=FY","FILING_STATUS=MR","Sort=A","Dates=H","DateFormat=P","Fill=—","Direction=H","UseDPDF=Y")</f>
        <v>2.2347000000000001</v>
      </c>
      <c r="P99" s="15">
        <f>_xll.BDH("RMS FP Equity","IS_EARN_BEF_XO_ITEMS_PER_SH","FY 2004","FY 2004","Currency=USD","Period=FY","BEST_FPERIOD_OVERRIDE=FY","FILING_STATUS=MR","Sort=A","Dates=H","DateFormat=P","Fill=—","Direction=H","UseDPDF=Y")</f>
        <v>2.4178999999999999</v>
      </c>
      <c r="Q99" s="15">
        <f>_xll.BDH("RMS FP Equity","IS_EARN_BEF_XO_ITEMS_PER_SH","FY 2005","FY 2005","Currency=USD","Period=FY","BEST_FPERIOD_OVERRIDE=FY","FILING_STATUS=MR","Sort=A","Dates=H","DateFormat=P","Fill=—","Direction=H","UseDPDF=Y")</f>
        <v>2.8201999999999998</v>
      </c>
      <c r="R99" s="15">
        <f>_xll.BDH("RMS FP Equity","IS_EARN_BEF_XO_ITEMS_PER_SH","FY 2006","FY 2006","Currency=USD","Period=FY","BEST_FPERIOD_OVERRIDE=FY","FILING_STATUS=MR","Sort=A","Dates=H","DateFormat=P","Fill=—","Direction=H","UseDPDF=Y")</f>
        <v>3.1535000000000002</v>
      </c>
      <c r="S99" s="15">
        <f>_xll.BDH("RMS FP Equity","IS_EARN_BEF_XO_ITEMS_PER_SH","FY 2007","FY 2007","Currency=USD","Period=FY","BEST_FPERIOD_OVERRIDE=FY","FILING_STATUS=MR","Sort=A","Dates=H","DateFormat=P","Fill=—","Direction=H","UseDPDF=Y")</f>
        <v>3.7149000000000001</v>
      </c>
      <c r="T99" s="15">
        <f>_xll.BDH("RMS FP Equity","IS_EARN_BEF_XO_ITEMS_PER_SH","FY 2008","FY 2008","Currency=USD","Period=FY","BEST_FPERIOD_OVERRIDE=FY","FILING_STATUS=MR","Sort=A","Dates=H","DateFormat=P","Fill=—","Direction=H","UseDPDF=Y")</f>
        <v>4.0597000000000003</v>
      </c>
      <c r="U99" s="15">
        <f>_xll.BDH("RMS FP Equity","IS_EARN_BEF_XO_ITEMS_PER_SH","FY 2009","FY 2009","Currency=USD","Period=FY","BEST_FPERIOD_OVERRIDE=FY","FILING_STATUS=MR","Sort=A","Dates=H","DateFormat=P","Fill=—","Direction=H","UseDPDF=Y")</f>
        <v>3.8346999999999998</v>
      </c>
      <c r="V99" s="15">
        <f>_xll.BDH("RMS FP Equity","IS_EARN_BEF_XO_ITEMS_PER_SH","FY 2010","FY 2010","Currency=USD","Period=FY","BEST_FPERIOD_OVERRIDE=FY","FILING_STATUS=MR","Sort=A","Dates=H","DateFormat=P","Fill=—","Direction=H","UseDPDF=Y")</f>
        <v>5.3197000000000001</v>
      </c>
      <c r="W99" s="15">
        <f>_xll.BDH("RMS FP Equity","IS_EARN_BEF_XO_ITEMS_PER_SH","FY 2011","FY 2011","Currency=USD","Period=FY","BEST_FPERIOD_OVERRIDE=FY","FILING_STATUS=MR","Sort=A","Dates=H","DateFormat=P","Fill=—","Direction=H","UseDPDF=Y")</f>
        <v>7.9088000000000003</v>
      </c>
      <c r="X99" s="15">
        <f>_xll.BDH("RMS FP Equity","IS_EARN_BEF_XO_ITEMS_PER_SH","FY 2012","FY 2012","Currency=USD","Period=FY","BEST_FPERIOD_OVERRIDE=FY","FILING_STATUS=MR","Sort=A","Dates=H","DateFormat=P","Fill=—","Direction=H","UseDPDF=Y")</f>
        <v>9.1425000000000001</v>
      </c>
      <c r="Y99" s="15">
        <f>_xll.BDH("RMS FP Equity","IS_EARN_BEF_XO_ITEMS_PER_SH","FY 2013","FY 2013","Currency=USD","Period=FY","BEST_FPERIOD_OVERRIDE=FY","FILING_STATUS=MR","Sort=A","Dates=H","DateFormat=P","Fill=—","Direction=H","UseDPDF=Y")</f>
        <v>10.081899999999999</v>
      </c>
      <c r="Z99" s="15">
        <f>_xll.BDH("RMS FP Equity","IS_EARN_BEF_XO_ITEMS_PER_SH","FY 2014","FY 2014","Currency=USD","Period=FY","BEST_FPERIOD_OVERRIDE=FY","FILING_STATUS=MR","Sort=A","Dates=H","DateFormat=P","Fill=—","Direction=H","UseDPDF=Y")</f>
        <v>10.9467</v>
      </c>
      <c r="AA99" s="15">
        <f>_xll.BDH("RMS FP Equity","IS_EARN_BEF_XO_ITEMS_PER_SH","FY 2015","FY 2015","Currency=USD","Period=FY","BEST_FPERIOD_OVERRIDE=FY","FILING_STATUS=MR","Sort=A","Dates=H","DateFormat=P","Fill=—","Direction=H","UseDPDF=Y")</f>
        <v>10.3452</v>
      </c>
      <c r="AB99" s="15">
        <f>_xll.BDH("RMS FP Equity","IS_EARN_BEF_XO_ITEMS_PER_SH","FY 2016","FY 2016","Currency=USD","Period=FY","BEST_FPERIOD_OVERRIDE=FY","FILING_STATUS=MR","Sort=A","Dates=H","DateFormat=P","Fill=—","Direction=H","UseDPDF=Y")</f>
        <v>11.6549</v>
      </c>
      <c r="AC99" s="15">
        <f>_xll.BDH("RMS FP Equity","IS_EARN_BEF_XO_ITEMS_PER_SH","FY 2017","FY 2017","Currency=USD","Period=FY","BEST_FPERIOD_OVERRIDE=FY","FILING_STATUS=MR","Sort=A","Dates=H","DateFormat=P","Fill=—","Direction=H","UseDPDF=Y")</f>
        <v>13.217700000000001</v>
      </c>
      <c r="AD99" s="15">
        <v>14.725</v>
      </c>
      <c r="AE99" s="15">
        <v>15.792</v>
      </c>
    </row>
    <row r="100" spans="1:31" x14ac:dyDescent="0.25">
      <c r="A100" s="11" t="s">
        <v>65</v>
      </c>
      <c r="B100" s="11" t="s">
        <v>161</v>
      </c>
      <c r="C100" s="16" t="s">
        <v>66</v>
      </c>
      <c r="D100" s="16">
        <v>55.1817513328823</v>
      </c>
      <c r="E100" s="16">
        <v>-93.082731035916495</v>
      </c>
      <c r="F100" s="16">
        <v>-27.018522067389998</v>
      </c>
      <c r="G100" s="16">
        <v>54.009123817582001</v>
      </c>
      <c r="H100" s="16">
        <v>10.000920159891299</v>
      </c>
      <c r="I100" s="16">
        <v>1.7396781189530399</v>
      </c>
      <c r="J100" s="16">
        <v>8.9031994399378007</v>
      </c>
      <c r="K100" s="16">
        <v>27.722566713112801</v>
      </c>
      <c r="L100" s="16">
        <v>27.520519342337899</v>
      </c>
      <c r="M100" s="16">
        <v>12.134347852168601</v>
      </c>
      <c r="N100" s="16">
        <v>12.689736926093101</v>
      </c>
      <c r="O100" s="16">
        <v>20.553341986213699</v>
      </c>
      <c r="P100" s="16">
        <v>8.1983014419262403</v>
      </c>
      <c r="Q100" s="16">
        <v>16.6381298367859</v>
      </c>
      <c r="R100" s="16">
        <v>11.818520927046301</v>
      </c>
      <c r="S100" s="16">
        <v>17.7999927065975</v>
      </c>
      <c r="T100" s="16">
        <v>9.2813895744231907</v>
      </c>
      <c r="U100" s="16">
        <v>-5.5412097826046898</v>
      </c>
      <c r="V100" s="16">
        <v>38.725574692785699</v>
      </c>
      <c r="W100" s="16">
        <v>48.670557479532299</v>
      </c>
      <c r="X100" s="16">
        <v>15.5989800785045</v>
      </c>
      <c r="Y100" s="16">
        <v>10.2745264638077</v>
      </c>
      <c r="Z100" s="16">
        <v>8.5782079085124501</v>
      </c>
      <c r="AA100" s="16">
        <v>-5.49444757170673</v>
      </c>
      <c r="AB100" s="16">
        <v>12.6596102434744</v>
      </c>
      <c r="AC100" s="16">
        <v>13.4092455643958</v>
      </c>
      <c r="AD100" s="16">
        <v>11.402872733963401</v>
      </c>
      <c r="AE100" s="16">
        <v>7.2461799660441404</v>
      </c>
    </row>
    <row r="101" spans="1:31" x14ac:dyDescent="0.25">
      <c r="A101" s="6" t="s">
        <v>162</v>
      </c>
      <c r="B101" s="6" t="s">
        <v>163</v>
      </c>
      <c r="C101" s="15" t="str">
        <f>_xll.BDH("RMS FP Equity","IS_BASIC_EPS_CONT_OPS","FY 1991","FY 1991","Currency=USD","Period=FY","BEST_FPERIOD_OVERRIDE=FY","FILING_STATUS=MR","Sort=A","Dates=H","DateFormat=P","Fill=—","Direction=H","UseDPDF=Y")</f>
        <v>—</v>
      </c>
      <c r="D101" s="15" t="str">
        <f>_xll.BDH("RMS FP Equity","IS_BASIC_EPS_CONT_OPS","FY 1992","FY 1992","Currency=USD","Period=FY","BEST_FPERIOD_OVERRIDE=FY","FILING_STATUS=MR","Sort=A","Dates=H","DateFormat=P","Fill=—","Direction=H","UseDPDF=Y")</f>
        <v>—</v>
      </c>
      <c r="E101" s="15">
        <f>_xll.BDH("RMS FP Equity","IS_BASIC_EPS_CONT_OPS","FY 1993","FY 1993","Currency=USD","Period=FY","BEST_FPERIOD_OVERRIDE=FY","FILING_STATUS=MR","Sort=A","Dates=H","DateFormat=P","Fill=—","Direction=H","UseDPDF=Y")</f>
        <v>0</v>
      </c>
      <c r="F101" s="15">
        <f>_xll.BDH("RMS FP Equity","IS_BASIC_EPS_CONT_OPS","FY 1994","FY 1994","Currency=USD","Period=FY","BEST_FPERIOD_OVERRIDE=FY","FILING_STATUS=MR","Sort=A","Dates=H","DateFormat=P","Fill=—","Direction=H","UseDPDF=Y")</f>
        <v>0</v>
      </c>
      <c r="G101" s="15" t="str">
        <f>_xll.BDH("RMS FP Equity","IS_BASIC_EPS_CONT_OPS","FY 1995","FY 1995","Currency=USD","Period=FY","BEST_FPERIOD_OVERRIDE=FY","FILING_STATUS=MR","Sort=A","Dates=H","DateFormat=P","Fill=—","Direction=H","UseDPDF=Y")</f>
        <v>—</v>
      </c>
      <c r="H101" s="15" t="str">
        <f>_xll.BDH("RMS FP Equity","IS_BASIC_EPS_CONT_OPS","FY 1996","FY 1996","Currency=USD","Period=FY","BEST_FPERIOD_OVERRIDE=FY","FILING_STATUS=MR","Sort=A","Dates=H","DateFormat=P","Fill=—","Direction=H","UseDPDF=Y")</f>
        <v>—</v>
      </c>
      <c r="I101" s="15" t="str">
        <f>_xll.BDH("RMS FP Equity","IS_BASIC_EPS_CONT_OPS","FY 1997","FY 1997","Currency=USD","Period=FY","BEST_FPERIOD_OVERRIDE=FY","FILING_STATUS=MR","Sort=A","Dates=H","DateFormat=P","Fill=—","Direction=H","UseDPDF=Y")</f>
        <v>—</v>
      </c>
      <c r="J101" s="15" t="str">
        <f>_xll.BDH("RMS FP Equity","IS_BASIC_EPS_CONT_OPS","FY 1998","FY 1998","Currency=USD","Period=FY","BEST_FPERIOD_OVERRIDE=FY","FILING_STATUS=MR","Sort=A","Dates=H","DateFormat=P","Fill=—","Direction=H","UseDPDF=Y")</f>
        <v>—</v>
      </c>
      <c r="K101" s="15" t="str">
        <f>_xll.BDH("RMS FP Equity","IS_BASIC_EPS_CONT_OPS","FY 1999","FY 1999","Currency=USD","Period=FY","BEST_FPERIOD_OVERRIDE=FY","FILING_STATUS=MR","Sort=A","Dates=H","DateFormat=P","Fill=—","Direction=H","UseDPDF=Y")</f>
        <v>—</v>
      </c>
      <c r="L101" s="15" t="str">
        <f>_xll.BDH("RMS FP Equity","IS_BASIC_EPS_CONT_OPS","FY 2000","FY 2000","Currency=USD","Period=FY","BEST_FPERIOD_OVERRIDE=FY","FILING_STATUS=MR","Sort=A","Dates=H","DateFormat=P","Fill=—","Direction=H","UseDPDF=Y")</f>
        <v>—</v>
      </c>
      <c r="M101" s="15" t="str">
        <f>_xll.BDH("RMS FP Equity","IS_BASIC_EPS_CONT_OPS","FY 2001","FY 2001","Currency=USD","Period=FY","BEST_FPERIOD_OVERRIDE=FY","FILING_STATUS=MR","Sort=A","Dates=H","DateFormat=P","Fill=—","Direction=H","UseDPDF=Y")</f>
        <v>—</v>
      </c>
      <c r="N101" s="15">
        <f>_xll.BDH("RMS FP Equity","IS_BASIC_EPS_CONT_OPS","FY 2002","FY 2002","Currency=USD","Period=FY","BEST_FPERIOD_OVERRIDE=FY","FILING_STATUS=MR","Sort=A","Dates=H","DateFormat=P","Fill=—","Direction=H","UseDPDF=Y")</f>
        <v>1.8536999999999999</v>
      </c>
      <c r="O101" s="15">
        <f>_xll.BDH("RMS FP Equity","IS_BASIC_EPS_CONT_OPS","FY 2003","FY 2003","Currency=USD","Period=FY","BEST_FPERIOD_OVERRIDE=FY","FILING_STATUS=MR","Sort=A","Dates=H","DateFormat=P","Fill=—","Direction=H","UseDPDF=Y")</f>
        <v>2.2347000000000001</v>
      </c>
      <c r="P101" s="15">
        <f>_xll.BDH("RMS FP Equity","IS_BASIC_EPS_CONT_OPS","FY 2004","FY 2004","Currency=USD","Period=FY","BEST_FPERIOD_OVERRIDE=FY","FILING_STATUS=MR","Sort=A","Dates=H","DateFormat=P","Fill=—","Direction=H","UseDPDF=Y")</f>
        <v>2.4178999999999999</v>
      </c>
      <c r="Q101" s="15">
        <f>_xll.BDH("RMS FP Equity","IS_BASIC_EPS_CONT_OPS","FY 2005","FY 2005","Currency=USD","Period=FY","BEST_FPERIOD_OVERRIDE=FY","FILING_STATUS=MR","Sort=A","Dates=H","DateFormat=P","Fill=—","Direction=H","UseDPDF=Y")</f>
        <v>2.8201999999999998</v>
      </c>
      <c r="R101" s="15">
        <f>_xll.BDH("RMS FP Equity","IS_BASIC_EPS_CONT_OPS","FY 2006","FY 2006","Currency=USD","Period=FY","BEST_FPERIOD_OVERRIDE=FY","FILING_STATUS=MR","Sort=A","Dates=H","DateFormat=P","Fill=—","Direction=H","UseDPDF=Y")</f>
        <v>3.1535000000000002</v>
      </c>
      <c r="S101" s="15">
        <f>_xll.BDH("RMS FP Equity","IS_BASIC_EPS_CONT_OPS","FY 2007","FY 2007","Currency=USD","Period=FY","BEST_FPERIOD_OVERRIDE=FY","FILING_STATUS=MR","Sort=A","Dates=H","DateFormat=P","Fill=—","Direction=H","UseDPDF=Y")</f>
        <v>3.7149000000000001</v>
      </c>
      <c r="T101" s="15">
        <f>_xll.BDH("RMS FP Equity","IS_BASIC_EPS_CONT_OPS","FY 2008","FY 2008","Currency=USD","Period=FY","BEST_FPERIOD_OVERRIDE=FY","FILING_STATUS=MR","Sort=A","Dates=H","DateFormat=P","Fill=—","Direction=H","UseDPDF=Y")</f>
        <v>4.3383000000000003</v>
      </c>
      <c r="U101" s="15">
        <f>_xll.BDH("RMS FP Equity","IS_BASIC_EPS_CONT_OPS","FY 2009","FY 2009","Currency=USD","Period=FY","BEST_FPERIOD_OVERRIDE=FY","FILING_STATUS=MR","Sort=A","Dates=H","DateFormat=P","Fill=—","Direction=H","UseDPDF=Y")</f>
        <v>3.855</v>
      </c>
      <c r="V101" s="15">
        <f>_xll.BDH("RMS FP Equity","IS_BASIC_EPS_CONT_OPS","FY 2010","FY 2010","Currency=USD","Period=FY","BEST_FPERIOD_OVERRIDE=FY","FILING_STATUS=MR","Sort=A","Dates=H","DateFormat=P","Fill=—","Direction=H","UseDPDF=Y")</f>
        <v>5.3510999999999997</v>
      </c>
      <c r="W101" s="15">
        <f>_xll.BDH("RMS FP Equity","IS_BASIC_EPS_CONT_OPS","FY 2011","FY 2011","Currency=USD","Period=FY","BEST_FPERIOD_OVERRIDE=FY","FILING_STATUS=MR","Sort=A","Dates=H","DateFormat=P","Fill=—","Direction=H","UseDPDF=Y")</f>
        <v>7.9322999999999997</v>
      </c>
      <c r="X101" s="15">
        <f>_xll.BDH("RMS FP Equity","IS_BASIC_EPS_CONT_OPS","FY 2012","FY 2012","Currency=USD","Period=FY","BEST_FPERIOD_OVERRIDE=FY","FILING_STATUS=MR","Sort=A","Dates=H","DateFormat=P","Fill=—","Direction=H","UseDPDF=Y")</f>
        <v>9.2243999999999993</v>
      </c>
      <c r="Y101" s="15">
        <f>_xll.BDH("RMS FP Equity","IS_BASIC_EPS_CONT_OPS","FY 2013","FY 2013","Currency=USD","Period=FY","BEST_FPERIOD_OVERRIDE=FY","FILING_STATUS=MR","Sort=A","Dates=H","DateFormat=P","Fill=—","Direction=H","UseDPDF=Y")</f>
        <v>10.325900000000001</v>
      </c>
      <c r="Z101" s="15">
        <f>_xll.BDH("RMS FP Equity","IS_BASIC_EPS_CONT_OPS","FY 2014","FY 2014","Currency=USD","Period=FY","BEST_FPERIOD_OVERRIDE=FY","FILING_STATUS=MR","Sort=A","Dates=H","DateFormat=P","Fill=—","Direction=H","UseDPDF=Y")</f>
        <v>11.21</v>
      </c>
      <c r="AA101" s="15">
        <f>_xll.BDH("RMS FP Equity","IS_BASIC_EPS_CONT_OPS","FY 2015","FY 2015","Currency=USD","Period=FY","BEST_FPERIOD_OVERRIDE=FY","FILING_STATUS=MR","Sort=A","Dates=H","DateFormat=P","Fill=—","Direction=H","UseDPDF=Y")</f>
        <v>10.5381</v>
      </c>
      <c r="AB101" s="15">
        <f>_xll.BDH("RMS FP Equity","IS_BASIC_EPS_CONT_OPS","FY 2016","FY 2016","Currency=USD","Period=FY","BEST_FPERIOD_OVERRIDE=FY","FILING_STATUS=MR","Sort=A","Dates=H","DateFormat=P","Fill=—","Direction=H","UseDPDF=Y")</f>
        <v>11.7158</v>
      </c>
      <c r="AC101" s="15">
        <f>_xll.BDH("RMS FP Equity","IS_BASIC_EPS_CONT_OPS","FY 2017","FY 2017","Currency=USD","Period=FY","BEST_FPERIOD_OVERRIDE=FY","FILING_STATUS=MR","Sort=A","Dates=H","DateFormat=P","Fill=—","Direction=H","UseDPDF=Y")</f>
        <v>13.5108</v>
      </c>
      <c r="AD101" s="15">
        <v>14.632999999999999</v>
      </c>
      <c r="AE101" s="15">
        <v>15.884</v>
      </c>
    </row>
    <row r="102" spans="1:31" x14ac:dyDescent="0.25">
      <c r="A102" s="11" t="s">
        <v>65</v>
      </c>
      <c r="B102" s="11" t="s">
        <v>163</v>
      </c>
      <c r="C102" s="16" t="s">
        <v>66</v>
      </c>
      <c r="D102" s="16" t="s">
        <v>66</v>
      </c>
      <c r="E102" s="16" t="s">
        <v>66</v>
      </c>
      <c r="F102" s="16" t="s">
        <v>66</v>
      </c>
      <c r="G102" s="16" t="s">
        <v>66</v>
      </c>
      <c r="H102" s="16" t="s">
        <v>66</v>
      </c>
      <c r="I102" s="16" t="s">
        <v>66</v>
      </c>
      <c r="J102" s="16" t="s">
        <v>66</v>
      </c>
      <c r="K102" s="16" t="s">
        <v>66</v>
      </c>
      <c r="L102" s="16" t="s">
        <v>66</v>
      </c>
      <c r="M102" s="16" t="s">
        <v>66</v>
      </c>
      <c r="N102" s="16" t="s">
        <v>66</v>
      </c>
      <c r="O102" s="16">
        <v>0.68027199999999999</v>
      </c>
      <c r="P102" s="16">
        <v>-1.5202720000000001</v>
      </c>
      <c r="Q102" s="16">
        <v>16.638083999999999</v>
      </c>
      <c r="R102" s="16">
        <v>10.735288000000001</v>
      </c>
      <c r="S102" s="16">
        <v>7.968127</v>
      </c>
      <c r="T102" s="16">
        <v>8.8356829999999995</v>
      </c>
      <c r="U102" s="16">
        <v>-6.267989</v>
      </c>
      <c r="V102" s="16">
        <v>45.906315999999997</v>
      </c>
      <c r="W102" s="16">
        <v>41.230896999999999</v>
      </c>
      <c r="X102" s="16">
        <v>25.924332</v>
      </c>
      <c r="Y102" s="16">
        <v>8.3642430000000001</v>
      </c>
      <c r="Z102" s="16">
        <v>8.5475209999999997</v>
      </c>
      <c r="AA102" s="16">
        <v>12.510543</v>
      </c>
      <c r="AB102" s="16">
        <v>11.49381</v>
      </c>
      <c r="AC102" s="16">
        <v>12.983909000000001</v>
      </c>
      <c r="AD102" s="16">
        <v>8.3058356069441892</v>
      </c>
      <c r="AE102" s="16">
        <v>8.5491696849586507</v>
      </c>
    </row>
    <row r="103" spans="1:31" x14ac:dyDescent="0.25">
      <c r="A103" s="6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x14ac:dyDescent="0.25">
      <c r="A104" s="10" t="s">
        <v>164</v>
      </c>
      <c r="B104" s="10" t="s">
        <v>165</v>
      </c>
      <c r="C104" s="12">
        <f>_xll.BDH("RMS FP Equity","IS_SH_FOR_DILUTED_EPS","FY 1991","FY 1991","Currency=USD","Period=FY","BEST_FPERIOD_OVERRIDE=FY","FILING_STATUS=MR","Sort=A","Dates=H","DateFormat=P","Fill=—","Direction=H","UseDPDF=Y")</f>
        <v>3.51</v>
      </c>
      <c r="D104" s="12">
        <f>_xll.BDH("RMS FP Equity","IS_SH_FOR_DILUTED_EPS","FY 1992","FY 1992","Currency=USD","Period=FY","BEST_FPERIOD_OVERRIDE=FY","FILING_STATUS=MR","Sort=A","Dates=H","DateFormat=P","Fill=—","Direction=H","UseDPDF=Y")</f>
        <v>3.51</v>
      </c>
      <c r="E104" s="12">
        <f>_xll.BDH("RMS FP Equity","IS_SH_FOR_DILUTED_EPS","FY 1993","FY 1993","Currency=USD","Period=FY","BEST_FPERIOD_OVERRIDE=FY","FILING_STATUS=MR","Sort=A","Dates=H","DateFormat=P","Fill=—","Direction=H","UseDPDF=Y")</f>
        <v>56.484000000000002</v>
      </c>
      <c r="F104" s="12">
        <f>_xll.BDH("RMS FP Equity","IS_SH_FOR_DILUTED_EPS","FY 1994","FY 1994","Currency=USD","Period=FY","BEST_FPERIOD_OVERRIDE=FY","FILING_STATUS=MR","Sort=A","Dates=H","DateFormat=P","Fill=—","Direction=H","UseDPDF=Y")</f>
        <v>109.548</v>
      </c>
      <c r="G104" s="12">
        <f>_xll.BDH("RMS FP Equity","IS_SH_FOR_DILUTED_EPS","FY 1995","FY 1995","Currency=USD","Period=FY","BEST_FPERIOD_OVERRIDE=FY","FILING_STATUS=MR","Sort=A","Dates=H","DateFormat=P","Fill=—","Direction=H","UseDPDF=Y")</f>
        <v>109.72799999999999</v>
      </c>
      <c r="H104" s="12">
        <f>_xll.BDH("RMS FP Equity","IS_SH_FOR_DILUTED_EPS","FY 1996","FY 1996","Currency=USD","Period=FY","BEST_FPERIOD_OVERRIDE=FY","FILING_STATUS=MR","Sort=A","Dates=H","DateFormat=P","Fill=—","Direction=H","UseDPDF=Y")</f>
        <v>109.962</v>
      </c>
      <c r="I104" s="12">
        <f>_xll.BDH("RMS FP Equity","IS_SH_FOR_DILUTED_EPS","FY 1997","FY 1997","Currency=USD","Period=FY","BEST_FPERIOD_OVERRIDE=FY","FILING_STATUS=MR","Sort=A","Dates=H","DateFormat=P","Fill=—","Direction=H","UseDPDF=Y")</f>
        <v>110.208</v>
      </c>
      <c r="J104" s="12">
        <f>_xll.BDH("RMS FP Equity","IS_SH_FOR_DILUTED_EPS","FY 1998","FY 1998","Currency=USD","Period=FY","BEST_FPERIOD_OVERRIDE=FY","FILING_STATUS=MR","Sort=A","Dates=H","DateFormat=P","Fill=—","Direction=H","UseDPDF=Y")</f>
        <v>110.44199999999999</v>
      </c>
      <c r="K104" s="12">
        <f>_xll.BDH("RMS FP Equity","IS_SH_FOR_DILUTED_EPS","FY 1999","FY 1999","Currency=USD","Period=FY","BEST_FPERIOD_OVERRIDE=FY","FILING_STATUS=MR","Sort=A","Dates=H","DateFormat=P","Fill=—","Direction=H","UseDPDF=Y")</f>
        <v>110.44199999999999</v>
      </c>
      <c r="L104" s="12" t="str">
        <f>_xll.BDH("RMS FP Equity","IS_SH_FOR_DILUTED_EPS","FY 2000","FY 2000","Currency=USD","Period=FY","BEST_FPERIOD_OVERRIDE=FY","FILING_STATUS=MR","Sort=A","Dates=H","DateFormat=P","Fill=—","Direction=H","UseDPDF=Y")</f>
        <v>—</v>
      </c>
      <c r="M104" s="12" t="str">
        <f>_xll.BDH("RMS FP Equity","IS_SH_FOR_DILUTED_EPS","FY 2001","FY 2001","Currency=USD","Period=FY","BEST_FPERIOD_OVERRIDE=FY","FILING_STATUS=MR","Sort=A","Dates=H","DateFormat=P","Fill=—","Direction=H","UseDPDF=Y")</f>
        <v>—</v>
      </c>
      <c r="N104" s="12">
        <f>_xll.BDH("RMS FP Equity","IS_SH_FOR_DILUTED_EPS","FY 2002","FY 2002","Currency=USD","Period=FY","BEST_FPERIOD_OVERRIDE=FY","FILING_STATUS=MR","Sort=A","Dates=H","DateFormat=P","Fill=—","Direction=H","UseDPDF=Y")</f>
        <v>110.7021</v>
      </c>
      <c r="O104" s="12">
        <f>_xll.BDH("RMS FP Equity","IS_SH_FOR_DILUTED_EPS","FY 2003","FY 2003","Currency=USD","Period=FY","BEST_FPERIOD_OVERRIDE=FY","FILING_STATUS=MR","Sort=A","Dates=H","DateFormat=P","Fill=—","Direction=H","UseDPDF=Y")</f>
        <v>110.697</v>
      </c>
      <c r="P104" s="12">
        <f>_xll.BDH("RMS FP Equity","IS_SH_FOR_DILUTED_EPS","FY 2004","FY 2004","Currency=USD","Period=FY","BEST_FPERIOD_OVERRIDE=FY","FILING_STATUS=MR","Sort=A","Dates=H","DateFormat=P","Fill=—","Direction=H","UseDPDF=Y")</f>
        <v>110.1593</v>
      </c>
      <c r="Q104" s="12">
        <f>_xll.BDH("RMS FP Equity","IS_SH_FOR_DILUTED_EPS","FY 2005","FY 2005","Currency=USD","Period=FY","BEST_FPERIOD_OVERRIDE=FY","FILING_STATUS=MR","Sort=A","Dates=H","DateFormat=P","Fill=—","Direction=H","UseDPDF=Y")</f>
        <v>109.09650000000001</v>
      </c>
      <c r="R104" s="12">
        <f>_xll.BDH("RMS FP Equity","IS_SH_FOR_DILUTED_EPS","FY 2006","FY 2006","Currency=USD","Period=FY","BEST_FPERIOD_OVERRIDE=FY","FILING_STATUS=MR","Sort=A","Dates=H","DateFormat=P","Fill=—","Direction=H","UseDPDF=Y")</f>
        <v>107.15479999999999</v>
      </c>
      <c r="S104" s="12">
        <f>_xll.BDH("RMS FP Equity","IS_SH_FOR_DILUTED_EPS","FY 2007","FY 2007","Currency=USD","Period=FY","BEST_FPERIOD_OVERRIDE=FY","FILING_STATUS=MR","Sort=A","Dates=H","DateFormat=P","Fill=—","Direction=H","UseDPDF=Y")</f>
        <v>106.27030000000001</v>
      </c>
      <c r="T104" s="12">
        <f>_xll.BDH("RMS FP Equity","IS_SH_FOR_DILUTED_EPS","FY 2008","FY 2008","Currency=USD","Period=FY","BEST_FPERIOD_OVERRIDE=FY","FILING_STATUS=MR","Sort=A","Dates=H","DateFormat=P","Fill=—","Direction=H","UseDPDF=Y")</f>
        <v>105.1742</v>
      </c>
      <c r="U104" s="12">
        <f>_xll.BDH("RMS FP Equity","IS_SH_FOR_DILUTED_EPS","FY 2009","FY 2009","Currency=USD","Period=FY","BEST_FPERIOD_OVERRIDE=FY","FILING_STATUS=MR","Sort=A","Dates=H","DateFormat=P","Fill=—","Direction=H","UseDPDF=Y")</f>
        <v>105.21120000000001</v>
      </c>
      <c r="V104" s="12">
        <f>_xll.BDH("RMS FP Equity","IS_SH_FOR_DILUTED_EPS","FY 2010","FY 2010","Currency=USD","Period=FY","BEST_FPERIOD_OVERRIDE=FY","FILING_STATUS=MR","Sort=A","Dates=H","DateFormat=P","Fill=—","Direction=H","UseDPDF=Y")</f>
        <v>105.4282</v>
      </c>
      <c r="W104" s="12">
        <f>_xll.BDH("RMS FP Equity","IS_SH_FOR_DILUTED_EPS","FY 2011","FY 2011","Currency=USD","Period=FY","BEST_FPERIOD_OVERRIDE=FY","FILING_STATUS=MR","Sort=A","Dates=H","DateFormat=P","Fill=—","Direction=H","UseDPDF=Y")</f>
        <v>104.9723</v>
      </c>
      <c r="X104" s="12">
        <f>_xll.BDH("RMS FP Equity","IS_SH_FOR_DILUTED_EPS","FY 2012","FY 2012","Currency=USD","Period=FY","BEST_FPERIOD_OVERRIDE=FY","FILING_STATUS=MR","Sort=A","Dates=H","DateFormat=P","Fill=—","Direction=H","UseDPDF=Y")</f>
        <v>104.68429999999999</v>
      </c>
      <c r="Y104" s="12">
        <f>_xll.BDH("RMS FP Equity","IS_SH_FOR_DILUTED_EPS","FY 2013","FY 2013","Currency=USD","Period=FY","BEST_FPERIOD_OVERRIDE=FY","FILING_STATUS=MR","Sort=A","Dates=H","DateFormat=P","Fill=—","Direction=H","UseDPDF=Y")</f>
        <v>104.85760000000001</v>
      </c>
      <c r="Z104" s="12">
        <f>_xll.BDH("RMS FP Equity","IS_SH_FOR_DILUTED_EPS","FY 2014","FY 2014","Currency=USD","Period=FY","BEST_FPERIOD_OVERRIDE=FY","FILING_STATUS=MR","Sort=A","Dates=H","DateFormat=P","Fill=—","Direction=H","UseDPDF=Y")</f>
        <v>104.8233</v>
      </c>
      <c r="AA104" s="12">
        <f>_xll.BDH("RMS FP Equity","IS_SH_FOR_DILUTED_EPS","FY 2015","FY 2015","Currency=USD","Period=FY","BEST_FPERIOD_OVERRIDE=FY","FILING_STATUS=MR","Sort=A","Dates=H","DateFormat=P","Fill=—","Direction=H","UseDPDF=Y")</f>
        <v>105.08880000000001</v>
      </c>
      <c r="AB104" s="12">
        <f>_xll.BDH("RMS FP Equity","IS_SH_FOR_DILUTED_EPS","FY 2016","FY 2016","Currency=USD","Period=FY","BEST_FPERIOD_OVERRIDE=FY","FILING_STATUS=MR","Sort=A","Dates=H","DateFormat=P","Fill=—","Direction=H","UseDPDF=Y")</f>
        <v>105.1193</v>
      </c>
      <c r="AC104" s="12">
        <f>_xll.BDH("RMS FP Equity","IS_SH_FOR_DILUTED_EPS","FY 2017","FY 2017","Currency=USD","Period=FY","BEST_FPERIOD_OVERRIDE=FY","FILING_STATUS=MR","Sort=A","Dates=H","DateFormat=P","Fill=—","Direction=H","UseDPDF=Y")</f>
        <v>105.16079999999999</v>
      </c>
      <c r="AD104" s="12"/>
      <c r="AE104" s="12"/>
    </row>
    <row r="105" spans="1:31" x14ac:dyDescent="0.25">
      <c r="A105" s="11" t="s">
        <v>65</v>
      </c>
      <c r="B105" s="11" t="s">
        <v>165</v>
      </c>
      <c r="C105" s="16" t="s">
        <v>66</v>
      </c>
      <c r="D105" s="16">
        <v>0</v>
      </c>
      <c r="E105" s="16">
        <v>1509.23076923077</v>
      </c>
      <c r="F105" s="16">
        <v>93.9451862474329</v>
      </c>
      <c r="G105" s="16">
        <v>0.16431610037897099</v>
      </c>
      <c r="H105" s="16">
        <v>0.213254585401913</v>
      </c>
      <c r="I105" s="16">
        <v>0.22371000077445399</v>
      </c>
      <c r="J105" s="16">
        <v>0.212323969221835</v>
      </c>
      <c r="K105" s="16">
        <v>0</v>
      </c>
      <c r="L105" s="16" t="s">
        <v>66</v>
      </c>
      <c r="M105" s="16" t="s">
        <v>66</v>
      </c>
      <c r="N105" s="16" t="s">
        <v>66</v>
      </c>
      <c r="O105" s="16">
        <v>-4.6015405947068501E-3</v>
      </c>
      <c r="P105" s="16">
        <v>-0.485699873910722</v>
      </c>
      <c r="Q105" s="16">
        <v>-0.96481726201144002</v>
      </c>
      <c r="R105" s="16">
        <v>-1.77975236045676</v>
      </c>
      <c r="S105" s="16">
        <v>-0.82542528207058796</v>
      </c>
      <c r="T105" s="16">
        <v>-1.0314223140718299</v>
      </c>
      <c r="U105" s="16">
        <v>3.5160699610067798E-2</v>
      </c>
      <c r="V105" s="16">
        <v>0.206184275548389</v>
      </c>
      <c r="W105" s="16">
        <v>-0.43240632319528399</v>
      </c>
      <c r="X105" s="16">
        <v>-0.27435148947662602</v>
      </c>
      <c r="Y105" s="16">
        <v>0.16552055064007301</v>
      </c>
      <c r="Z105" s="16">
        <v>-3.2629980427927599E-2</v>
      </c>
      <c r="AA105" s="16">
        <v>0.253213642560775</v>
      </c>
      <c r="AB105" s="16">
        <v>2.9100160352054E-2</v>
      </c>
      <c r="AC105" s="16">
        <v>3.94323218268742E-2</v>
      </c>
      <c r="AD105" s="16"/>
      <c r="AE105" s="16"/>
    </row>
    <row r="106" spans="1:31" x14ac:dyDescent="0.25">
      <c r="A106" s="6" t="s">
        <v>166</v>
      </c>
      <c r="B106" s="6" t="s">
        <v>167</v>
      </c>
      <c r="C106" s="15">
        <f>_xll.BDH("RMS FP Equity","IS_DILUTED_EPS","FY 1991","FY 1991","Currency=USD","Period=FY","BEST_FPERIOD_OVERRIDE=FY","FILING_STATUS=MR","FA_ADJUSTED=GAAP","Sort=A","Dates=H","DateFormat=P","Fill=—","Direction=H","UseDPDF=Y")</f>
        <v>6.1250999999999998</v>
      </c>
      <c r="D106" s="15">
        <f>_xll.BDH("RMS FP Equity","IS_DILUTED_EPS","FY 1992","FY 1992","Currency=USD","Period=FY","BEST_FPERIOD_OVERRIDE=FY","FILING_STATUS=MR","FA_ADJUSTED=GAAP","Sort=A","Dates=H","DateFormat=P","Fill=—","Direction=H","UseDPDF=Y")</f>
        <v>9.5050000000000008</v>
      </c>
      <c r="E106" s="15">
        <f>_xll.BDH("RMS FP Equity","IS_DILUTED_EPS","FY 1993","FY 1993","Currency=USD","Period=FY","BEST_FPERIOD_OVERRIDE=FY","FILING_STATUS=MR","FA_ADJUSTED=GAAP","Sort=A","Dates=H","DateFormat=P","Fill=—","Direction=H","UseDPDF=Y")</f>
        <v>0.65749999999999997</v>
      </c>
      <c r="F106" s="15">
        <f>_xll.BDH("RMS FP Equity","IS_DILUTED_EPS","FY 1994","FY 1994","Currency=USD","Period=FY","BEST_FPERIOD_OVERRIDE=FY","FILING_STATUS=MR","FA_ADJUSTED=GAAP","Sort=A","Dates=H","DateFormat=P","Fill=—","Direction=H","UseDPDF=Y")</f>
        <v>0.4798</v>
      </c>
      <c r="G106" s="15">
        <f>_xll.BDH("RMS FP Equity","IS_DILUTED_EPS","FY 1995","FY 1995","Currency=USD","Period=FY","BEST_FPERIOD_OVERRIDE=FY","FILING_STATUS=MR","FA_ADJUSTED=GAAP","Sort=A","Dates=H","DateFormat=P","Fill=—","Direction=H","UseDPDF=Y")</f>
        <v>0.73899999999999999</v>
      </c>
      <c r="H106" s="15">
        <f>_xll.BDH("RMS FP Equity","IS_DILUTED_EPS","FY 1996","FY 1996","Currency=USD","Period=FY","BEST_FPERIOD_OVERRIDE=FY","FILING_STATUS=MR","FA_ADJUSTED=GAAP","Sort=A","Dates=H","DateFormat=P","Fill=—","Direction=H","UseDPDF=Y")</f>
        <v>0.81289999999999996</v>
      </c>
      <c r="I106" s="15">
        <f>_xll.BDH("RMS FP Equity","IS_DILUTED_EPS","FY 1997","FY 1997","Currency=USD","Period=FY","BEST_FPERIOD_OVERRIDE=FY","FILING_STATUS=MR","FA_ADJUSTED=GAAP","Sort=A","Dates=H","DateFormat=P","Fill=—","Direction=H","UseDPDF=Y")</f>
        <v>0.82709999999999995</v>
      </c>
      <c r="J106" s="15">
        <f>_xll.BDH("RMS FP Equity","IS_DILUTED_EPS","FY 1998","FY 1998","Currency=USD","Period=FY","BEST_FPERIOD_OVERRIDE=FY","FILING_STATUS=MR","FA_ADJUSTED=GAAP","Sort=A","Dates=H","DateFormat=P","Fill=—","Direction=H","UseDPDF=Y")</f>
        <v>0.89959999999999996</v>
      </c>
      <c r="K106" s="15">
        <f>_xll.BDH("RMS FP Equity","IS_DILUTED_EPS","FY 1999","FY 1999","Currency=USD","Period=FY","BEST_FPERIOD_OVERRIDE=FY","FILING_STATUS=MR","FA_ADJUSTED=GAAP","Sort=A","Dates=H","DateFormat=P","Fill=—","Direction=H","UseDPDF=Y")</f>
        <v>1.1475</v>
      </c>
      <c r="L106" s="15">
        <f>_xll.BDH("RMS FP Equity","IS_DILUTED_EPS","FY 2000","FY 2000","Currency=USD","Period=FY","BEST_FPERIOD_OVERRIDE=FY","FILING_STATUS=MR","FA_ADJUSTED=GAAP","Sort=A","Dates=H","DateFormat=P","Fill=—","Direction=H","UseDPDF=Y")</f>
        <v>1.4576</v>
      </c>
      <c r="M106" s="15">
        <f>_xll.BDH("RMS FP Equity","IS_DILUTED_EPS","FY 2001","FY 2001","Currency=USD","Period=FY","BEST_FPERIOD_OVERRIDE=FY","FILING_STATUS=MR","FA_ADJUSTED=GAAP","Sort=A","Dates=H","DateFormat=P","Fill=—","Direction=H","UseDPDF=Y")</f>
        <v>1.633</v>
      </c>
      <c r="N106" s="15">
        <f>_xll.BDH("RMS FP Equity","IS_DILUTED_EPS","FY 2002","FY 2002","Currency=USD","Period=FY","BEST_FPERIOD_OVERRIDE=FY","FILING_STATUS=MR","FA_ADJUSTED=GAAP","Sort=A","Dates=H","DateFormat=P","Fill=—","Direction=H","UseDPDF=Y")</f>
        <v>1.8411</v>
      </c>
      <c r="O106" s="15">
        <f>_xll.BDH("RMS FP Equity","IS_DILUTED_EPS","FY 2003","FY 2003","Currency=USD","Period=FY","BEST_FPERIOD_OVERRIDE=FY","FILING_STATUS=MR","FA_ADJUSTED=GAAP","Sort=A","Dates=H","DateFormat=P","Fill=—","Direction=H","UseDPDF=Y")</f>
        <v>2.2195999999999998</v>
      </c>
      <c r="P106" s="15">
        <f>_xll.BDH("RMS FP Equity","IS_DILUTED_EPS","FY 2004","FY 2004","Currency=USD","Period=FY","BEST_FPERIOD_OVERRIDE=FY","FILING_STATUS=MR","FA_ADJUSTED=GAAP","Sort=A","Dates=H","DateFormat=P","Fill=—","Direction=H","UseDPDF=Y")</f>
        <v>2.4178999999999999</v>
      </c>
      <c r="Q106" s="15">
        <f>_xll.BDH("RMS FP Equity","IS_DILUTED_EPS","FY 2005","FY 2005","Currency=USD","Period=FY","BEST_FPERIOD_OVERRIDE=FY","FILING_STATUS=MR","FA_ADJUSTED=GAAP","Sort=A","Dates=H","DateFormat=P","Fill=—","Direction=H","UseDPDF=Y")</f>
        <v>2.8161</v>
      </c>
      <c r="R106" s="15">
        <f>_xll.BDH("RMS FP Equity","IS_DILUTED_EPS","FY 2006","FY 2006","Currency=USD","Period=FY","BEST_FPERIOD_OVERRIDE=FY","FILING_STATUS=MR","FA_ADJUSTED=GAAP","Sort=A","Dates=H","DateFormat=P","Fill=—","Direction=H","UseDPDF=Y")</f>
        <v>3.1535000000000002</v>
      </c>
      <c r="S106" s="15">
        <f>_xll.BDH("RMS FP Equity","IS_DILUTED_EPS","FY 2007","FY 2007","Currency=USD","Period=FY","BEST_FPERIOD_OVERRIDE=FY","FILING_STATUS=MR","FA_ADJUSTED=GAAP","Sort=A","Dates=H","DateFormat=P","Fill=—","Direction=H","UseDPDF=Y")</f>
        <v>3.7149000000000001</v>
      </c>
      <c r="T106" s="15">
        <f>_xll.BDH("RMS FP Equity","IS_DILUTED_EPS","FY 2008","FY 2008","Currency=USD","Period=FY","BEST_FPERIOD_OVERRIDE=FY","FILING_STATUS=MR","FA_ADJUSTED=GAAP","Sort=A","Dates=H","DateFormat=P","Fill=—","Direction=H","UseDPDF=Y")</f>
        <v>4.0597000000000003</v>
      </c>
      <c r="U106" s="15">
        <f>_xll.BDH("RMS FP Equity","IS_DILUTED_EPS","FY 2009","FY 2009","Currency=USD","Period=FY","BEST_FPERIOD_OVERRIDE=FY","FILING_STATUS=MR","FA_ADJUSTED=GAAP","Sort=A","Dates=H","DateFormat=P","Fill=—","Direction=H","UseDPDF=Y")</f>
        <v>3.8208000000000002</v>
      </c>
      <c r="V106" s="15">
        <f>_xll.BDH("RMS FP Equity","IS_DILUTED_EPS","FY 2010","FY 2010","Currency=USD","Period=FY","BEST_FPERIOD_OVERRIDE=FY","FILING_STATUS=MR","FA_ADJUSTED=GAAP","Sort=A","Dates=H","DateFormat=P","Fill=—","Direction=H","UseDPDF=Y")</f>
        <v>5.3064</v>
      </c>
      <c r="W106" s="15">
        <f>_xll.BDH("RMS FP Equity","IS_DILUTED_EPS","FY 2011","FY 2011","Currency=USD","Period=FY","BEST_FPERIOD_OVERRIDE=FY","FILING_STATUS=MR","FA_ADJUSTED=GAAP","Sort=A","Dates=H","DateFormat=P","Fill=—","Direction=H","UseDPDF=Y")</f>
        <v>7.8810000000000002</v>
      </c>
      <c r="X106" s="15">
        <f>_xll.BDH("RMS FP Equity","IS_DILUTED_EPS","FY 2012","FY 2012","Currency=USD","Period=FY","BEST_FPERIOD_OVERRIDE=FY","FILING_STATUS=MR","FA_ADJUSTED=GAAP","Sort=A","Dates=H","DateFormat=P","Fill=—","Direction=H","UseDPDF=Y")</f>
        <v>9.0911000000000008</v>
      </c>
      <c r="Y106" s="15">
        <f>_xll.BDH("RMS FP Equity","IS_DILUTED_EPS","FY 2013","FY 2013","Currency=USD","Period=FY","BEST_FPERIOD_OVERRIDE=FY","FILING_STATUS=MR","FA_ADJUSTED=GAAP","Sort=A","Dates=H","DateFormat=P","Fill=—","Direction=H","UseDPDF=Y")</f>
        <v>10.015499999999999</v>
      </c>
      <c r="Z106" s="15">
        <f>_xll.BDH("RMS FP Equity","IS_DILUTED_EPS","FY 2014","FY 2014","Currency=USD","Period=FY","BEST_FPERIOD_OVERRIDE=FY","FILING_STATUS=MR","FA_ADJUSTED=GAAP","Sort=A","Dates=H","DateFormat=P","Fill=—","Direction=H","UseDPDF=Y")</f>
        <v>10.8803</v>
      </c>
      <c r="AA106" s="15">
        <f>_xll.BDH("RMS FP Equity","IS_DILUTED_EPS","FY 2015","FY 2015","Currency=USD","Period=FY","BEST_FPERIOD_OVERRIDE=FY","FILING_STATUS=MR","FA_ADJUSTED=GAAP","Sort=A","Dates=H","DateFormat=P","Fill=—","Direction=H","UseDPDF=Y")</f>
        <v>10.278600000000001</v>
      </c>
      <c r="AB106" s="15">
        <f>_xll.BDH("RMS FP Equity","IS_DILUTED_EPS","FY 2016","FY 2016","Currency=USD","Period=FY","BEST_FPERIOD_OVERRIDE=FY","FILING_STATUS=MR","FA_ADJUSTED=GAAP","Sort=A","Dates=H","DateFormat=P","Fill=—","Direction=H","UseDPDF=Y")</f>
        <v>11.5885</v>
      </c>
      <c r="AC106" s="15">
        <f>_xll.BDH("RMS FP Equity","IS_DILUTED_EPS","FY 2017","FY 2017","Currency=USD","Period=FY","BEST_FPERIOD_OVERRIDE=FY","FILING_STATUS=MR","FA_ADJUSTED=GAAP","Sort=A","Dates=H","DateFormat=P","Fill=—","Direction=H","UseDPDF=Y")</f>
        <v>13.1274</v>
      </c>
      <c r="AD106" s="15">
        <v>14.725</v>
      </c>
      <c r="AE106" s="15">
        <v>15.792</v>
      </c>
    </row>
    <row r="107" spans="1:31" x14ac:dyDescent="0.25">
      <c r="A107" s="11" t="s">
        <v>65</v>
      </c>
      <c r="B107" s="11" t="s">
        <v>167</v>
      </c>
      <c r="C107" s="16" t="s">
        <v>66</v>
      </c>
      <c r="D107" s="16">
        <v>45.740327000000001</v>
      </c>
      <c r="E107" s="16">
        <v>-92.586681999999996</v>
      </c>
      <c r="F107" s="16">
        <v>-28.620906999999999</v>
      </c>
      <c r="G107" s="16">
        <v>38.620488000000002</v>
      </c>
      <c r="H107" s="16">
        <v>12.866626</v>
      </c>
      <c r="I107" s="16">
        <v>15.976900000000001</v>
      </c>
      <c r="J107" s="16">
        <v>9.8893520000000006</v>
      </c>
      <c r="K107" s="16">
        <v>33.335430000000002</v>
      </c>
      <c r="L107" s="16">
        <v>46.599322999999998</v>
      </c>
      <c r="M107" s="16">
        <v>15.521084999999999</v>
      </c>
      <c r="N107" s="16">
        <v>6.7641679999999997</v>
      </c>
      <c r="O107" s="16">
        <v>0.68493199999999999</v>
      </c>
      <c r="P107" s="16">
        <v>-0.85034100000000001</v>
      </c>
      <c r="Q107" s="16">
        <v>16.466553000000001</v>
      </c>
      <c r="R107" s="16">
        <v>10.898377</v>
      </c>
      <c r="S107" s="16">
        <v>7.968127</v>
      </c>
      <c r="T107" s="16">
        <v>1.845018</v>
      </c>
      <c r="U107" s="16">
        <v>-0.724638</v>
      </c>
      <c r="V107" s="16">
        <v>45.985401000000003</v>
      </c>
      <c r="W107" s="16">
        <v>41.5</v>
      </c>
      <c r="X107" s="16">
        <v>24.911660999999999</v>
      </c>
      <c r="Y107" s="16">
        <v>6.6478080000000004</v>
      </c>
      <c r="Z107" s="16">
        <v>8.6206899999999997</v>
      </c>
      <c r="AA107" s="16">
        <v>13.064712999999999</v>
      </c>
      <c r="AB107" s="16">
        <v>13.066955</v>
      </c>
      <c r="AC107" s="16">
        <v>10.983763</v>
      </c>
      <c r="AD107" s="16">
        <v>12.169854029883901</v>
      </c>
      <c r="AE107" s="16">
        <v>7.2461799660441404</v>
      </c>
    </row>
    <row r="108" spans="1:31" x14ac:dyDescent="0.25">
      <c r="A108" s="6" t="s">
        <v>168</v>
      </c>
      <c r="B108" s="6" t="s">
        <v>169</v>
      </c>
      <c r="C108" s="15" t="str">
        <f>_xll.BDH("RMS FP Equity","IS_DIL_EPS_BEF_XO","FY 1991","FY 1991","Currency=USD","Period=FY","BEST_FPERIOD_OVERRIDE=FY","FILING_STATUS=MR","Sort=A","Dates=H","DateFormat=P","Fill=—","Direction=H","UseDPDF=Y")</f>
        <v>—</v>
      </c>
      <c r="D108" s="15" t="str">
        <f>_xll.BDH("RMS FP Equity","IS_DIL_EPS_BEF_XO","FY 1992","FY 1992","Currency=USD","Period=FY","BEST_FPERIOD_OVERRIDE=FY","FILING_STATUS=MR","Sort=A","Dates=H","DateFormat=P","Fill=—","Direction=H","UseDPDF=Y")</f>
        <v>—</v>
      </c>
      <c r="E108" s="15" t="str">
        <f>_xll.BDH("RMS FP Equity","IS_DIL_EPS_BEF_XO","FY 1993","FY 1993","Currency=USD","Period=FY","BEST_FPERIOD_OVERRIDE=FY","FILING_STATUS=MR","Sort=A","Dates=H","DateFormat=P","Fill=—","Direction=H","UseDPDF=Y")</f>
        <v>—</v>
      </c>
      <c r="F108" s="15" t="str">
        <f>_xll.BDH("RMS FP Equity","IS_DIL_EPS_BEF_XO","FY 1994","FY 1994","Currency=USD","Period=FY","BEST_FPERIOD_OVERRIDE=FY","FILING_STATUS=MR","Sort=A","Dates=H","DateFormat=P","Fill=—","Direction=H","UseDPDF=Y")</f>
        <v>—</v>
      </c>
      <c r="G108" s="15" t="str">
        <f>_xll.BDH("RMS FP Equity","IS_DIL_EPS_BEF_XO","FY 1995","FY 1995","Currency=USD","Period=FY","BEST_FPERIOD_OVERRIDE=FY","FILING_STATUS=MR","Sort=A","Dates=H","DateFormat=P","Fill=—","Direction=H","UseDPDF=Y")</f>
        <v>—</v>
      </c>
      <c r="H108" s="15" t="str">
        <f>_xll.BDH("RMS FP Equity","IS_DIL_EPS_BEF_XO","FY 1996","FY 1996","Currency=USD","Period=FY","BEST_FPERIOD_OVERRIDE=FY","FILING_STATUS=MR","Sort=A","Dates=H","DateFormat=P","Fill=—","Direction=H","UseDPDF=Y")</f>
        <v>—</v>
      </c>
      <c r="I108" s="15" t="str">
        <f>_xll.BDH("RMS FP Equity","IS_DIL_EPS_BEF_XO","FY 1997","FY 1997","Currency=USD","Period=FY","BEST_FPERIOD_OVERRIDE=FY","FILING_STATUS=MR","Sort=A","Dates=H","DateFormat=P","Fill=—","Direction=H","UseDPDF=Y")</f>
        <v>—</v>
      </c>
      <c r="J108" s="15" t="str">
        <f>_xll.BDH("RMS FP Equity","IS_DIL_EPS_BEF_XO","FY 1998","FY 1998","Currency=USD","Period=FY","BEST_FPERIOD_OVERRIDE=FY","FILING_STATUS=MR","Sort=A","Dates=H","DateFormat=P","Fill=—","Direction=H","UseDPDF=Y")</f>
        <v>—</v>
      </c>
      <c r="K108" s="15" t="str">
        <f>_xll.BDH("RMS FP Equity","IS_DIL_EPS_BEF_XO","FY 1999","FY 1999","Currency=USD","Period=FY","BEST_FPERIOD_OVERRIDE=FY","FILING_STATUS=MR","Sort=A","Dates=H","DateFormat=P","Fill=—","Direction=H","UseDPDF=Y")</f>
        <v>—</v>
      </c>
      <c r="L108" s="15" t="str">
        <f>_xll.BDH("RMS FP Equity","IS_DIL_EPS_BEF_XO","FY 2000","FY 2000","Currency=USD","Period=FY","BEST_FPERIOD_OVERRIDE=FY","FILING_STATUS=MR","Sort=A","Dates=H","DateFormat=P","Fill=—","Direction=H","UseDPDF=Y")</f>
        <v>—</v>
      </c>
      <c r="M108" s="15" t="str">
        <f>_xll.BDH("RMS FP Equity","IS_DIL_EPS_BEF_XO","FY 2001","FY 2001","Currency=USD","Period=FY","BEST_FPERIOD_OVERRIDE=FY","FILING_STATUS=MR","Sort=A","Dates=H","DateFormat=P","Fill=—","Direction=H","UseDPDF=Y")</f>
        <v>—</v>
      </c>
      <c r="N108" s="15">
        <f>_xll.BDH("RMS FP Equity","IS_DIL_EPS_BEF_XO","FY 2002","FY 2002","Currency=USD","Period=FY","BEST_FPERIOD_OVERRIDE=FY","FILING_STATUS=MR","Sort=A","Dates=H","DateFormat=P","Fill=—","Direction=H","UseDPDF=Y")</f>
        <v>1.8411</v>
      </c>
      <c r="O108" s="15">
        <f>_xll.BDH("RMS FP Equity","IS_DIL_EPS_BEF_XO","FY 2003","FY 2003","Currency=USD","Period=FY","BEST_FPERIOD_OVERRIDE=FY","FILING_STATUS=MR","Sort=A","Dates=H","DateFormat=P","Fill=—","Direction=H","UseDPDF=Y")</f>
        <v>2.2195999999999998</v>
      </c>
      <c r="P108" s="15">
        <f>_xll.BDH("RMS FP Equity","IS_DIL_EPS_BEF_XO","FY 2004","FY 2004","Currency=USD","Period=FY","BEST_FPERIOD_OVERRIDE=FY","FILING_STATUS=MR","Sort=A","Dates=H","DateFormat=P","Fill=—","Direction=H","UseDPDF=Y")</f>
        <v>2.4178999999999999</v>
      </c>
      <c r="Q108" s="15">
        <f>_xll.BDH("RMS FP Equity","IS_DIL_EPS_BEF_XO","FY 2005","FY 2005","Currency=USD","Period=FY","BEST_FPERIOD_OVERRIDE=FY","FILING_STATUS=MR","Sort=A","Dates=H","DateFormat=P","Fill=—","Direction=H","UseDPDF=Y")</f>
        <v>2.8161</v>
      </c>
      <c r="R108" s="15">
        <f>_xll.BDH("RMS FP Equity","IS_DIL_EPS_BEF_XO","FY 2006","FY 2006","Currency=USD","Period=FY","BEST_FPERIOD_OVERRIDE=FY","FILING_STATUS=MR","Sort=A","Dates=H","DateFormat=P","Fill=—","Direction=H","UseDPDF=Y")</f>
        <v>3.1535000000000002</v>
      </c>
      <c r="S108" s="15">
        <f>_xll.BDH("RMS FP Equity","IS_DIL_EPS_BEF_XO","FY 2007","FY 2007","Currency=USD","Period=FY","BEST_FPERIOD_OVERRIDE=FY","FILING_STATUS=MR","Sort=A","Dates=H","DateFormat=P","Fill=—","Direction=H","UseDPDF=Y")</f>
        <v>3.7149000000000001</v>
      </c>
      <c r="T108" s="15">
        <f>_xll.BDH("RMS FP Equity","IS_DIL_EPS_BEF_XO","FY 2008","FY 2008","Currency=USD","Period=FY","BEST_FPERIOD_OVERRIDE=FY","FILING_STATUS=MR","Sort=A","Dates=H","DateFormat=P","Fill=—","Direction=H","UseDPDF=Y")</f>
        <v>4.0597000000000003</v>
      </c>
      <c r="U108" s="15">
        <f>_xll.BDH("RMS FP Equity","IS_DIL_EPS_BEF_XO","FY 2009","FY 2009","Currency=USD","Period=FY","BEST_FPERIOD_OVERRIDE=FY","FILING_STATUS=MR","Sort=A","Dates=H","DateFormat=P","Fill=—","Direction=H","UseDPDF=Y")</f>
        <v>3.8208000000000002</v>
      </c>
      <c r="V108" s="15">
        <f>_xll.BDH("RMS FP Equity","IS_DIL_EPS_BEF_XO","FY 2010","FY 2010","Currency=USD","Period=FY","BEST_FPERIOD_OVERRIDE=FY","FILING_STATUS=MR","Sort=A","Dates=H","DateFormat=P","Fill=—","Direction=H","UseDPDF=Y")</f>
        <v>5.3064</v>
      </c>
      <c r="W108" s="15">
        <f>_xll.BDH("RMS FP Equity","IS_DIL_EPS_BEF_XO","FY 2011","FY 2011","Currency=USD","Period=FY","BEST_FPERIOD_OVERRIDE=FY","FILING_STATUS=MR","Sort=A","Dates=H","DateFormat=P","Fill=—","Direction=H","UseDPDF=Y")</f>
        <v>7.8810000000000002</v>
      </c>
      <c r="X108" s="15">
        <f>_xll.BDH("RMS FP Equity","IS_DIL_EPS_BEF_XO","FY 2012","FY 2012","Currency=USD","Period=FY","BEST_FPERIOD_OVERRIDE=FY","FILING_STATUS=MR","Sort=A","Dates=H","DateFormat=P","Fill=—","Direction=H","UseDPDF=Y")</f>
        <v>9.0911000000000008</v>
      </c>
      <c r="Y108" s="15">
        <f>_xll.BDH("RMS FP Equity","IS_DIL_EPS_BEF_XO","FY 2013","FY 2013","Currency=USD","Period=FY","BEST_FPERIOD_OVERRIDE=FY","FILING_STATUS=MR","Sort=A","Dates=H","DateFormat=P","Fill=—","Direction=H","UseDPDF=Y")</f>
        <v>10.015499999999999</v>
      </c>
      <c r="Z108" s="15">
        <f>_xll.BDH("RMS FP Equity","IS_DIL_EPS_BEF_XO","FY 2014","FY 2014","Currency=USD","Period=FY","BEST_FPERIOD_OVERRIDE=FY","FILING_STATUS=MR","Sort=A","Dates=H","DateFormat=P","Fill=—","Direction=H","UseDPDF=Y")</f>
        <v>10.8803</v>
      </c>
      <c r="AA108" s="15">
        <f>_xll.BDH("RMS FP Equity","IS_DIL_EPS_BEF_XO","FY 2015","FY 2015","Currency=USD","Period=FY","BEST_FPERIOD_OVERRIDE=FY","FILING_STATUS=MR","Sort=A","Dates=H","DateFormat=P","Fill=—","Direction=H","UseDPDF=Y")</f>
        <v>10.278600000000001</v>
      </c>
      <c r="AB108" s="15">
        <f>_xll.BDH("RMS FP Equity","IS_DIL_EPS_BEF_XO","FY 2016","FY 2016","Currency=USD","Period=FY","BEST_FPERIOD_OVERRIDE=FY","FILING_STATUS=MR","Sort=A","Dates=H","DateFormat=P","Fill=—","Direction=H","UseDPDF=Y")</f>
        <v>11.5885</v>
      </c>
      <c r="AC108" s="15">
        <f>_xll.BDH("RMS FP Equity","IS_DIL_EPS_BEF_XO","FY 2017","FY 2017","Currency=USD","Period=FY","BEST_FPERIOD_OVERRIDE=FY","FILING_STATUS=MR","Sort=A","Dates=H","DateFormat=P","Fill=—","Direction=H","UseDPDF=Y")</f>
        <v>13.1274</v>
      </c>
      <c r="AD108" s="15">
        <v>14.725</v>
      </c>
      <c r="AE108" s="15">
        <v>15.792</v>
      </c>
    </row>
    <row r="109" spans="1:31" x14ac:dyDescent="0.25">
      <c r="A109" s="11" t="s">
        <v>65</v>
      </c>
      <c r="B109" s="11" t="s">
        <v>169</v>
      </c>
      <c r="C109" s="16" t="s">
        <v>66</v>
      </c>
      <c r="D109" s="16" t="s">
        <v>66</v>
      </c>
      <c r="E109" s="16" t="s">
        <v>66</v>
      </c>
      <c r="F109" s="16" t="s">
        <v>66</v>
      </c>
      <c r="G109" s="16" t="s">
        <v>66</v>
      </c>
      <c r="H109" s="16" t="s">
        <v>66</v>
      </c>
      <c r="I109" s="16" t="s">
        <v>66</v>
      </c>
      <c r="J109" s="16" t="s">
        <v>66</v>
      </c>
      <c r="K109" s="16" t="s">
        <v>66</v>
      </c>
      <c r="L109" s="16" t="s">
        <v>66</v>
      </c>
      <c r="M109" s="16" t="s">
        <v>66</v>
      </c>
      <c r="N109" s="16" t="s">
        <v>66</v>
      </c>
      <c r="O109" s="16">
        <v>0.68493199999999999</v>
      </c>
      <c r="P109" s="16">
        <v>-0.85034100000000001</v>
      </c>
      <c r="Q109" s="16">
        <v>16.466553000000001</v>
      </c>
      <c r="R109" s="16">
        <v>10.898377</v>
      </c>
      <c r="S109" s="16">
        <v>7.968127</v>
      </c>
      <c r="T109" s="16">
        <v>1.845018</v>
      </c>
      <c r="U109" s="16">
        <v>-0.724638</v>
      </c>
      <c r="V109" s="16">
        <v>45.985401000000003</v>
      </c>
      <c r="W109" s="16">
        <v>41.5</v>
      </c>
      <c r="X109" s="16">
        <v>24.911660999999999</v>
      </c>
      <c r="Y109" s="16">
        <v>6.6478080000000004</v>
      </c>
      <c r="Z109" s="16">
        <v>8.6206899999999997</v>
      </c>
      <c r="AA109" s="16">
        <v>13.064712999999999</v>
      </c>
      <c r="AB109" s="16">
        <v>13.066955</v>
      </c>
      <c r="AC109" s="16">
        <v>10.983763</v>
      </c>
      <c r="AD109" s="16">
        <v>12.169854029883901</v>
      </c>
      <c r="AE109" s="16">
        <v>7.2461799660441404</v>
      </c>
    </row>
    <row r="110" spans="1:31" x14ac:dyDescent="0.25">
      <c r="A110" s="6" t="s">
        <v>170</v>
      </c>
      <c r="B110" s="6" t="s">
        <v>171</v>
      </c>
      <c r="C110" s="15" t="str">
        <f>_xll.BDH("RMS FP Equity","IS_DIL_EPS_CONT_OPS","FY 1991","FY 1991","Currency=USD","Period=FY","BEST_FPERIOD_OVERRIDE=FY","FILING_STATUS=MR","Sort=A","Dates=H","DateFormat=P","Fill=—","Direction=H","UseDPDF=Y")</f>
        <v>—</v>
      </c>
      <c r="D110" s="15" t="str">
        <f>_xll.BDH("RMS FP Equity","IS_DIL_EPS_CONT_OPS","FY 1992","FY 1992","Currency=USD","Period=FY","BEST_FPERIOD_OVERRIDE=FY","FILING_STATUS=MR","Sort=A","Dates=H","DateFormat=P","Fill=—","Direction=H","UseDPDF=Y")</f>
        <v>—</v>
      </c>
      <c r="E110" s="15" t="str">
        <f>_xll.BDH("RMS FP Equity","IS_DIL_EPS_CONT_OPS","FY 1993","FY 1993","Currency=USD","Period=FY","BEST_FPERIOD_OVERRIDE=FY","FILING_STATUS=MR","Sort=A","Dates=H","DateFormat=P","Fill=—","Direction=H","UseDPDF=Y")</f>
        <v>—</v>
      </c>
      <c r="F110" s="15" t="str">
        <f>_xll.BDH("RMS FP Equity","IS_DIL_EPS_CONT_OPS","FY 1994","FY 1994","Currency=USD","Period=FY","BEST_FPERIOD_OVERRIDE=FY","FILING_STATUS=MR","Sort=A","Dates=H","DateFormat=P","Fill=—","Direction=H","UseDPDF=Y")</f>
        <v>—</v>
      </c>
      <c r="G110" s="15" t="str">
        <f>_xll.BDH("RMS FP Equity","IS_DIL_EPS_CONT_OPS","FY 1995","FY 1995","Currency=USD","Period=FY","BEST_FPERIOD_OVERRIDE=FY","FILING_STATUS=MR","Sort=A","Dates=H","DateFormat=P","Fill=—","Direction=H","UseDPDF=Y")</f>
        <v>—</v>
      </c>
      <c r="H110" s="15" t="str">
        <f>_xll.BDH("RMS FP Equity","IS_DIL_EPS_CONT_OPS","FY 1996","FY 1996","Currency=USD","Period=FY","BEST_FPERIOD_OVERRIDE=FY","FILING_STATUS=MR","Sort=A","Dates=H","DateFormat=P","Fill=—","Direction=H","UseDPDF=Y")</f>
        <v>—</v>
      </c>
      <c r="I110" s="15" t="str">
        <f>_xll.BDH("RMS FP Equity","IS_DIL_EPS_CONT_OPS","FY 1997","FY 1997","Currency=USD","Period=FY","BEST_FPERIOD_OVERRIDE=FY","FILING_STATUS=MR","Sort=A","Dates=H","DateFormat=P","Fill=—","Direction=H","UseDPDF=Y")</f>
        <v>—</v>
      </c>
      <c r="J110" s="15" t="str">
        <f>_xll.BDH("RMS FP Equity","IS_DIL_EPS_CONT_OPS","FY 1998","FY 1998","Currency=USD","Period=FY","BEST_FPERIOD_OVERRIDE=FY","FILING_STATUS=MR","Sort=A","Dates=H","DateFormat=P","Fill=—","Direction=H","UseDPDF=Y")</f>
        <v>—</v>
      </c>
      <c r="K110" s="15" t="str">
        <f>_xll.BDH("RMS FP Equity","IS_DIL_EPS_CONT_OPS","FY 1999","FY 1999","Currency=USD","Period=FY","BEST_FPERIOD_OVERRIDE=FY","FILING_STATUS=MR","Sort=A","Dates=H","DateFormat=P","Fill=—","Direction=H","UseDPDF=Y")</f>
        <v>—</v>
      </c>
      <c r="L110" s="15" t="str">
        <f>_xll.BDH("RMS FP Equity","IS_DIL_EPS_CONT_OPS","FY 2000","FY 2000","Currency=USD","Period=FY","BEST_FPERIOD_OVERRIDE=FY","FILING_STATUS=MR","Sort=A","Dates=H","DateFormat=P","Fill=—","Direction=H","UseDPDF=Y")</f>
        <v>—</v>
      </c>
      <c r="M110" s="15" t="str">
        <f>_xll.BDH("RMS FP Equity","IS_DIL_EPS_CONT_OPS","FY 2001","FY 2001","Currency=USD","Period=FY","BEST_FPERIOD_OVERRIDE=FY","FILING_STATUS=MR","Sort=A","Dates=H","DateFormat=P","Fill=—","Direction=H","UseDPDF=Y")</f>
        <v>—</v>
      </c>
      <c r="N110" s="15">
        <f>_xll.BDH("RMS FP Equity","IS_DIL_EPS_CONT_OPS","FY 2002","FY 2002","Currency=USD","Period=FY","BEST_FPERIOD_OVERRIDE=FY","FILING_STATUS=MR","Sort=A","Dates=H","DateFormat=P","Fill=—","Direction=H","UseDPDF=Y")</f>
        <v>1.8411</v>
      </c>
      <c r="O110" s="15">
        <f>_xll.BDH("RMS FP Equity","IS_DIL_EPS_CONT_OPS","FY 2003","FY 2003","Currency=USD","Period=FY","BEST_FPERIOD_OVERRIDE=FY","FILING_STATUS=MR","Sort=A","Dates=H","DateFormat=P","Fill=—","Direction=H","UseDPDF=Y")</f>
        <v>2.2195999999999998</v>
      </c>
      <c r="P110" s="15">
        <f>_xll.BDH("RMS FP Equity","IS_DIL_EPS_CONT_OPS","FY 2004","FY 2004","Currency=USD","Period=FY","BEST_FPERIOD_OVERRIDE=FY","FILING_STATUS=MR","Sort=A","Dates=H","DateFormat=P","Fill=—","Direction=H","UseDPDF=Y")</f>
        <v>2.4178999999999999</v>
      </c>
      <c r="Q110" s="15">
        <f>_xll.BDH("RMS FP Equity","IS_DIL_EPS_CONT_OPS","FY 2005","FY 2005","Currency=USD","Period=FY","BEST_FPERIOD_OVERRIDE=FY","FILING_STATUS=MR","Sort=A","Dates=H","DateFormat=P","Fill=—","Direction=H","UseDPDF=Y")</f>
        <v>2.8161</v>
      </c>
      <c r="R110" s="15">
        <f>_xll.BDH("RMS FP Equity","IS_DIL_EPS_CONT_OPS","FY 2006","FY 2006","Currency=USD","Period=FY","BEST_FPERIOD_OVERRIDE=FY","FILING_STATUS=MR","Sort=A","Dates=H","DateFormat=P","Fill=—","Direction=H","UseDPDF=Y")</f>
        <v>3.1535000000000002</v>
      </c>
      <c r="S110" s="15">
        <f>_xll.BDH("RMS FP Equity","IS_DIL_EPS_CONT_OPS","FY 2007","FY 2007","Currency=USD","Period=FY","BEST_FPERIOD_OVERRIDE=FY","FILING_STATUS=MR","Sort=A","Dates=H","DateFormat=P","Fill=—","Direction=H","UseDPDF=Y")</f>
        <v>3.7149000000000001</v>
      </c>
      <c r="T110" s="15">
        <f>_xll.BDH("RMS FP Equity","IS_DIL_EPS_CONT_OPS","FY 2008","FY 2008","Currency=USD","Period=FY","BEST_FPERIOD_OVERRIDE=FY","FILING_STATUS=MR","Sort=A","Dates=H","DateFormat=P","Fill=—","Direction=H","UseDPDF=Y")</f>
        <v>4.3353000000000002</v>
      </c>
      <c r="U110" s="15">
        <f>_xll.BDH("RMS FP Equity","IS_DIL_EPS_CONT_OPS","FY 2009","FY 2009","Currency=USD","Period=FY","BEST_FPERIOD_OVERRIDE=FY","FILING_STATUS=MR","Sort=A","Dates=H","DateFormat=P","Fill=—","Direction=H","UseDPDF=Y")</f>
        <v>3.8451</v>
      </c>
      <c r="V110" s="15">
        <f>_xll.BDH("RMS FP Equity","IS_DIL_EPS_CONT_OPS","FY 2010","FY 2010","Currency=USD","Period=FY","BEST_FPERIOD_OVERRIDE=FY","FILING_STATUS=MR","Sort=A","Dates=H","DateFormat=P","Fill=—","Direction=H","UseDPDF=Y")</f>
        <v>5.3377999999999997</v>
      </c>
      <c r="W110" s="15">
        <f>_xll.BDH("RMS FP Equity","IS_DIL_EPS_CONT_OPS","FY 2011","FY 2011","Currency=USD","Period=FY","BEST_FPERIOD_OVERRIDE=FY","FILING_STATUS=MR","Sort=A","Dates=H","DateFormat=P","Fill=—","Direction=H","UseDPDF=Y")</f>
        <v>7.8987999999999996</v>
      </c>
      <c r="X110" s="15">
        <f>_xll.BDH("RMS FP Equity","IS_DIL_EPS_CONT_OPS","FY 2012","FY 2012","Currency=USD","Period=FY","BEST_FPERIOD_OVERRIDE=FY","FILING_STATUS=MR","Sort=A","Dates=H","DateFormat=P","Fill=—","Direction=H","UseDPDF=Y")</f>
        <v>9.1745000000000001</v>
      </c>
      <c r="Y110" s="15">
        <f>_xll.BDH("RMS FP Equity","IS_DIL_EPS_CONT_OPS","FY 2013","FY 2013","Currency=USD","Period=FY","BEST_FPERIOD_OVERRIDE=FY","FILING_STATUS=MR","Sort=A","Dates=H","DateFormat=P","Fill=—","Direction=H","UseDPDF=Y")</f>
        <v>10.257199999999999</v>
      </c>
      <c r="Z110" s="15">
        <f>_xll.BDH("RMS FP Equity","IS_DIL_EPS_CONT_OPS","FY 2014","FY 2014","Currency=USD","Period=FY","BEST_FPERIOD_OVERRIDE=FY","FILING_STATUS=MR","Sort=A","Dates=H","DateFormat=P","Fill=—","Direction=H","UseDPDF=Y")</f>
        <v>11.146800000000001</v>
      </c>
      <c r="AA110" s="15">
        <f>_xll.BDH("RMS FP Equity","IS_DIL_EPS_CONT_OPS","FY 2015","FY 2015","Currency=USD","Period=FY","BEST_FPERIOD_OVERRIDE=FY","FILING_STATUS=MR","Sort=A","Dates=H","DateFormat=P","Fill=—","Direction=H","UseDPDF=Y")</f>
        <v>10.4742</v>
      </c>
      <c r="AB110" s="15">
        <f>_xll.BDH("RMS FP Equity","IS_DIL_EPS_CONT_OPS","FY 2016","FY 2016","Currency=USD","Period=FY","BEST_FPERIOD_OVERRIDE=FY","FILING_STATUS=MR","Sort=A","Dates=H","DateFormat=P","Fill=—","Direction=H","UseDPDF=Y")</f>
        <v>11.651999999999999</v>
      </c>
      <c r="AC110" s="15">
        <f>_xll.BDH("RMS FP Equity","IS_DIL_EPS_CONT_OPS","FY 2017","FY 2017","Currency=USD","Period=FY","BEST_FPERIOD_OVERRIDE=FY","FILING_STATUS=MR","Sort=A","Dates=H","DateFormat=P","Fill=—","Direction=H","UseDPDF=Y")</f>
        <v>13.422599999999999</v>
      </c>
      <c r="AD110" s="15">
        <v>14.632999999999999</v>
      </c>
      <c r="AE110" s="15">
        <v>15.884</v>
      </c>
    </row>
    <row r="111" spans="1:31" x14ac:dyDescent="0.25">
      <c r="A111" s="11" t="s">
        <v>65</v>
      </c>
      <c r="B111" s="11" t="s">
        <v>171</v>
      </c>
      <c r="C111" s="16" t="s">
        <v>66</v>
      </c>
      <c r="D111" s="16" t="s">
        <v>66</v>
      </c>
      <c r="E111" s="16" t="s">
        <v>66</v>
      </c>
      <c r="F111" s="16" t="s">
        <v>66</v>
      </c>
      <c r="G111" s="16" t="s">
        <v>66</v>
      </c>
      <c r="H111" s="16" t="s">
        <v>66</v>
      </c>
      <c r="I111" s="16" t="s">
        <v>66</v>
      </c>
      <c r="J111" s="16" t="s">
        <v>66</v>
      </c>
      <c r="K111" s="16" t="s">
        <v>66</v>
      </c>
      <c r="L111" s="16" t="s">
        <v>66</v>
      </c>
      <c r="M111" s="16" t="s">
        <v>66</v>
      </c>
      <c r="N111" s="16" t="s">
        <v>66</v>
      </c>
      <c r="O111" s="16">
        <v>20.5589242999324</v>
      </c>
      <c r="P111" s="16">
        <v>8.9343220911687595</v>
      </c>
      <c r="Q111" s="16">
        <v>16.466619353429898</v>
      </c>
      <c r="R111" s="16">
        <v>11.983186551229601</v>
      </c>
      <c r="S111" s="16">
        <v>17.7999927065975</v>
      </c>
      <c r="T111" s="16">
        <v>16.701661218284201</v>
      </c>
      <c r="U111" s="16">
        <v>-11.307316573586</v>
      </c>
      <c r="V111" s="16">
        <v>38.821112891442901</v>
      </c>
      <c r="W111" s="16">
        <v>47.9781416055867</v>
      </c>
      <c r="X111" s="16">
        <v>16.150539417721301</v>
      </c>
      <c r="Y111" s="16">
        <v>11.801622171383199</v>
      </c>
      <c r="Z111" s="16">
        <v>8.6727686377767395</v>
      </c>
      <c r="AA111" s="16">
        <v>-6.0336770547433396</v>
      </c>
      <c r="AB111" s="16">
        <v>11.2450288827224</v>
      </c>
      <c r="AC111" s="16">
        <v>15.1956284573203</v>
      </c>
      <c r="AD111" s="16">
        <v>9.0168472861189795</v>
      </c>
      <c r="AE111" s="16">
        <v>8.5491696849586507</v>
      </c>
    </row>
    <row r="112" spans="1:31" x14ac:dyDescent="0.25">
      <c r="A112" s="6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x14ac:dyDescent="0.25">
      <c r="A113" s="7" t="s">
        <v>172</v>
      </c>
      <c r="B113" s="7"/>
      <c r="C113" s="7" t="s">
        <v>2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13"/>
  <sheetViews>
    <sheetView tabSelected="1" workbookViewId="0">
      <selection activeCell="C13" sqref="C13"/>
    </sheetView>
  </sheetViews>
  <sheetFormatPr defaultRowHeight="15" x14ac:dyDescent="0.25"/>
  <sheetData>
    <row r="2" spans="1:31" x14ac:dyDescent="0.25">
      <c r="A2" t="s">
        <v>4</v>
      </c>
    </row>
    <row r="4" spans="1:31" x14ac:dyDescent="0.25">
      <c r="A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3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</row>
    <row r="5" spans="1:31" x14ac:dyDescent="0.25">
      <c r="A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48</v>
      </c>
      <c r="Q5" t="s">
        <v>49</v>
      </c>
      <c r="R5" t="s">
        <v>50</v>
      </c>
      <c r="S5" t="s">
        <v>51</v>
      </c>
      <c r="T5" t="s">
        <v>52</v>
      </c>
      <c r="U5" t="s">
        <v>53</v>
      </c>
      <c r="V5" t="s">
        <v>54</v>
      </c>
      <c r="W5" t="s">
        <v>55</v>
      </c>
      <c r="X5" t="s">
        <v>56</v>
      </c>
      <c r="Y5" t="s">
        <v>57</v>
      </c>
      <c r="Z5" t="s">
        <v>58</v>
      </c>
      <c r="AA5" t="s">
        <v>59</v>
      </c>
      <c r="AB5" t="s">
        <v>60</v>
      </c>
      <c r="AC5" t="s">
        <v>61</v>
      </c>
      <c r="AD5" t="s">
        <v>62</v>
      </c>
      <c r="AE5" t="s">
        <v>63</v>
      </c>
    </row>
    <row r="6" spans="1:31" x14ac:dyDescent="0.25">
      <c r="A6" t="s">
        <v>0</v>
      </c>
      <c r="B6" t="s">
        <v>64</v>
      </c>
      <c r="C6">
        <v>425.97899999999998</v>
      </c>
      <c r="D6">
        <v>465.04930000000002</v>
      </c>
      <c r="E6">
        <v>503.79849999999999</v>
      </c>
      <c r="F6">
        <v>619.18299999999999</v>
      </c>
      <c r="G6">
        <v>767.85739999999998</v>
      </c>
      <c r="H6">
        <v>818.15120000000002</v>
      </c>
      <c r="I6">
        <v>833.64009999999996</v>
      </c>
      <c r="J6">
        <v>854.94299999999998</v>
      </c>
      <c r="K6">
        <v>988.38229999999999</v>
      </c>
      <c r="L6">
        <v>1070.2392</v>
      </c>
      <c r="M6">
        <v>1098.8493000000001</v>
      </c>
      <c r="N6">
        <v>1174.9357</v>
      </c>
      <c r="O6">
        <v>1392.9246000000001</v>
      </c>
      <c r="P6">
        <v>1656.5505000000001</v>
      </c>
      <c r="Q6">
        <v>1775.9960000000001</v>
      </c>
      <c r="R6">
        <v>1903.3027999999999</v>
      </c>
      <c r="S6">
        <v>2227.6844999999998</v>
      </c>
      <c r="T6">
        <v>2595.5315000000001</v>
      </c>
      <c r="U6">
        <v>2669.3701999999998</v>
      </c>
      <c r="V6">
        <v>3184.9279999999999</v>
      </c>
      <c r="W6">
        <v>3956.0929000000001</v>
      </c>
      <c r="X6">
        <v>4480.1035000000002</v>
      </c>
      <c r="Y6">
        <v>4987.5438000000004</v>
      </c>
      <c r="Z6">
        <v>5471.5015999999996</v>
      </c>
      <c r="AA6">
        <v>5373.5131000000001</v>
      </c>
      <c r="AB6">
        <v>5757.9441999999999</v>
      </c>
      <c r="AC6">
        <v>6269.0493999999999</v>
      </c>
      <c r="AD6">
        <v>6860.415</v>
      </c>
      <c r="AE6">
        <v>7421.3760000000002</v>
      </c>
    </row>
    <row r="7" spans="1:31" x14ac:dyDescent="0.25">
      <c r="A7" t="s">
        <v>65</v>
      </c>
      <c r="B7" t="s">
        <v>64</v>
      </c>
      <c r="C7" t="s">
        <v>66</v>
      </c>
      <c r="D7">
        <v>2.529747</v>
      </c>
      <c r="E7">
        <v>16.090547000000001</v>
      </c>
      <c r="F7">
        <v>20.215337000000002</v>
      </c>
      <c r="G7">
        <v>11.620037999999999</v>
      </c>
      <c r="H7">
        <v>9.3256610000000002</v>
      </c>
      <c r="I7">
        <v>16.151862999999999</v>
      </c>
      <c r="J7">
        <v>3.6143610000000002</v>
      </c>
      <c r="K7">
        <v>20.8383</v>
      </c>
      <c r="L7">
        <v>24.971231</v>
      </c>
      <c r="M7">
        <v>5.8660430000000003</v>
      </c>
      <c r="N7">
        <v>1.2551939999999999</v>
      </c>
      <c r="O7">
        <v>-0.99009899999999995</v>
      </c>
      <c r="P7">
        <v>8.2439040000000006</v>
      </c>
      <c r="Q7">
        <v>7.2104549999999996</v>
      </c>
      <c r="R7">
        <v>6.1300249999999998</v>
      </c>
      <c r="S7">
        <v>7.2744080000000002</v>
      </c>
      <c r="T7">
        <v>8.5840870000000002</v>
      </c>
      <c r="U7">
        <v>8.4835089999999997</v>
      </c>
      <c r="V7">
        <v>25.413989000000001</v>
      </c>
      <c r="W7">
        <v>18.343885</v>
      </c>
      <c r="X7">
        <v>22.627763000000002</v>
      </c>
      <c r="Y7">
        <v>7.7695819999999998</v>
      </c>
      <c r="Z7">
        <v>9.6889319999999994</v>
      </c>
      <c r="AA7">
        <v>17.539940999999999</v>
      </c>
      <c r="AB7">
        <v>7.4612679999999996</v>
      </c>
      <c r="AC7">
        <v>6.670255</v>
      </c>
      <c r="AD7">
        <v>9.4326646568961294</v>
      </c>
      <c r="AE7">
        <v>8.1767793930833701</v>
      </c>
    </row>
    <row r="8" spans="1:31" x14ac:dyDescent="0.25">
      <c r="A8" t="s">
        <v>67</v>
      </c>
      <c r="B8" t="s">
        <v>68</v>
      </c>
      <c r="C8" t="s">
        <v>66</v>
      </c>
      <c r="D8" t="s">
        <v>66</v>
      </c>
      <c r="E8" t="s">
        <v>66</v>
      </c>
      <c r="F8" t="s">
        <v>66</v>
      </c>
      <c r="G8" t="s">
        <v>66</v>
      </c>
      <c r="H8" t="s">
        <v>66</v>
      </c>
      <c r="I8" t="s">
        <v>66</v>
      </c>
      <c r="J8" t="s">
        <v>66</v>
      </c>
      <c r="K8" t="s">
        <v>66</v>
      </c>
      <c r="L8" t="s">
        <v>66</v>
      </c>
      <c r="M8" t="s">
        <v>66</v>
      </c>
      <c r="N8" t="s">
        <v>66</v>
      </c>
      <c r="O8" t="s">
        <v>66</v>
      </c>
      <c r="P8" t="s">
        <v>66</v>
      </c>
      <c r="Q8" t="s">
        <v>66</v>
      </c>
      <c r="R8" t="s">
        <v>66</v>
      </c>
      <c r="S8" t="s">
        <v>66</v>
      </c>
      <c r="T8" t="s">
        <v>66</v>
      </c>
      <c r="U8">
        <v>2669.3701999999998</v>
      </c>
      <c r="V8">
        <v>3184.9279999999999</v>
      </c>
      <c r="W8">
        <v>3956.0929000000001</v>
      </c>
      <c r="X8">
        <v>4480.1035000000002</v>
      </c>
      <c r="Y8">
        <v>4987.5438000000004</v>
      </c>
      <c r="Z8">
        <v>5471.5015999999996</v>
      </c>
      <c r="AA8">
        <v>5373.5131000000001</v>
      </c>
      <c r="AB8">
        <v>5757.9441999999999</v>
      </c>
      <c r="AC8">
        <v>6269.0493999999999</v>
      </c>
    </row>
    <row r="9" spans="1:31" x14ac:dyDescent="0.25">
      <c r="A9" t="s">
        <v>65</v>
      </c>
      <c r="B9" t="s">
        <v>68</v>
      </c>
      <c r="C9" t="s">
        <v>66</v>
      </c>
      <c r="D9" t="s">
        <v>66</v>
      </c>
      <c r="E9" t="s">
        <v>66</v>
      </c>
      <c r="F9" t="s">
        <v>66</v>
      </c>
      <c r="G9" t="s">
        <v>66</v>
      </c>
      <c r="H9" t="s">
        <v>66</v>
      </c>
      <c r="I9" t="s">
        <v>66</v>
      </c>
      <c r="J9" t="s">
        <v>66</v>
      </c>
      <c r="K9" t="s">
        <v>66</v>
      </c>
      <c r="L9" t="s">
        <v>66</v>
      </c>
      <c r="M9" t="s">
        <v>66</v>
      </c>
      <c r="N9" t="s">
        <v>66</v>
      </c>
      <c r="O9" t="s">
        <v>66</v>
      </c>
      <c r="P9" t="s">
        <v>66</v>
      </c>
      <c r="Q9" t="s">
        <v>66</v>
      </c>
      <c r="R9" t="s">
        <v>66</v>
      </c>
      <c r="S9" t="s">
        <v>66</v>
      </c>
      <c r="T9" t="s">
        <v>66</v>
      </c>
      <c r="U9" t="s">
        <v>66</v>
      </c>
      <c r="V9">
        <v>19.3138391794588</v>
      </c>
      <c r="W9">
        <v>24.2129465694446</v>
      </c>
      <c r="X9">
        <v>13.2456573648531</v>
      </c>
      <c r="Y9">
        <v>11.3266613789272</v>
      </c>
      <c r="Z9">
        <v>9.7033938773226502</v>
      </c>
      <c r="AA9">
        <v>-1.79037157439878</v>
      </c>
      <c r="AB9">
        <v>7.1538466240838501</v>
      </c>
      <c r="AC9">
        <v>8.8765342550045805</v>
      </c>
    </row>
    <row r="10" spans="1:31" x14ac:dyDescent="0.25">
      <c r="A10" t="s">
        <v>69</v>
      </c>
      <c r="B10" t="s">
        <v>70</v>
      </c>
      <c r="C10">
        <v>207.4325</v>
      </c>
      <c r="D10">
        <v>210.2482</v>
      </c>
      <c r="E10">
        <v>226.81800000000001</v>
      </c>
      <c r="F10">
        <v>258.84039999999999</v>
      </c>
      <c r="G10">
        <v>313.6053</v>
      </c>
      <c r="H10">
        <v>329.44729999999998</v>
      </c>
      <c r="I10">
        <v>335.62490000000003</v>
      </c>
      <c r="J10">
        <v>348.22710000000001</v>
      </c>
      <c r="K10">
        <v>410.57749999999999</v>
      </c>
      <c r="L10">
        <v>408.47039999999998</v>
      </c>
      <c r="M10">
        <v>402.6755</v>
      </c>
      <c r="N10">
        <v>413.68180000000001</v>
      </c>
      <c r="O10">
        <v>483.78649999999999</v>
      </c>
      <c r="P10">
        <v>576.57010000000002</v>
      </c>
      <c r="Q10">
        <v>620.36680000000001</v>
      </c>
      <c r="R10">
        <v>659.47829999999999</v>
      </c>
      <c r="S10">
        <v>782.17759999999998</v>
      </c>
      <c r="T10">
        <v>918.57039999999995</v>
      </c>
      <c r="U10">
        <v>978.47619999999995</v>
      </c>
      <c r="V10">
        <v>1081.1881000000001</v>
      </c>
      <c r="W10">
        <v>1234.2253000000001</v>
      </c>
      <c r="X10">
        <v>1428.3456000000001</v>
      </c>
      <c r="Y10">
        <v>1554.5228999999999</v>
      </c>
      <c r="Z10">
        <v>1814.1802</v>
      </c>
      <c r="AA10">
        <v>1823.1759999999999</v>
      </c>
      <c r="AB10">
        <v>1861.5752</v>
      </c>
      <c r="AC10">
        <v>1874.5464999999999</v>
      </c>
    </row>
    <row r="11" spans="1:31" x14ac:dyDescent="0.25">
      <c r="A11" t="s">
        <v>65</v>
      </c>
      <c r="B11" t="s">
        <v>70</v>
      </c>
      <c r="C11" t="s">
        <v>66</v>
      </c>
      <c r="D11">
        <v>-4.8092560000000004</v>
      </c>
      <c r="E11">
        <v>15.606982</v>
      </c>
      <c r="F11">
        <v>11.622659000000001</v>
      </c>
      <c r="G11">
        <v>9.0515699999999999</v>
      </c>
      <c r="H11">
        <v>7.7883060000000004</v>
      </c>
      <c r="I11">
        <v>16.131326999999999</v>
      </c>
      <c r="J11">
        <v>4.8261710000000004</v>
      </c>
      <c r="K11">
        <v>23.239369</v>
      </c>
      <c r="L11">
        <v>14.820532</v>
      </c>
      <c r="M11">
        <v>1.6468879999999999</v>
      </c>
      <c r="N11">
        <v>-2.713524</v>
      </c>
      <c r="O11">
        <v>-2.3319619999999999</v>
      </c>
      <c r="P11">
        <v>8.4737810000000007</v>
      </c>
      <c r="Q11">
        <v>7.5960320000000001</v>
      </c>
      <c r="R11">
        <v>5.2747679999999999</v>
      </c>
      <c r="S11">
        <v>8.7064199999999996</v>
      </c>
      <c r="T11">
        <v>9.4461969999999997</v>
      </c>
      <c r="U11">
        <v>12.361890000000001</v>
      </c>
      <c r="V11">
        <v>16.146501000000001</v>
      </c>
      <c r="W11">
        <v>8.7607359999999996</v>
      </c>
      <c r="X11">
        <v>25.315884</v>
      </c>
      <c r="Y11">
        <v>5.3564999999999996</v>
      </c>
      <c r="Z11">
        <v>16.688029</v>
      </c>
      <c r="AA11">
        <v>20.276800999999999</v>
      </c>
      <c r="AB11">
        <v>2.3987820000000002</v>
      </c>
      <c r="AC11">
        <v>-1.343718</v>
      </c>
    </row>
    <row r="12" spans="1:31" x14ac:dyDescent="0.25">
      <c r="A12" t="s">
        <v>71</v>
      </c>
      <c r="B12" t="s">
        <v>72</v>
      </c>
      <c r="C12" t="s">
        <v>66</v>
      </c>
      <c r="D12" t="s">
        <v>66</v>
      </c>
      <c r="E12" t="s">
        <v>66</v>
      </c>
      <c r="F12" t="s">
        <v>66</v>
      </c>
      <c r="G12" t="s">
        <v>66</v>
      </c>
      <c r="H12" t="s">
        <v>66</v>
      </c>
      <c r="I12" t="s">
        <v>66</v>
      </c>
      <c r="J12" t="s">
        <v>66</v>
      </c>
      <c r="K12" t="s">
        <v>66</v>
      </c>
      <c r="L12" t="s">
        <v>66</v>
      </c>
      <c r="M12" t="s">
        <v>66</v>
      </c>
      <c r="N12" t="s">
        <v>66</v>
      </c>
      <c r="O12" t="s">
        <v>66</v>
      </c>
      <c r="P12" t="s">
        <v>66</v>
      </c>
      <c r="Q12" t="s">
        <v>66</v>
      </c>
      <c r="R12" t="s">
        <v>66</v>
      </c>
      <c r="S12" t="s">
        <v>66</v>
      </c>
      <c r="T12" t="s">
        <v>66</v>
      </c>
      <c r="U12">
        <v>963.13739999999996</v>
      </c>
      <c r="V12">
        <v>1064.4728</v>
      </c>
      <c r="W12">
        <v>1214.0354</v>
      </c>
      <c r="X12">
        <v>1408.0288</v>
      </c>
      <c r="Y12">
        <v>1527.8237999999999</v>
      </c>
      <c r="Z12">
        <v>1777.6469</v>
      </c>
      <c r="AA12">
        <v>1788.433</v>
      </c>
      <c r="AB12">
        <v>1824.2750000000001</v>
      </c>
      <c r="AC12">
        <v>1836.136</v>
      </c>
    </row>
    <row r="13" spans="1:31" x14ac:dyDescent="0.25">
      <c r="A13" t="s">
        <v>65</v>
      </c>
      <c r="B13" t="s">
        <v>72</v>
      </c>
      <c r="C13" t="s">
        <v>66</v>
      </c>
      <c r="D13" t="s">
        <v>66</v>
      </c>
      <c r="E13" t="s">
        <v>66</v>
      </c>
      <c r="F13" t="s">
        <v>66</v>
      </c>
      <c r="G13" t="s">
        <v>66</v>
      </c>
      <c r="H13" t="s">
        <v>66</v>
      </c>
      <c r="I13" t="s">
        <v>66</v>
      </c>
      <c r="J13" t="s">
        <v>66</v>
      </c>
      <c r="K13" t="s">
        <v>66</v>
      </c>
      <c r="L13" t="s">
        <v>66</v>
      </c>
      <c r="M13" t="s">
        <v>66</v>
      </c>
      <c r="N13" t="s">
        <v>66</v>
      </c>
      <c r="O13" t="s">
        <v>66</v>
      </c>
      <c r="P13" t="s">
        <v>66</v>
      </c>
      <c r="Q13" t="s">
        <v>66</v>
      </c>
      <c r="R13" t="s">
        <v>66</v>
      </c>
      <c r="S13" t="s">
        <v>66</v>
      </c>
      <c r="T13" t="s">
        <v>66</v>
      </c>
      <c r="U13" t="s">
        <v>66</v>
      </c>
      <c r="V13">
        <v>10.5213804878586</v>
      </c>
      <c r="W13">
        <v>14.0503962366714</v>
      </c>
      <c r="X13">
        <v>15.979222500773499</v>
      </c>
      <c r="Y13">
        <v>8.5081181231286909</v>
      </c>
      <c r="Z13">
        <v>16.351628178440802</v>
      </c>
      <c r="AA13">
        <v>0.60729745726053697</v>
      </c>
      <c r="AB13">
        <v>2.0037787205090298</v>
      </c>
      <c r="AC13">
        <v>0.65018574534323903</v>
      </c>
    </row>
    <row r="14" spans="1:31" x14ac:dyDescent="0.25">
      <c r="A14" t="s">
        <v>73</v>
      </c>
      <c r="B14" t="s">
        <v>74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  <c r="H14" t="s">
        <v>66</v>
      </c>
      <c r="I14" t="s">
        <v>66</v>
      </c>
      <c r="J14" t="s">
        <v>66</v>
      </c>
      <c r="K14" t="s">
        <v>66</v>
      </c>
      <c r="L14" t="s">
        <v>66</v>
      </c>
      <c r="M14" t="s">
        <v>66</v>
      </c>
      <c r="N14" t="s">
        <v>66</v>
      </c>
      <c r="O14" t="s">
        <v>66</v>
      </c>
      <c r="P14" t="s">
        <v>66</v>
      </c>
      <c r="Q14" t="s">
        <v>66</v>
      </c>
      <c r="R14" t="s">
        <v>66</v>
      </c>
      <c r="S14" t="s">
        <v>66</v>
      </c>
      <c r="T14" t="s">
        <v>66</v>
      </c>
      <c r="U14">
        <v>15.338799999999999</v>
      </c>
      <c r="V14">
        <v>16.715299999999999</v>
      </c>
      <c r="W14">
        <v>20.189800000000002</v>
      </c>
      <c r="X14">
        <v>20.316800000000001</v>
      </c>
      <c r="Y14">
        <v>26.699100000000001</v>
      </c>
      <c r="Z14">
        <v>36.5334</v>
      </c>
      <c r="AA14">
        <v>34.743000000000002</v>
      </c>
      <c r="AB14">
        <v>37.3001</v>
      </c>
      <c r="AC14">
        <v>38.410499999999999</v>
      </c>
    </row>
    <row r="15" spans="1:31" x14ac:dyDescent="0.25">
      <c r="A15" t="s">
        <v>65</v>
      </c>
      <c r="B15" t="s">
        <v>74</v>
      </c>
      <c r="C15" t="s">
        <v>66</v>
      </c>
      <c r="D15" t="s">
        <v>66</v>
      </c>
      <c r="E15" t="s">
        <v>66</v>
      </c>
      <c r="F15" t="s">
        <v>66</v>
      </c>
      <c r="G15" t="s">
        <v>66</v>
      </c>
      <c r="H15" t="s">
        <v>66</v>
      </c>
      <c r="I15" t="s">
        <v>66</v>
      </c>
      <c r="J15" t="s">
        <v>66</v>
      </c>
      <c r="K15" t="s">
        <v>66</v>
      </c>
      <c r="L15" t="s">
        <v>66</v>
      </c>
      <c r="M15" t="s">
        <v>66</v>
      </c>
      <c r="N15" t="s">
        <v>66</v>
      </c>
      <c r="O15" t="s">
        <v>66</v>
      </c>
      <c r="P15" t="s">
        <v>66</v>
      </c>
      <c r="Q15" t="s">
        <v>66</v>
      </c>
      <c r="R15" t="s">
        <v>66</v>
      </c>
      <c r="S15" t="s">
        <v>66</v>
      </c>
      <c r="T15" t="s">
        <v>66</v>
      </c>
      <c r="U15" t="s">
        <v>66</v>
      </c>
      <c r="V15">
        <v>8.9739460781948797</v>
      </c>
      <c r="W15">
        <v>20.7865309028256</v>
      </c>
      <c r="X15">
        <v>0.62869273150429095</v>
      </c>
      <c r="Y15">
        <v>31.414098791229701</v>
      </c>
      <c r="Z15">
        <v>36.833958129885403</v>
      </c>
      <c r="AA15">
        <v>-4.9000582288716696</v>
      </c>
      <c r="AB15">
        <v>7.3597201460403898</v>
      </c>
      <c r="AC15">
        <v>2.97693547588434</v>
      </c>
    </row>
    <row r="16" spans="1:31" x14ac:dyDescent="0.25">
      <c r="A16" t="s">
        <v>1</v>
      </c>
      <c r="B16" t="s">
        <v>75</v>
      </c>
      <c r="C16">
        <v>218.54650000000001</v>
      </c>
      <c r="D16">
        <v>254.80099999999999</v>
      </c>
      <c r="E16">
        <v>276.98050000000001</v>
      </c>
      <c r="F16">
        <v>360.34249999999997</v>
      </c>
      <c r="G16">
        <v>454.25209999999998</v>
      </c>
      <c r="H16">
        <v>488.70389999999998</v>
      </c>
      <c r="I16">
        <v>498.01519999999999</v>
      </c>
      <c r="J16">
        <v>506.71589999999998</v>
      </c>
      <c r="K16">
        <v>577.8048</v>
      </c>
      <c r="L16">
        <v>661.76880000000006</v>
      </c>
      <c r="M16">
        <v>696.17370000000005</v>
      </c>
      <c r="N16">
        <v>761.25390000000004</v>
      </c>
      <c r="O16">
        <v>909.13810000000001</v>
      </c>
      <c r="P16">
        <v>1079.9803999999999</v>
      </c>
      <c r="Q16">
        <v>1155.6291000000001</v>
      </c>
      <c r="R16">
        <v>1243.8244999999999</v>
      </c>
      <c r="S16">
        <v>1445.5069000000001</v>
      </c>
      <c r="T16">
        <v>1676.961</v>
      </c>
      <c r="U16">
        <v>1690.8939</v>
      </c>
      <c r="V16">
        <v>2103.7399</v>
      </c>
      <c r="W16">
        <v>2721.8676999999998</v>
      </c>
      <c r="X16">
        <v>3051.7579000000001</v>
      </c>
      <c r="Y16">
        <v>3433.0209</v>
      </c>
      <c r="Z16">
        <v>3657.3213999999998</v>
      </c>
      <c r="AA16">
        <v>3550.337</v>
      </c>
      <c r="AB16">
        <v>3896.3690000000001</v>
      </c>
      <c r="AC16">
        <v>4394.5028000000002</v>
      </c>
      <c r="AD16">
        <v>4773.8883819000002</v>
      </c>
      <c r="AE16">
        <v>5147.2437523199997</v>
      </c>
    </row>
    <row r="17" spans="1:31" x14ac:dyDescent="0.25">
      <c r="A17" t="s">
        <v>65</v>
      </c>
      <c r="B17" t="s">
        <v>75</v>
      </c>
      <c r="C17" t="s">
        <v>66</v>
      </c>
      <c r="D17">
        <v>16.588928218630201</v>
      </c>
      <c r="E17">
        <v>8.7046392542925108</v>
      </c>
      <c r="F17">
        <v>30.096697007389501</v>
      </c>
      <c r="G17">
        <v>26.061184787720201</v>
      </c>
      <c r="H17">
        <v>7.5842957231682799</v>
      </c>
      <c r="I17">
        <v>1.9052993029112399</v>
      </c>
      <c r="J17">
        <v>1.7470897452899199</v>
      </c>
      <c r="K17">
        <v>14.0293217219153</v>
      </c>
      <c r="L17">
        <v>14.531560084741001</v>
      </c>
      <c r="M17">
        <v>5.1989336837864499</v>
      </c>
      <c r="N17">
        <v>9.3482689924003495</v>
      </c>
      <c r="O17">
        <v>19.426392911594</v>
      </c>
      <c r="P17">
        <v>18.7916775520684</v>
      </c>
      <c r="Q17">
        <v>7.0046423046797903</v>
      </c>
      <c r="R17">
        <v>7.6318042926070104</v>
      </c>
      <c r="S17">
        <v>16.214701057216001</v>
      </c>
      <c r="T17">
        <v>16.0119665534997</v>
      </c>
      <c r="U17">
        <v>0.83084334551449601</v>
      </c>
      <c r="V17">
        <v>24.4158430460133</v>
      </c>
      <c r="W17">
        <v>29.3823268915325</v>
      </c>
      <c r="X17">
        <v>12.1199926143361</v>
      </c>
      <c r="Y17">
        <v>12.4933589545841</v>
      </c>
      <c r="Z17">
        <v>6.53368080594496</v>
      </c>
      <c r="AA17">
        <v>-2.9246993891145801</v>
      </c>
      <c r="AB17">
        <v>9.7461072336714096</v>
      </c>
      <c r="AC17">
        <v>12.7845773188447</v>
      </c>
      <c r="AD17">
        <v>8.6327535427594704</v>
      </c>
      <c r="AE17">
        <v>7.82078131184553</v>
      </c>
    </row>
    <row r="18" spans="1:31" x14ac:dyDescent="0.25">
      <c r="A18" t="s">
        <v>76</v>
      </c>
      <c r="B18" t="s">
        <v>77</v>
      </c>
      <c r="C18" t="s">
        <v>66</v>
      </c>
      <c r="D18" t="s">
        <v>66</v>
      </c>
      <c r="E18" t="s">
        <v>66</v>
      </c>
      <c r="F18" t="s">
        <v>66</v>
      </c>
      <c r="G18" t="s">
        <v>66</v>
      </c>
      <c r="H18" t="s">
        <v>66</v>
      </c>
      <c r="I18" t="s">
        <v>66</v>
      </c>
      <c r="J18" t="s">
        <v>66</v>
      </c>
      <c r="K18" t="s">
        <v>66</v>
      </c>
      <c r="L18" t="s">
        <v>66</v>
      </c>
      <c r="M18" t="s">
        <v>66</v>
      </c>
      <c r="N18" t="s">
        <v>66</v>
      </c>
      <c r="O18" t="s">
        <v>66</v>
      </c>
      <c r="P18" t="s">
        <v>66</v>
      </c>
      <c r="Q18" t="s">
        <v>66</v>
      </c>
      <c r="R18" t="s">
        <v>66</v>
      </c>
      <c r="S18" t="s">
        <v>66</v>
      </c>
      <c r="T18" t="s">
        <v>66</v>
      </c>
      <c r="U18" t="s">
        <v>66</v>
      </c>
      <c r="V18" t="s">
        <v>66</v>
      </c>
      <c r="W18" t="s">
        <v>66</v>
      </c>
      <c r="X18" t="s">
        <v>66</v>
      </c>
      <c r="Y18" t="s">
        <v>66</v>
      </c>
      <c r="Z18" t="s">
        <v>66</v>
      </c>
      <c r="AA18">
        <v>0</v>
      </c>
      <c r="AB18">
        <v>0</v>
      </c>
      <c r="AC18">
        <v>0</v>
      </c>
    </row>
    <row r="19" spans="1:31" x14ac:dyDescent="0.25">
      <c r="A19" t="s">
        <v>78</v>
      </c>
      <c r="B19" t="s">
        <v>79</v>
      </c>
      <c r="C19">
        <v>166.21270000000001</v>
      </c>
      <c r="D19">
        <v>193.75630000000001</v>
      </c>
      <c r="E19">
        <v>214.43199999999999</v>
      </c>
      <c r="F19">
        <v>257.16039999999998</v>
      </c>
      <c r="G19">
        <v>316.87670000000003</v>
      </c>
      <c r="H19">
        <v>341.35930000000002</v>
      </c>
      <c r="I19">
        <v>325.87869999999998</v>
      </c>
      <c r="J19">
        <v>329.40949999999998</v>
      </c>
      <c r="K19">
        <v>373.28769999999997</v>
      </c>
      <c r="L19">
        <v>395.92660000000001</v>
      </c>
      <c r="M19">
        <v>421.12549999999999</v>
      </c>
      <c r="N19">
        <v>458.4169</v>
      </c>
      <c r="O19">
        <v>532.25570000000005</v>
      </c>
      <c r="P19">
        <v>635.67049999999995</v>
      </c>
      <c r="Q19">
        <v>678.47170000000006</v>
      </c>
      <c r="R19">
        <v>722.17200000000003</v>
      </c>
      <c r="S19">
        <v>877.31100000000004</v>
      </c>
      <c r="T19">
        <v>971.52250000000004</v>
      </c>
      <c r="U19">
        <v>1041.5047999999999</v>
      </c>
      <c r="V19">
        <v>1212.2573</v>
      </c>
      <c r="W19">
        <v>1486.3893</v>
      </c>
      <c r="X19">
        <v>1617.883</v>
      </c>
      <c r="Y19">
        <v>1788.1729</v>
      </c>
      <c r="Z19">
        <v>1898.5391</v>
      </c>
      <c r="AA19">
        <v>1814.6289999999999</v>
      </c>
      <c r="AB19">
        <v>2008.4512999999999</v>
      </c>
      <c r="AC19">
        <v>2175.8431999999998</v>
      </c>
    </row>
    <row r="20" spans="1:31" x14ac:dyDescent="0.25">
      <c r="A20" t="s">
        <v>65</v>
      </c>
      <c r="B20" t="s">
        <v>79</v>
      </c>
      <c r="C20" t="s">
        <v>66</v>
      </c>
      <c r="D20">
        <v>9.4789739999999991</v>
      </c>
      <c r="E20">
        <v>18.596696000000001</v>
      </c>
      <c r="F20">
        <v>17.303889999999999</v>
      </c>
      <c r="G20">
        <v>10.908967000000001</v>
      </c>
      <c r="H20">
        <v>10.532645</v>
      </c>
      <c r="I20">
        <v>8.8242039999999999</v>
      </c>
      <c r="J20">
        <v>2.1272129999999998</v>
      </c>
      <c r="K20">
        <v>18.447099000000001</v>
      </c>
      <c r="L20">
        <v>22.412299000000001</v>
      </c>
      <c r="M20">
        <v>9.6721489999999992</v>
      </c>
      <c r="N20">
        <v>3.0837910000000002</v>
      </c>
      <c r="O20">
        <v>-3.0328040000000001</v>
      </c>
      <c r="P20">
        <v>8.7021259999999998</v>
      </c>
      <c r="Q20">
        <v>6.7332150000000004</v>
      </c>
      <c r="R20">
        <v>5.4098680000000003</v>
      </c>
      <c r="S20">
        <v>11.343076</v>
      </c>
      <c r="T20">
        <v>3.203125</v>
      </c>
      <c r="U20">
        <v>13.080999</v>
      </c>
      <c r="V20">
        <v>22.345696</v>
      </c>
      <c r="W20">
        <v>16.819873000000001</v>
      </c>
      <c r="X20">
        <v>17.864169</v>
      </c>
      <c r="Y20">
        <v>6.9941190000000004</v>
      </c>
      <c r="Z20">
        <v>6.1580750000000002</v>
      </c>
      <c r="AA20">
        <v>14.393674000000001</v>
      </c>
      <c r="AB20">
        <v>10.998286999999999</v>
      </c>
      <c r="AC20">
        <v>6.1390940000000001</v>
      </c>
    </row>
    <row r="21" spans="1:31" x14ac:dyDescent="0.25">
      <c r="A21" t="s">
        <v>80</v>
      </c>
      <c r="B21" t="s">
        <v>81</v>
      </c>
      <c r="C21" t="s">
        <v>66</v>
      </c>
      <c r="D21" t="s">
        <v>66</v>
      </c>
      <c r="E21" t="s">
        <v>66</v>
      </c>
      <c r="F21" t="s">
        <v>66</v>
      </c>
      <c r="G21" t="s">
        <v>66</v>
      </c>
      <c r="H21" t="s">
        <v>66</v>
      </c>
      <c r="I21" t="s">
        <v>66</v>
      </c>
      <c r="J21" t="s">
        <v>66</v>
      </c>
      <c r="K21" t="s">
        <v>66</v>
      </c>
      <c r="L21" t="s">
        <v>66</v>
      </c>
      <c r="M21" t="s">
        <v>66</v>
      </c>
      <c r="N21" t="s">
        <v>66</v>
      </c>
      <c r="O21" t="s">
        <v>66</v>
      </c>
      <c r="P21" t="s">
        <v>66</v>
      </c>
      <c r="Q21" t="s">
        <v>66</v>
      </c>
      <c r="R21" t="s">
        <v>66</v>
      </c>
      <c r="S21" t="s">
        <v>66</v>
      </c>
      <c r="T21">
        <v>900.47850000000005</v>
      </c>
      <c r="U21">
        <v>921.16489999999999</v>
      </c>
      <c r="V21">
        <v>1064.2075</v>
      </c>
      <c r="W21">
        <v>1316.7946999999999</v>
      </c>
      <c r="X21">
        <v>1454.0630000000001</v>
      </c>
      <c r="Y21">
        <v>1614.2969000000001</v>
      </c>
      <c r="Z21">
        <v>1716.0051000000001</v>
      </c>
      <c r="AA21">
        <v>1574.9799</v>
      </c>
      <c r="AB21">
        <v>1710.3824</v>
      </c>
      <c r="AC21">
        <v>1871.2702999999999</v>
      </c>
    </row>
    <row r="22" spans="1:31" x14ac:dyDescent="0.25">
      <c r="A22" t="s">
        <v>65</v>
      </c>
      <c r="B22" t="s">
        <v>81</v>
      </c>
      <c r="C22" t="s">
        <v>66</v>
      </c>
      <c r="D22" t="s">
        <v>66</v>
      </c>
      <c r="E22" t="s">
        <v>66</v>
      </c>
      <c r="F22" t="s">
        <v>66</v>
      </c>
      <c r="G22" t="s">
        <v>66</v>
      </c>
      <c r="H22" t="s">
        <v>66</v>
      </c>
      <c r="I22" t="s">
        <v>66</v>
      </c>
      <c r="J22" t="s">
        <v>66</v>
      </c>
      <c r="K22" t="s">
        <v>66</v>
      </c>
      <c r="L22" t="s">
        <v>66</v>
      </c>
      <c r="M22" t="s">
        <v>66</v>
      </c>
      <c r="N22" t="s">
        <v>66</v>
      </c>
      <c r="O22" t="s">
        <v>66</v>
      </c>
      <c r="P22" t="s">
        <v>66</v>
      </c>
      <c r="Q22" t="s">
        <v>66</v>
      </c>
      <c r="R22" t="s">
        <v>66</v>
      </c>
      <c r="S22" t="s">
        <v>66</v>
      </c>
      <c r="T22" t="s">
        <v>66</v>
      </c>
      <c r="U22">
        <v>2.2972656306497798</v>
      </c>
      <c r="V22">
        <v>15.528444392635199</v>
      </c>
      <c r="W22">
        <v>23.734774720216599</v>
      </c>
      <c r="X22">
        <v>10.424429055853</v>
      </c>
      <c r="Y22">
        <v>11.019862628705599</v>
      </c>
      <c r="Z22">
        <v>6.3005273644592297</v>
      </c>
      <c r="AA22">
        <v>-8.2177437378195108</v>
      </c>
      <c r="AB22">
        <v>8.5967478768279797</v>
      </c>
      <c r="AC22">
        <v>9.4065623364292001</v>
      </c>
    </row>
    <row r="23" spans="1:31" x14ac:dyDescent="0.25">
      <c r="A23" t="s">
        <v>82</v>
      </c>
      <c r="B23" t="s">
        <v>83</v>
      </c>
      <c r="C23" t="s">
        <v>66</v>
      </c>
      <c r="D23" t="s">
        <v>66</v>
      </c>
      <c r="E23" t="s">
        <v>66</v>
      </c>
      <c r="F23" t="s">
        <v>66</v>
      </c>
      <c r="G23" t="s">
        <v>66</v>
      </c>
      <c r="H23" t="s">
        <v>66</v>
      </c>
      <c r="I23" t="s">
        <v>66</v>
      </c>
      <c r="J23" t="s">
        <v>66</v>
      </c>
      <c r="K23" t="s">
        <v>66</v>
      </c>
      <c r="L23" t="s">
        <v>66</v>
      </c>
      <c r="M23" t="s">
        <v>66</v>
      </c>
      <c r="N23" t="s">
        <v>66</v>
      </c>
      <c r="O23" t="s">
        <v>66</v>
      </c>
      <c r="P23" t="s">
        <v>66</v>
      </c>
      <c r="Q23" t="s">
        <v>66</v>
      </c>
      <c r="R23" t="s">
        <v>66</v>
      </c>
      <c r="S23" t="s">
        <v>66</v>
      </c>
      <c r="T23" t="s">
        <v>66</v>
      </c>
      <c r="U23">
        <v>127.4515</v>
      </c>
      <c r="V23">
        <v>167.68360000000001</v>
      </c>
      <c r="W23">
        <v>206.35400000000001</v>
      </c>
      <c r="X23">
        <v>233.9</v>
      </c>
      <c r="Y23">
        <v>280.5394</v>
      </c>
      <c r="Z23">
        <v>275.52800000000002</v>
      </c>
      <c r="AA23">
        <v>238.20609999999999</v>
      </c>
      <c r="AB23">
        <v>268.18459999999999</v>
      </c>
      <c r="AC23">
        <v>311.23820000000001</v>
      </c>
    </row>
    <row r="24" spans="1:31" x14ac:dyDescent="0.25">
      <c r="A24" t="s">
        <v>65</v>
      </c>
      <c r="B24" t="s">
        <v>83</v>
      </c>
      <c r="C24" t="s">
        <v>66</v>
      </c>
      <c r="D24" t="s">
        <v>66</v>
      </c>
      <c r="E24" t="s">
        <v>66</v>
      </c>
      <c r="F24" t="s">
        <v>66</v>
      </c>
      <c r="G24" t="s">
        <v>66</v>
      </c>
      <c r="H24" t="s">
        <v>66</v>
      </c>
      <c r="I24" t="s">
        <v>66</v>
      </c>
      <c r="J24" t="s">
        <v>66</v>
      </c>
      <c r="K24" t="s">
        <v>66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  <c r="S24" t="s">
        <v>66</v>
      </c>
      <c r="T24" t="s">
        <v>66</v>
      </c>
      <c r="U24" t="s">
        <v>66</v>
      </c>
      <c r="V24">
        <v>31.566619130157999</v>
      </c>
      <c r="W24">
        <v>23.0614901698703</v>
      </c>
      <c r="X24">
        <v>13.3488837308486</v>
      </c>
      <c r="Y24">
        <v>19.940043510312702</v>
      </c>
      <c r="Z24">
        <v>-1.78629475486398</v>
      </c>
      <c r="AA24">
        <v>-13.545109320240501</v>
      </c>
      <c r="AB24">
        <v>12.5847326860724</v>
      </c>
      <c r="AC24">
        <v>16.053740762578101</v>
      </c>
    </row>
    <row r="25" spans="1:31" x14ac:dyDescent="0.25">
      <c r="A25" t="s">
        <v>84</v>
      </c>
      <c r="B25" t="s">
        <v>85</v>
      </c>
      <c r="C25" t="s">
        <v>66</v>
      </c>
      <c r="D25" t="s">
        <v>66</v>
      </c>
      <c r="E25" t="s">
        <v>66</v>
      </c>
      <c r="F25" t="s">
        <v>66</v>
      </c>
      <c r="G25" t="s">
        <v>66</v>
      </c>
      <c r="H25" t="s">
        <v>66</v>
      </c>
      <c r="I25" t="s">
        <v>66</v>
      </c>
      <c r="J25" t="s">
        <v>66</v>
      </c>
      <c r="K25" t="s">
        <v>66</v>
      </c>
      <c r="L25" t="s">
        <v>66</v>
      </c>
      <c r="M25" t="s">
        <v>66</v>
      </c>
      <c r="N25" t="s">
        <v>66</v>
      </c>
      <c r="O25" t="s">
        <v>66</v>
      </c>
      <c r="P25" t="s">
        <v>66</v>
      </c>
      <c r="Q25" t="s">
        <v>66</v>
      </c>
      <c r="R25" t="s">
        <v>66</v>
      </c>
      <c r="S25" t="s">
        <v>66</v>
      </c>
      <c r="T25" t="s">
        <v>66</v>
      </c>
      <c r="U25">
        <v>793.71339999999998</v>
      </c>
      <c r="V25">
        <v>896.52380000000005</v>
      </c>
      <c r="W25">
        <v>1110.4407000000001</v>
      </c>
      <c r="X25">
        <v>1220.1631</v>
      </c>
      <c r="Y25">
        <v>1333.7574999999999</v>
      </c>
      <c r="Z25">
        <v>1440.4772</v>
      </c>
      <c r="AA25">
        <v>1336.7737999999999</v>
      </c>
      <c r="AB25">
        <v>1442.1977999999999</v>
      </c>
      <c r="AC25">
        <v>1560.0320999999999</v>
      </c>
    </row>
    <row r="26" spans="1:31" x14ac:dyDescent="0.25">
      <c r="A26" t="s">
        <v>65</v>
      </c>
      <c r="B26" t="s">
        <v>85</v>
      </c>
      <c r="C26" t="s">
        <v>66</v>
      </c>
      <c r="D26" t="s">
        <v>66</v>
      </c>
      <c r="E26" t="s">
        <v>66</v>
      </c>
      <c r="F26" t="s">
        <v>66</v>
      </c>
      <c r="G26" t="s">
        <v>66</v>
      </c>
      <c r="H26" t="s">
        <v>66</v>
      </c>
      <c r="I26" t="s">
        <v>66</v>
      </c>
      <c r="J26" t="s">
        <v>66</v>
      </c>
      <c r="K26" t="s">
        <v>66</v>
      </c>
      <c r="L26" t="s">
        <v>66</v>
      </c>
      <c r="M26" t="s">
        <v>66</v>
      </c>
      <c r="N26" t="s">
        <v>66</v>
      </c>
      <c r="O26" t="s">
        <v>66</v>
      </c>
      <c r="P26" t="s">
        <v>66</v>
      </c>
      <c r="Q26" t="s">
        <v>66</v>
      </c>
      <c r="R26" t="s">
        <v>66</v>
      </c>
      <c r="S26" t="s">
        <v>66</v>
      </c>
      <c r="T26" t="s">
        <v>66</v>
      </c>
      <c r="U26" t="s">
        <v>66</v>
      </c>
      <c r="V26">
        <v>12.9530943290175</v>
      </c>
      <c r="W26">
        <v>23.860704236714099</v>
      </c>
      <c r="X26">
        <v>9.8809755353158604</v>
      </c>
      <c r="Y26">
        <v>9.3099027767251492</v>
      </c>
      <c r="Z26">
        <v>8.0014902481589303</v>
      </c>
      <c r="AA26">
        <v>-7.1987493432682497</v>
      </c>
      <c r="AB26">
        <v>7.8861097136269196</v>
      </c>
      <c r="AC26">
        <v>8.1704830307361291</v>
      </c>
    </row>
    <row r="27" spans="1:31" x14ac:dyDescent="0.25">
      <c r="A27" t="s">
        <v>86</v>
      </c>
      <c r="B27" t="s">
        <v>87</v>
      </c>
      <c r="C27" t="s">
        <v>66</v>
      </c>
      <c r="D27" t="s">
        <v>66</v>
      </c>
      <c r="E27" t="s">
        <v>66</v>
      </c>
      <c r="F27" t="s">
        <v>66</v>
      </c>
      <c r="G27" t="s">
        <v>66</v>
      </c>
      <c r="H27" t="s">
        <v>66</v>
      </c>
      <c r="I27" t="s">
        <v>66</v>
      </c>
      <c r="J27" t="s">
        <v>66</v>
      </c>
      <c r="K27" t="s">
        <v>66</v>
      </c>
      <c r="L27" t="s">
        <v>66</v>
      </c>
      <c r="M27" t="s">
        <v>66</v>
      </c>
      <c r="N27" t="s">
        <v>66</v>
      </c>
      <c r="O27" t="s">
        <v>66</v>
      </c>
      <c r="P27" t="s">
        <v>66</v>
      </c>
      <c r="Q27" t="s">
        <v>66</v>
      </c>
      <c r="R27" t="s">
        <v>66</v>
      </c>
      <c r="S27" t="s">
        <v>66</v>
      </c>
      <c r="T27" t="s">
        <v>66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31" x14ac:dyDescent="0.25">
      <c r="A28" t="s">
        <v>73</v>
      </c>
      <c r="B28" t="s">
        <v>88</v>
      </c>
      <c r="C28" t="s">
        <v>66</v>
      </c>
      <c r="D28" t="s">
        <v>66</v>
      </c>
      <c r="E28" t="s">
        <v>66</v>
      </c>
      <c r="F28" t="s">
        <v>66</v>
      </c>
      <c r="G28" t="s">
        <v>66</v>
      </c>
      <c r="H28" t="s">
        <v>66</v>
      </c>
      <c r="I28" t="s">
        <v>66</v>
      </c>
      <c r="J28" t="s">
        <v>66</v>
      </c>
      <c r="K28" t="s">
        <v>66</v>
      </c>
      <c r="L28" t="s">
        <v>66</v>
      </c>
      <c r="M28" t="s">
        <v>66</v>
      </c>
      <c r="N28" t="s">
        <v>66</v>
      </c>
      <c r="O28" t="s">
        <v>66</v>
      </c>
      <c r="P28" t="s">
        <v>66</v>
      </c>
      <c r="Q28" t="s">
        <v>66</v>
      </c>
      <c r="R28" t="s">
        <v>66</v>
      </c>
      <c r="S28" t="s">
        <v>66</v>
      </c>
      <c r="T28" t="s">
        <v>66</v>
      </c>
      <c r="U28">
        <v>98.586699999999993</v>
      </c>
      <c r="V28">
        <v>112.0986</v>
      </c>
      <c r="W28">
        <v>134.506</v>
      </c>
      <c r="X28">
        <v>130.2587</v>
      </c>
      <c r="Y28">
        <v>153.0215</v>
      </c>
      <c r="Z28">
        <v>157.2927</v>
      </c>
      <c r="AA28">
        <v>163.50309999999999</v>
      </c>
      <c r="AB28">
        <v>186.05789999999999</v>
      </c>
      <c r="AC28">
        <v>188.7764</v>
      </c>
    </row>
    <row r="29" spans="1:31" x14ac:dyDescent="0.25">
      <c r="A29" t="s">
        <v>65</v>
      </c>
      <c r="B29" t="s">
        <v>88</v>
      </c>
      <c r="C29" t="s">
        <v>66</v>
      </c>
      <c r="D29" t="s">
        <v>66</v>
      </c>
      <c r="E29" t="s">
        <v>66</v>
      </c>
      <c r="F29" t="s">
        <v>66</v>
      </c>
      <c r="G29" t="s">
        <v>66</v>
      </c>
      <c r="H29" t="s">
        <v>66</v>
      </c>
      <c r="I29" t="s">
        <v>66</v>
      </c>
      <c r="J29" t="s">
        <v>66</v>
      </c>
      <c r="K29" t="s">
        <v>66</v>
      </c>
      <c r="L29" t="s">
        <v>66</v>
      </c>
      <c r="M29" t="s">
        <v>66</v>
      </c>
      <c r="N29" t="s">
        <v>66</v>
      </c>
      <c r="O29" t="s">
        <v>66</v>
      </c>
      <c r="P29" t="s">
        <v>66</v>
      </c>
      <c r="Q29" t="s">
        <v>66</v>
      </c>
      <c r="R29" t="s">
        <v>66</v>
      </c>
      <c r="S29" t="s">
        <v>66</v>
      </c>
      <c r="T29" t="s">
        <v>66</v>
      </c>
      <c r="U29" t="s">
        <v>66</v>
      </c>
      <c r="V29">
        <v>13.705672837690001</v>
      </c>
      <c r="W29">
        <v>19.989006824801699</v>
      </c>
      <c r="X29">
        <v>-3.1577056394922298</v>
      </c>
      <c r="Y29">
        <v>17.4751535484287</v>
      </c>
      <c r="Z29">
        <v>2.7913290913542199</v>
      </c>
      <c r="AA29">
        <v>3.94883957768648</v>
      </c>
      <c r="AB29">
        <v>13.7943680996362</v>
      </c>
      <c r="AC29">
        <v>1.46112930140581</v>
      </c>
    </row>
    <row r="30" spans="1:31" x14ac:dyDescent="0.25">
      <c r="A30" t="s">
        <v>89</v>
      </c>
      <c r="B30" t="s">
        <v>90</v>
      </c>
      <c r="C30" t="s">
        <v>66</v>
      </c>
      <c r="D30" t="s">
        <v>66</v>
      </c>
      <c r="E30" t="s">
        <v>66</v>
      </c>
      <c r="F30" t="s">
        <v>66</v>
      </c>
      <c r="G30" t="s">
        <v>66</v>
      </c>
      <c r="H30" t="s">
        <v>66</v>
      </c>
      <c r="I30" t="s">
        <v>66</v>
      </c>
      <c r="J30" t="s">
        <v>66</v>
      </c>
      <c r="K30" t="s">
        <v>66</v>
      </c>
      <c r="L30" t="s">
        <v>66</v>
      </c>
      <c r="M30" t="s">
        <v>66</v>
      </c>
      <c r="N30" t="s">
        <v>66</v>
      </c>
      <c r="O30" t="s">
        <v>66</v>
      </c>
      <c r="P30" t="s">
        <v>66</v>
      </c>
      <c r="Q30" t="s">
        <v>66</v>
      </c>
      <c r="R30" t="s">
        <v>66</v>
      </c>
      <c r="S30" t="s">
        <v>66</v>
      </c>
      <c r="T30" t="s">
        <v>66</v>
      </c>
      <c r="U30">
        <v>14.3627</v>
      </c>
      <c r="V30">
        <v>30.7774</v>
      </c>
      <c r="W30">
        <v>19.075900000000001</v>
      </c>
      <c r="X30">
        <v>20.573899999999998</v>
      </c>
      <c r="Y30">
        <v>3.1879</v>
      </c>
      <c r="Z30">
        <v>14.613300000000001</v>
      </c>
      <c r="AA30">
        <v>24.198</v>
      </c>
      <c r="AB30">
        <v>25.6784</v>
      </c>
      <c r="AC30">
        <v>36.377000000000002</v>
      </c>
    </row>
    <row r="31" spans="1:31" x14ac:dyDescent="0.25">
      <c r="A31" t="s">
        <v>65</v>
      </c>
      <c r="B31" t="s">
        <v>90</v>
      </c>
      <c r="C31" t="s">
        <v>66</v>
      </c>
      <c r="D31" t="s">
        <v>66</v>
      </c>
      <c r="E31" t="s">
        <v>66</v>
      </c>
      <c r="F31" t="s">
        <v>66</v>
      </c>
      <c r="G31" t="s">
        <v>66</v>
      </c>
      <c r="H31" t="s">
        <v>66</v>
      </c>
      <c r="I31" t="s">
        <v>66</v>
      </c>
      <c r="J31" t="s">
        <v>66</v>
      </c>
      <c r="K31" t="s">
        <v>66</v>
      </c>
      <c r="L31" t="s">
        <v>66</v>
      </c>
      <c r="M31" t="s">
        <v>66</v>
      </c>
      <c r="N31" t="s">
        <v>66</v>
      </c>
      <c r="O31" t="s">
        <v>66</v>
      </c>
      <c r="P31" t="s">
        <v>66</v>
      </c>
      <c r="Q31" t="s">
        <v>66</v>
      </c>
      <c r="R31" t="s">
        <v>66</v>
      </c>
      <c r="S31" t="s">
        <v>66</v>
      </c>
      <c r="T31" t="s">
        <v>66</v>
      </c>
      <c r="U31" t="s">
        <v>66</v>
      </c>
      <c r="V31">
        <v>114.286883982383</v>
      </c>
      <c r="W31">
        <v>-38.019707201828602</v>
      </c>
      <c r="X31">
        <v>7.8529835721065897</v>
      </c>
      <c r="Y31">
        <v>-84.504905405319406</v>
      </c>
      <c r="Z31">
        <v>358.39377706871898</v>
      </c>
      <c r="AA31">
        <v>65.589358620862896</v>
      </c>
      <c r="AB31">
        <v>6.1175706408381698</v>
      </c>
      <c r="AC31">
        <v>41.663783258578903</v>
      </c>
    </row>
    <row r="32" spans="1:31" x14ac:dyDescent="0.25">
      <c r="A32" t="s">
        <v>91</v>
      </c>
      <c r="B32" t="s">
        <v>92</v>
      </c>
      <c r="C32" t="s">
        <v>66</v>
      </c>
      <c r="D32" t="s">
        <v>66</v>
      </c>
      <c r="E32" t="s">
        <v>66</v>
      </c>
      <c r="F32" t="s">
        <v>66</v>
      </c>
      <c r="G32" t="s">
        <v>66</v>
      </c>
      <c r="H32" t="s">
        <v>66</v>
      </c>
      <c r="I32" t="s">
        <v>66</v>
      </c>
      <c r="J32" t="s">
        <v>66</v>
      </c>
      <c r="K32" t="s">
        <v>66</v>
      </c>
      <c r="L32" t="s">
        <v>66</v>
      </c>
      <c r="M32" t="s">
        <v>66</v>
      </c>
      <c r="N32" t="s">
        <v>66</v>
      </c>
      <c r="O32" t="s">
        <v>66</v>
      </c>
      <c r="P32" t="s">
        <v>66</v>
      </c>
      <c r="Q32" t="s">
        <v>66</v>
      </c>
      <c r="R32" t="s">
        <v>66</v>
      </c>
      <c r="S32" t="s">
        <v>66</v>
      </c>
      <c r="T32" t="s">
        <v>66</v>
      </c>
      <c r="U32">
        <v>7.3905000000000003</v>
      </c>
      <c r="V32">
        <v>5.1738</v>
      </c>
      <c r="W32">
        <v>16.012599999999999</v>
      </c>
      <c r="X32">
        <v>12.987299999999999</v>
      </c>
      <c r="Y32">
        <v>17.666499999999999</v>
      </c>
      <c r="Z32">
        <v>10.6279</v>
      </c>
      <c r="AA32">
        <v>51.948</v>
      </c>
      <c r="AB32">
        <v>86.332599999999999</v>
      </c>
      <c r="AC32">
        <v>79.419399999999996</v>
      </c>
    </row>
    <row r="33" spans="1:31" x14ac:dyDescent="0.25">
      <c r="A33" t="s">
        <v>65</v>
      </c>
      <c r="B33" t="s">
        <v>92</v>
      </c>
      <c r="C33" t="s">
        <v>66</v>
      </c>
      <c r="D33" t="s">
        <v>66</v>
      </c>
      <c r="E33" t="s">
        <v>66</v>
      </c>
      <c r="F33" t="s">
        <v>66</v>
      </c>
      <c r="G33" t="s">
        <v>66</v>
      </c>
      <c r="H33" t="s">
        <v>66</v>
      </c>
      <c r="I33" t="s">
        <v>66</v>
      </c>
      <c r="J33" t="s">
        <v>66</v>
      </c>
      <c r="K33" t="s">
        <v>66</v>
      </c>
      <c r="L33" t="s">
        <v>66</v>
      </c>
      <c r="M33" t="s">
        <v>66</v>
      </c>
      <c r="N33" t="s">
        <v>66</v>
      </c>
      <c r="O33" t="s">
        <v>66</v>
      </c>
      <c r="P33" t="s">
        <v>66</v>
      </c>
      <c r="Q33" t="s">
        <v>66</v>
      </c>
      <c r="R33" t="s">
        <v>66</v>
      </c>
      <c r="S33" t="s">
        <v>66</v>
      </c>
      <c r="T33" t="s">
        <v>66</v>
      </c>
      <c r="U33" t="s">
        <v>66</v>
      </c>
      <c r="V33">
        <v>-29.994273740635599</v>
      </c>
      <c r="W33">
        <v>209.4954890841</v>
      </c>
      <c r="X33">
        <v>-18.893385687855702</v>
      </c>
      <c r="Y33">
        <v>36.029549795500202</v>
      </c>
      <c r="Z33">
        <v>-39.841694165412903</v>
      </c>
      <c r="AA33">
        <v>388.79242898765102</v>
      </c>
      <c r="AB33">
        <v>66.189869773647501</v>
      </c>
      <c r="AC33">
        <v>-8.0076568662007208</v>
      </c>
    </row>
    <row r="34" spans="1:31" x14ac:dyDescent="0.25">
      <c r="A34" t="s">
        <v>93</v>
      </c>
      <c r="B34" t="s">
        <v>94</v>
      </c>
      <c r="C34">
        <v>52.333799999999997</v>
      </c>
      <c r="D34">
        <v>61.044699999999999</v>
      </c>
      <c r="E34">
        <v>62.5486</v>
      </c>
      <c r="F34">
        <v>103.18210000000001</v>
      </c>
      <c r="G34">
        <v>137.37540000000001</v>
      </c>
      <c r="H34">
        <v>147.34469999999999</v>
      </c>
      <c r="I34">
        <v>172.13650000000001</v>
      </c>
      <c r="J34">
        <v>177.3064</v>
      </c>
      <c r="K34">
        <v>204.517</v>
      </c>
      <c r="L34">
        <v>265.84219999999999</v>
      </c>
      <c r="M34">
        <v>275.04820000000001</v>
      </c>
      <c r="N34">
        <v>302.83699999999999</v>
      </c>
      <c r="O34">
        <v>376.88240000000002</v>
      </c>
      <c r="P34">
        <v>444.30990000000003</v>
      </c>
      <c r="Q34">
        <v>477.1574</v>
      </c>
      <c r="R34">
        <v>521.65250000000003</v>
      </c>
      <c r="S34">
        <v>568.19590000000005</v>
      </c>
      <c r="T34">
        <v>705.43859999999995</v>
      </c>
      <c r="U34">
        <v>649.38919999999996</v>
      </c>
      <c r="V34">
        <v>891.48270000000002</v>
      </c>
      <c r="W34">
        <v>1235.4784</v>
      </c>
      <c r="X34">
        <v>1433.8749</v>
      </c>
      <c r="Y34">
        <v>1644.8480999999999</v>
      </c>
      <c r="Z34">
        <v>1758.7824000000001</v>
      </c>
      <c r="AA34">
        <v>1735.7080000000001</v>
      </c>
      <c r="AB34">
        <v>1887.9177</v>
      </c>
      <c r="AC34">
        <v>2218.6596</v>
      </c>
      <c r="AD34">
        <v>2313.7869999999998</v>
      </c>
      <c r="AE34">
        <v>2475.27</v>
      </c>
    </row>
    <row r="35" spans="1:31" x14ac:dyDescent="0.25">
      <c r="A35" t="s">
        <v>65</v>
      </c>
      <c r="B35" t="s">
        <v>94</v>
      </c>
      <c r="C35" t="s">
        <v>66</v>
      </c>
      <c r="D35">
        <v>9.5480830000000001</v>
      </c>
      <c r="E35">
        <v>9.8014910000000004</v>
      </c>
      <c r="F35">
        <v>61.355936</v>
      </c>
      <c r="G35">
        <v>19.835432000000001</v>
      </c>
      <c r="H35">
        <v>10.051130000000001</v>
      </c>
      <c r="I35">
        <v>33.174038000000003</v>
      </c>
      <c r="J35">
        <v>4.0669839999999997</v>
      </c>
      <c r="K35">
        <v>20.565128999999999</v>
      </c>
      <c r="L35">
        <v>50.019871000000002</v>
      </c>
      <c r="M35">
        <v>6.6802910000000004</v>
      </c>
      <c r="N35">
        <v>4.2657090000000002</v>
      </c>
      <c r="O35">
        <v>3.935041</v>
      </c>
      <c r="P35">
        <v>7.301685</v>
      </c>
      <c r="Q35">
        <v>7.3928849999999997</v>
      </c>
      <c r="R35">
        <v>8.2659710000000004</v>
      </c>
      <c r="S35">
        <v>-0.16859299999999999</v>
      </c>
      <c r="T35">
        <v>15.705669</v>
      </c>
      <c r="U35">
        <v>-2.8982489999999999</v>
      </c>
      <c r="V35">
        <v>44.298904999999998</v>
      </c>
      <c r="W35">
        <v>32.038690000000003</v>
      </c>
      <c r="X35">
        <v>25.673390999999999</v>
      </c>
      <c r="Y35">
        <v>11.048336000000001</v>
      </c>
      <c r="Z35">
        <v>6.9127029999999996</v>
      </c>
      <c r="AA35">
        <v>18.113150999999998</v>
      </c>
      <c r="AB35">
        <v>9.0810259999999996</v>
      </c>
      <c r="AC35">
        <v>15.13748</v>
      </c>
      <c r="AD35">
        <v>4.2871911908683504</v>
      </c>
      <c r="AE35">
        <v>6.9791644606871603</v>
      </c>
    </row>
    <row r="36" spans="1:31" x14ac:dyDescent="0.25">
      <c r="A36" t="s">
        <v>95</v>
      </c>
      <c r="B36" t="s">
        <v>96</v>
      </c>
      <c r="C36" t="s">
        <v>66</v>
      </c>
      <c r="D36" t="s">
        <v>66</v>
      </c>
      <c r="E36" t="s">
        <v>66</v>
      </c>
      <c r="F36" t="s">
        <v>66</v>
      </c>
      <c r="G36" t="s">
        <v>66</v>
      </c>
      <c r="H36" t="s">
        <v>66</v>
      </c>
      <c r="I36" t="s">
        <v>66</v>
      </c>
      <c r="J36" t="s">
        <v>66</v>
      </c>
      <c r="K36" t="s">
        <v>66</v>
      </c>
      <c r="L36" t="s">
        <v>66</v>
      </c>
      <c r="M36" t="s">
        <v>66</v>
      </c>
      <c r="N36" t="s">
        <v>66</v>
      </c>
      <c r="O36" t="s">
        <v>66</v>
      </c>
      <c r="P36" t="s">
        <v>66</v>
      </c>
      <c r="Q36" t="s">
        <v>66</v>
      </c>
      <c r="R36" t="s">
        <v>66</v>
      </c>
      <c r="S36" t="s">
        <v>66</v>
      </c>
      <c r="T36" t="s">
        <v>66</v>
      </c>
      <c r="U36">
        <v>17.709299999999999</v>
      </c>
      <c r="V36">
        <v>16.582599999999999</v>
      </c>
      <c r="W36">
        <v>-17.405000000000001</v>
      </c>
      <c r="X36">
        <v>23.917200000000001</v>
      </c>
      <c r="Y36">
        <v>31.0825</v>
      </c>
      <c r="Z36">
        <v>32.813600000000001</v>
      </c>
      <c r="AA36">
        <v>50.616</v>
      </c>
      <c r="AB36">
        <v>52.795699999999997</v>
      </c>
      <c r="AC36">
        <v>36.377000000000002</v>
      </c>
    </row>
    <row r="37" spans="1:31" x14ac:dyDescent="0.25">
      <c r="A37" t="s">
        <v>65</v>
      </c>
      <c r="B37" t="s">
        <v>96</v>
      </c>
      <c r="C37" t="s">
        <v>66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 t="s">
        <v>66</v>
      </c>
      <c r="J37" t="s">
        <v>66</v>
      </c>
      <c r="K37" t="s">
        <v>66</v>
      </c>
      <c r="L37" t="s">
        <v>66</v>
      </c>
      <c r="M37" t="s">
        <v>66</v>
      </c>
      <c r="N37" t="s">
        <v>66</v>
      </c>
      <c r="O37" t="s">
        <v>66</v>
      </c>
      <c r="P37" t="s">
        <v>66</v>
      </c>
      <c r="Q37" t="s">
        <v>66</v>
      </c>
      <c r="R37" t="s">
        <v>66</v>
      </c>
      <c r="S37" t="s">
        <v>66</v>
      </c>
      <c r="T37" t="s">
        <v>66</v>
      </c>
      <c r="U37" t="s">
        <v>66</v>
      </c>
      <c r="V37">
        <v>-6.3622168768965199</v>
      </c>
      <c r="W37" t="s">
        <v>66</v>
      </c>
      <c r="X37" t="s">
        <v>66</v>
      </c>
      <c r="Y37">
        <v>29.958863917275899</v>
      </c>
      <c r="Z37">
        <v>5.5694737016852303</v>
      </c>
      <c r="AA37">
        <v>54.254016856457</v>
      </c>
      <c r="AB37">
        <v>4.3060128514909399</v>
      </c>
      <c r="AC37">
        <v>-31.098536152368698</v>
      </c>
    </row>
    <row r="38" spans="1:31" x14ac:dyDescent="0.25">
      <c r="A38" t="s">
        <v>97</v>
      </c>
      <c r="B38" t="s">
        <v>98</v>
      </c>
      <c r="C38" t="s">
        <v>66</v>
      </c>
      <c r="D38" t="s">
        <v>66</v>
      </c>
      <c r="E38" t="s">
        <v>66</v>
      </c>
      <c r="F38" t="s">
        <v>66</v>
      </c>
      <c r="G38" t="s">
        <v>66</v>
      </c>
      <c r="H38" t="s">
        <v>66</v>
      </c>
      <c r="I38" t="s">
        <v>66</v>
      </c>
      <c r="J38" t="s">
        <v>66</v>
      </c>
      <c r="K38" t="s">
        <v>66</v>
      </c>
      <c r="L38" t="s">
        <v>66</v>
      </c>
      <c r="M38" t="s">
        <v>66</v>
      </c>
      <c r="N38" t="s">
        <v>66</v>
      </c>
      <c r="O38" t="s">
        <v>66</v>
      </c>
      <c r="P38" t="s">
        <v>66</v>
      </c>
      <c r="Q38" t="s">
        <v>66</v>
      </c>
      <c r="R38" t="s">
        <v>66</v>
      </c>
      <c r="S38" t="s">
        <v>66</v>
      </c>
      <c r="T38">
        <v>-27.652699999999999</v>
      </c>
      <c r="U38">
        <v>-7.8087999999999997</v>
      </c>
      <c r="V38">
        <v>-6.3677000000000001</v>
      </c>
      <c r="W38">
        <v>-14.620200000000001</v>
      </c>
      <c r="X38">
        <v>-12.6015</v>
      </c>
      <c r="Y38">
        <v>-6.9071999999999996</v>
      </c>
      <c r="Z38">
        <v>-8.3695000000000004</v>
      </c>
      <c r="AA38">
        <v>-7.3259999999999996</v>
      </c>
      <c r="AB38">
        <v>-4.6486999999999998</v>
      </c>
      <c r="AC38">
        <v>-9.7156000000000002</v>
      </c>
    </row>
    <row r="39" spans="1:31" x14ac:dyDescent="0.25">
      <c r="A39" t="s">
        <v>65</v>
      </c>
      <c r="B39" t="s">
        <v>98</v>
      </c>
      <c r="C39" t="s">
        <v>66</v>
      </c>
      <c r="D39" t="s">
        <v>66</v>
      </c>
      <c r="E39" t="s">
        <v>66</v>
      </c>
      <c r="F39" t="s">
        <v>66</v>
      </c>
      <c r="G39" t="s">
        <v>66</v>
      </c>
      <c r="H39" t="s">
        <v>66</v>
      </c>
      <c r="I39" t="s">
        <v>66</v>
      </c>
      <c r="J39" t="s">
        <v>66</v>
      </c>
      <c r="K39" t="s">
        <v>66</v>
      </c>
      <c r="L39" t="s">
        <v>66</v>
      </c>
      <c r="M39" t="s">
        <v>66</v>
      </c>
      <c r="N39" t="s">
        <v>66</v>
      </c>
      <c r="O39" t="s">
        <v>66</v>
      </c>
      <c r="P39" t="s">
        <v>66</v>
      </c>
      <c r="Q39" t="s">
        <v>66</v>
      </c>
      <c r="R39" t="s">
        <v>66</v>
      </c>
      <c r="S39" t="s">
        <v>66</v>
      </c>
      <c r="T39" t="s">
        <v>66</v>
      </c>
      <c r="U39">
        <v>71.761024891546796</v>
      </c>
      <c r="V39">
        <v>18.454867525223001</v>
      </c>
      <c r="W39">
        <v>-129.59854001416201</v>
      </c>
      <c r="X39">
        <v>13.807485276215401</v>
      </c>
      <c r="Y39">
        <v>45.187416423885402</v>
      </c>
      <c r="Z39">
        <v>-21.169809364914499</v>
      </c>
      <c r="AA39">
        <v>12.4669587996858</v>
      </c>
      <c r="AB39">
        <v>36.545693890409801</v>
      </c>
      <c r="AC39">
        <v>-108.997056810315</v>
      </c>
    </row>
    <row r="40" spans="1:31" x14ac:dyDescent="0.25">
      <c r="A40" t="s">
        <v>99</v>
      </c>
      <c r="B40" t="s">
        <v>100</v>
      </c>
      <c r="C40">
        <v>11.5053</v>
      </c>
      <c r="D40">
        <v>11.209199999999999</v>
      </c>
      <c r="E40">
        <v>5.8131000000000004</v>
      </c>
      <c r="F40">
        <v>4.6604999999999999</v>
      </c>
      <c r="G40">
        <v>5.7198000000000002</v>
      </c>
      <c r="H40">
        <v>5.0465</v>
      </c>
      <c r="I40">
        <v>7.8071999999999999</v>
      </c>
      <c r="J40">
        <v>7.7783999999999995</v>
      </c>
      <c r="K40">
        <v>5.4268999999999998</v>
      </c>
      <c r="L40">
        <v>5.7580999999999998</v>
      </c>
      <c r="M40">
        <v>6.7172000000000001</v>
      </c>
      <c r="N40">
        <v>4.9180000000000001</v>
      </c>
      <c r="O40">
        <v>4.7562999999999995</v>
      </c>
      <c r="P40">
        <v>1.3686</v>
      </c>
      <c r="Q40">
        <v>0.24879999999999999</v>
      </c>
      <c r="R40">
        <v>1.0051000000000001</v>
      </c>
      <c r="S40">
        <v>0</v>
      </c>
      <c r="T40">
        <v>0</v>
      </c>
      <c r="U40">
        <v>0</v>
      </c>
      <c r="V40">
        <v>0.39800000000000002</v>
      </c>
      <c r="W40">
        <v>0.55700000000000005</v>
      </c>
      <c r="X40">
        <v>1.9287999999999998</v>
      </c>
      <c r="Y40">
        <v>1.3283</v>
      </c>
      <c r="Z40">
        <v>0.53139999999999998</v>
      </c>
      <c r="AA40">
        <v>0.77700000000000002</v>
      </c>
      <c r="AB40">
        <v>1.6602000000000001</v>
      </c>
      <c r="AC40">
        <v>0</v>
      </c>
    </row>
    <row r="41" spans="1:31" x14ac:dyDescent="0.25">
      <c r="A41" t="s">
        <v>65</v>
      </c>
      <c r="B41" t="s">
        <v>100</v>
      </c>
      <c r="C41" t="s">
        <v>66</v>
      </c>
      <c r="D41">
        <v>-8.5007669999999997</v>
      </c>
      <c r="E41">
        <v>-44.425674000000001</v>
      </c>
      <c r="F41">
        <v>-21.580552999999998</v>
      </c>
      <c r="G41">
        <v>10.465120000000001</v>
      </c>
      <c r="H41">
        <v>-9.473687</v>
      </c>
      <c r="I41">
        <v>76.356594000000001</v>
      </c>
      <c r="J41">
        <v>0.65933900000000001</v>
      </c>
      <c r="K41">
        <v>-27.074231000000001</v>
      </c>
      <c r="L41">
        <v>22.455089999999998</v>
      </c>
      <c r="M41">
        <v>20.285508</v>
      </c>
      <c r="N41">
        <v>-30.666667</v>
      </c>
      <c r="O41">
        <v>-19.230768999999999</v>
      </c>
      <c r="P41">
        <v>-73.809522999999999</v>
      </c>
      <c r="Q41">
        <v>-81.818181999999993</v>
      </c>
      <c r="R41">
        <v>299.99999400000002</v>
      </c>
      <c r="S41" t="s">
        <v>66</v>
      </c>
      <c r="T41" t="s">
        <v>66</v>
      </c>
      <c r="U41" t="s">
        <v>66</v>
      </c>
      <c r="V41" t="s">
        <v>66</v>
      </c>
      <c r="W41">
        <v>33.333333000000003</v>
      </c>
      <c r="X41">
        <v>275</v>
      </c>
      <c r="Y41">
        <v>-33.333333000000003</v>
      </c>
      <c r="Z41">
        <v>-60</v>
      </c>
      <c r="AA41">
        <v>75</v>
      </c>
      <c r="AB41">
        <v>114.285714</v>
      </c>
      <c r="AC41" t="s">
        <v>66</v>
      </c>
    </row>
    <row r="42" spans="1:31" x14ac:dyDescent="0.25">
      <c r="A42" t="s">
        <v>101</v>
      </c>
      <c r="B42" t="s">
        <v>102</v>
      </c>
      <c r="C42" t="s">
        <v>66</v>
      </c>
      <c r="D42" t="s">
        <v>66</v>
      </c>
      <c r="E42" t="s">
        <v>66</v>
      </c>
      <c r="F42" t="s">
        <v>66</v>
      </c>
      <c r="G42" t="s">
        <v>66</v>
      </c>
      <c r="H42" t="s">
        <v>66</v>
      </c>
      <c r="I42" t="s">
        <v>66</v>
      </c>
      <c r="J42" t="s">
        <v>66</v>
      </c>
      <c r="K42" t="s">
        <v>66</v>
      </c>
      <c r="L42" t="s">
        <v>66</v>
      </c>
      <c r="M42" t="s">
        <v>66</v>
      </c>
      <c r="N42">
        <v>12.1059</v>
      </c>
      <c r="O42">
        <v>12.230600000000001</v>
      </c>
      <c r="P42">
        <v>10.8247</v>
      </c>
      <c r="Q42">
        <v>13.9352</v>
      </c>
      <c r="R42">
        <v>17.212499999999999</v>
      </c>
      <c r="S42">
        <v>26.182200000000002</v>
      </c>
      <c r="T42">
        <v>27.652699999999999</v>
      </c>
      <c r="U42">
        <v>7.8087999999999997</v>
      </c>
      <c r="V42">
        <v>6.7656999999999998</v>
      </c>
      <c r="W42">
        <v>15.177199999999999</v>
      </c>
      <c r="X42">
        <v>14.5303</v>
      </c>
      <c r="Y42">
        <v>8.2355</v>
      </c>
      <c r="Z42">
        <v>8.9009</v>
      </c>
      <c r="AA42">
        <v>8.1029999999999998</v>
      </c>
      <c r="AB42">
        <v>6.3089000000000004</v>
      </c>
      <c r="AC42">
        <v>9.7156000000000002</v>
      </c>
    </row>
    <row r="43" spans="1:31" x14ac:dyDescent="0.25">
      <c r="A43" t="s">
        <v>65</v>
      </c>
      <c r="B43" t="s">
        <v>102</v>
      </c>
      <c r="C43" t="s">
        <v>66</v>
      </c>
      <c r="D43" t="s">
        <v>66</v>
      </c>
      <c r="E43" t="s">
        <v>66</v>
      </c>
      <c r="F43" t="s">
        <v>66</v>
      </c>
      <c r="G43" t="s">
        <v>66</v>
      </c>
      <c r="H43" t="s">
        <v>66</v>
      </c>
      <c r="I43" t="s">
        <v>66</v>
      </c>
      <c r="J43" t="s">
        <v>66</v>
      </c>
      <c r="K43" t="s">
        <v>66</v>
      </c>
      <c r="L43" t="s">
        <v>66</v>
      </c>
      <c r="M43" t="s">
        <v>66</v>
      </c>
      <c r="N43" t="s">
        <v>66</v>
      </c>
      <c r="O43">
        <v>1.0296042083232999</v>
      </c>
      <c r="P43">
        <v>-11.494725873891101</v>
      </c>
      <c r="Q43">
        <v>28.735673490081201</v>
      </c>
      <c r="R43">
        <v>23.517981576916299</v>
      </c>
      <c r="S43">
        <v>52.111651744680501</v>
      </c>
      <c r="T43">
        <v>5.6162896618892599</v>
      </c>
      <c r="U43">
        <v>-71.761024891546796</v>
      </c>
      <c r="V43">
        <v>-13.3582879414305</v>
      </c>
      <c r="W43">
        <v>124.32482765684701</v>
      </c>
      <c r="X43">
        <v>-4.2619239683675101</v>
      </c>
      <c r="Y43">
        <v>-43.3217715507473</v>
      </c>
      <c r="Z43">
        <v>8.0787528105318103</v>
      </c>
      <c r="AA43">
        <v>-8.9632586477501608</v>
      </c>
      <c r="AB43">
        <v>-22.1411856406874</v>
      </c>
      <c r="AC43">
        <v>53.997813898608797</v>
      </c>
    </row>
    <row r="44" spans="1:31" x14ac:dyDescent="0.25">
      <c r="A44" t="s">
        <v>103</v>
      </c>
      <c r="B44" t="s">
        <v>104</v>
      </c>
      <c r="C44">
        <v>-0.4446</v>
      </c>
      <c r="D44">
        <v>-1.0414000000000001</v>
      </c>
      <c r="E44">
        <v>-3.2334000000000001</v>
      </c>
      <c r="F44">
        <v>-1.2464</v>
      </c>
      <c r="G44">
        <v>0.18060000000000001</v>
      </c>
      <c r="H44">
        <v>-0.313</v>
      </c>
      <c r="I44">
        <v>0.29170000000000001</v>
      </c>
      <c r="J44">
        <v>0</v>
      </c>
      <c r="K44">
        <v>0</v>
      </c>
      <c r="L44">
        <v>0</v>
      </c>
      <c r="M44">
        <v>0</v>
      </c>
      <c r="N44" t="s">
        <v>66</v>
      </c>
      <c r="O44" t="s">
        <v>66</v>
      </c>
      <c r="P44" t="s">
        <v>66</v>
      </c>
      <c r="Q44" t="s">
        <v>66</v>
      </c>
      <c r="R44" t="s">
        <v>66</v>
      </c>
      <c r="S44" t="s">
        <v>66</v>
      </c>
      <c r="T44" t="s">
        <v>66</v>
      </c>
      <c r="U44" t="s">
        <v>66</v>
      </c>
      <c r="V44" t="s">
        <v>66</v>
      </c>
      <c r="W44" t="s">
        <v>66</v>
      </c>
      <c r="X44" t="s">
        <v>66</v>
      </c>
      <c r="Y44" t="s">
        <v>66</v>
      </c>
      <c r="Z44" t="s">
        <v>66</v>
      </c>
      <c r="AA44">
        <v>0</v>
      </c>
      <c r="AB44">
        <v>0</v>
      </c>
      <c r="AC44">
        <v>0</v>
      </c>
    </row>
    <row r="45" spans="1:31" x14ac:dyDescent="0.25">
      <c r="A45" t="s">
        <v>65</v>
      </c>
      <c r="B45" t="s">
        <v>104</v>
      </c>
      <c r="C45" t="s">
        <v>66</v>
      </c>
      <c r="D45">
        <v>-120</v>
      </c>
      <c r="E45">
        <v>-232.727259</v>
      </c>
      <c r="F45">
        <v>62.295079999999999</v>
      </c>
      <c r="G45" t="s">
        <v>66</v>
      </c>
      <c r="H45" t="s">
        <v>66</v>
      </c>
      <c r="I45" t="s">
        <v>66</v>
      </c>
      <c r="J45" t="s">
        <v>66</v>
      </c>
      <c r="K45" t="s">
        <v>66</v>
      </c>
      <c r="L45" t="s">
        <v>66</v>
      </c>
      <c r="M45" t="s">
        <v>66</v>
      </c>
      <c r="N45" t="s">
        <v>66</v>
      </c>
      <c r="O45" t="s">
        <v>66</v>
      </c>
      <c r="P45" t="s">
        <v>66</v>
      </c>
      <c r="Q45" t="s">
        <v>66</v>
      </c>
      <c r="R45" t="s">
        <v>66</v>
      </c>
      <c r="S45" t="s">
        <v>66</v>
      </c>
      <c r="T45" t="s">
        <v>66</v>
      </c>
      <c r="U45" t="s">
        <v>66</v>
      </c>
      <c r="V45" t="s">
        <v>66</v>
      </c>
      <c r="W45" t="s">
        <v>66</v>
      </c>
      <c r="X45" t="s">
        <v>66</v>
      </c>
      <c r="Y45" t="s">
        <v>66</v>
      </c>
      <c r="Z45" t="s">
        <v>66</v>
      </c>
      <c r="AA45" t="s">
        <v>66</v>
      </c>
      <c r="AB45" t="s">
        <v>66</v>
      </c>
      <c r="AC45" t="s">
        <v>66</v>
      </c>
    </row>
    <row r="46" spans="1:31" x14ac:dyDescent="0.25">
      <c r="A46" t="s">
        <v>105</v>
      </c>
      <c r="B46" t="s">
        <v>106</v>
      </c>
      <c r="C46">
        <v>2.6318000000000001</v>
      </c>
      <c r="D46">
        <v>-0.1515</v>
      </c>
      <c r="E46">
        <v>-1.77E-2</v>
      </c>
      <c r="F46">
        <v>-9.0300000000000005E-2</v>
      </c>
      <c r="G46">
        <v>0.50170000000000003</v>
      </c>
      <c r="H46">
        <v>3.9100000000000003E-2</v>
      </c>
      <c r="I46">
        <v>0.8236</v>
      </c>
      <c r="J46">
        <v>0.81520000000000004</v>
      </c>
      <c r="K46">
        <v>-0.37369999999999998</v>
      </c>
      <c r="L46">
        <v>-1.9990999999999999</v>
      </c>
      <c r="M46">
        <v>-1.3433999999999999</v>
      </c>
      <c r="N46" t="s">
        <v>66</v>
      </c>
      <c r="O46" t="s">
        <v>66</v>
      </c>
      <c r="P46">
        <v>26.128599999999999</v>
      </c>
      <c r="Q46">
        <v>-0.24879999999999999</v>
      </c>
      <c r="R46">
        <v>7.4127000000000001</v>
      </c>
      <c r="S46">
        <v>-2.1932999999999998</v>
      </c>
      <c r="T46">
        <v>16.7681</v>
      </c>
      <c r="U46" t="s">
        <v>66</v>
      </c>
      <c r="V46" t="s">
        <v>66</v>
      </c>
      <c r="W46" t="s">
        <v>66</v>
      </c>
      <c r="X46" t="s">
        <v>66</v>
      </c>
      <c r="Y46" t="s">
        <v>66</v>
      </c>
      <c r="Z46" t="s">
        <v>66</v>
      </c>
      <c r="AA46" t="s">
        <v>66</v>
      </c>
      <c r="AB46" t="s">
        <v>66</v>
      </c>
      <c r="AC46" t="s">
        <v>66</v>
      </c>
    </row>
    <row r="47" spans="1:31" x14ac:dyDescent="0.25">
      <c r="A47" t="s">
        <v>65</v>
      </c>
      <c r="B47" t="s">
        <v>106</v>
      </c>
      <c r="C47" t="s">
        <v>66</v>
      </c>
      <c r="D47" t="s">
        <v>66</v>
      </c>
      <c r="E47">
        <v>88.3354458792152</v>
      </c>
      <c r="F47">
        <v>-411.177768973909</v>
      </c>
      <c r="G47" t="s">
        <v>66</v>
      </c>
      <c r="H47">
        <v>-92.203070937704297</v>
      </c>
      <c r="I47">
        <v>2005.36554192229</v>
      </c>
      <c r="J47">
        <v>-1.02195311181505</v>
      </c>
      <c r="K47" t="s">
        <v>66</v>
      </c>
      <c r="L47">
        <v>-434.94179979128199</v>
      </c>
      <c r="M47">
        <v>32.798500948662202</v>
      </c>
      <c r="N47" t="s">
        <v>66</v>
      </c>
      <c r="O47" t="s">
        <v>66</v>
      </c>
      <c r="P47" t="s">
        <v>66</v>
      </c>
      <c r="Q47" t="s">
        <v>66</v>
      </c>
      <c r="R47" t="s">
        <v>66</v>
      </c>
      <c r="S47" t="s">
        <v>66</v>
      </c>
      <c r="T47" t="s">
        <v>66</v>
      </c>
      <c r="U47" t="s">
        <v>66</v>
      </c>
      <c r="V47" t="s">
        <v>66</v>
      </c>
      <c r="W47" t="s">
        <v>66</v>
      </c>
      <c r="X47" t="s">
        <v>66</v>
      </c>
      <c r="Y47" t="s">
        <v>66</v>
      </c>
      <c r="Z47" t="s">
        <v>66</v>
      </c>
      <c r="AA47" t="s">
        <v>66</v>
      </c>
      <c r="AB47" t="s">
        <v>66</v>
      </c>
      <c r="AC47" t="s">
        <v>66</v>
      </c>
    </row>
    <row r="48" spans="1:31" x14ac:dyDescent="0.25">
      <c r="A48" t="s">
        <v>107</v>
      </c>
      <c r="B48" t="s">
        <v>108</v>
      </c>
      <c r="C48" t="s">
        <v>66</v>
      </c>
      <c r="D48" t="s">
        <v>66</v>
      </c>
      <c r="E48" t="s">
        <v>66</v>
      </c>
      <c r="F48" t="s">
        <v>66</v>
      </c>
      <c r="G48" t="s">
        <v>66</v>
      </c>
      <c r="H48" t="s">
        <v>66</v>
      </c>
      <c r="I48" t="s">
        <v>66</v>
      </c>
      <c r="J48" t="s">
        <v>66</v>
      </c>
      <c r="K48" t="s">
        <v>66</v>
      </c>
      <c r="L48" t="s">
        <v>66</v>
      </c>
      <c r="M48" t="s">
        <v>66</v>
      </c>
      <c r="N48" t="s">
        <v>66</v>
      </c>
      <c r="O48" t="s">
        <v>66</v>
      </c>
      <c r="P48" t="s">
        <v>66</v>
      </c>
      <c r="Q48" t="s">
        <v>66</v>
      </c>
      <c r="R48" t="s">
        <v>66</v>
      </c>
      <c r="S48" t="s">
        <v>66</v>
      </c>
      <c r="T48" t="s">
        <v>66</v>
      </c>
      <c r="U48">
        <v>25.5182</v>
      </c>
      <c r="V48">
        <v>22.950399999999998</v>
      </c>
      <c r="W48">
        <v>-2.7848000000000002</v>
      </c>
      <c r="X48">
        <v>36.518700000000003</v>
      </c>
      <c r="Y48">
        <v>37.989699999999999</v>
      </c>
      <c r="Z48">
        <v>41.183100000000003</v>
      </c>
      <c r="AA48">
        <v>57.942</v>
      </c>
      <c r="AB48">
        <v>57.444400000000002</v>
      </c>
      <c r="AC48">
        <v>46.092599999999997</v>
      </c>
    </row>
    <row r="49" spans="1:31" x14ac:dyDescent="0.25">
      <c r="A49" t="s">
        <v>65</v>
      </c>
      <c r="B49" t="s">
        <v>108</v>
      </c>
      <c r="C49" t="s">
        <v>66</v>
      </c>
      <c r="D49" t="s">
        <v>66</v>
      </c>
      <c r="E49" t="s">
        <v>66</v>
      </c>
      <c r="F49" t="s">
        <v>66</v>
      </c>
      <c r="G49" t="s">
        <v>66</v>
      </c>
      <c r="H49" t="s">
        <v>66</v>
      </c>
      <c r="I49" t="s">
        <v>66</v>
      </c>
      <c r="J49" t="s">
        <v>66</v>
      </c>
      <c r="K49" t="s">
        <v>66</v>
      </c>
      <c r="L49" t="s">
        <v>66</v>
      </c>
      <c r="M49" t="s">
        <v>66</v>
      </c>
      <c r="N49" t="s">
        <v>66</v>
      </c>
      <c r="O49" t="s">
        <v>66</v>
      </c>
      <c r="P49" t="s">
        <v>66</v>
      </c>
      <c r="Q49" t="s">
        <v>66</v>
      </c>
      <c r="R49" t="s">
        <v>66</v>
      </c>
      <c r="S49" t="s">
        <v>66</v>
      </c>
      <c r="T49" t="s">
        <v>66</v>
      </c>
      <c r="U49" t="s">
        <v>66</v>
      </c>
      <c r="V49">
        <v>-10.062696058666599</v>
      </c>
      <c r="W49" t="s">
        <v>66</v>
      </c>
      <c r="X49" t="s">
        <v>66</v>
      </c>
      <c r="Y49">
        <v>4.0281018465615803</v>
      </c>
      <c r="Z49">
        <v>8.4059013706091505</v>
      </c>
      <c r="AA49">
        <v>40.6945931164245</v>
      </c>
      <c r="AB49">
        <v>-0.85914573152252705</v>
      </c>
      <c r="AC49">
        <v>-19.761323208104901</v>
      </c>
    </row>
    <row r="50" spans="1:31" x14ac:dyDescent="0.25">
      <c r="A50" t="s">
        <v>109</v>
      </c>
      <c r="B50" t="s">
        <v>110</v>
      </c>
      <c r="C50">
        <v>42.535699999999999</v>
      </c>
      <c r="D50">
        <v>57.352499999999999</v>
      </c>
      <c r="E50">
        <v>68.467699999999994</v>
      </c>
      <c r="F50">
        <v>105.65689999999999</v>
      </c>
      <c r="G50">
        <v>143.73740000000001</v>
      </c>
      <c r="H50">
        <v>157.5941</v>
      </c>
      <c r="I50">
        <v>175.03630000000001</v>
      </c>
      <c r="J50">
        <v>179.8879</v>
      </c>
      <c r="K50">
        <v>208.0266</v>
      </c>
      <c r="L50">
        <v>274.5145</v>
      </c>
      <c r="M50">
        <v>282.661</v>
      </c>
      <c r="N50">
        <v>310.30860000000001</v>
      </c>
      <c r="O50">
        <v>384.35660000000001</v>
      </c>
      <c r="P50">
        <v>427.51299999999998</v>
      </c>
      <c r="Q50">
        <v>482.25869999999998</v>
      </c>
      <c r="R50">
        <v>513.86289999999997</v>
      </c>
      <c r="S50">
        <v>599.8614</v>
      </c>
      <c r="T50">
        <v>686.61120000000005</v>
      </c>
      <c r="U50">
        <v>631.6798</v>
      </c>
      <c r="V50">
        <v>874.9</v>
      </c>
      <c r="W50">
        <v>1252.8833999999999</v>
      </c>
      <c r="X50">
        <v>1409.9576</v>
      </c>
      <c r="Y50">
        <v>1613.7655999999999</v>
      </c>
      <c r="Z50">
        <v>1725.9688000000001</v>
      </c>
      <c r="AA50">
        <v>1685.0920000000001</v>
      </c>
      <c r="AB50">
        <v>1835.1220000000001</v>
      </c>
      <c r="AC50">
        <v>2182.2826</v>
      </c>
      <c r="AD50">
        <v>2327.3539999999998</v>
      </c>
      <c r="AE50">
        <v>2498.0859999999998</v>
      </c>
    </row>
    <row r="51" spans="1:31" x14ac:dyDescent="0.25">
      <c r="A51" t="s">
        <v>65</v>
      </c>
      <c r="B51" t="s">
        <v>110</v>
      </c>
      <c r="C51" t="s">
        <v>66</v>
      </c>
      <c r="D51">
        <v>34.833877496382001</v>
      </c>
      <c r="E51">
        <v>19.380531724898301</v>
      </c>
      <c r="F51">
        <v>54.316419779419498</v>
      </c>
      <c r="G51">
        <v>36.041714496407103</v>
      </c>
      <c r="H51">
        <v>9.6402269454544207</v>
      </c>
      <c r="I51">
        <v>11.067814217517901</v>
      </c>
      <c r="J51">
        <v>2.77177451440352</v>
      </c>
      <c r="K51">
        <v>15.6423563829541</v>
      </c>
      <c r="L51">
        <v>31.961264702903598</v>
      </c>
      <c r="M51">
        <v>2.9676065194174699</v>
      </c>
      <c r="N51">
        <v>9.7811789681462908</v>
      </c>
      <c r="O51">
        <v>23.862684188405701</v>
      </c>
      <c r="P51">
        <v>11.2282140002149</v>
      </c>
      <c r="Q51">
        <v>12.8056235375093</v>
      </c>
      <c r="R51">
        <v>6.55336775938129</v>
      </c>
      <c r="S51">
        <v>16.7356980238293</v>
      </c>
      <c r="T51">
        <v>14.461639309452099</v>
      </c>
      <c r="U51">
        <v>-8.0003582697290696</v>
      </c>
      <c r="V51">
        <v>38.503719056582398</v>
      </c>
      <c r="W51">
        <v>43.2030372758719</v>
      </c>
      <c r="X51">
        <v>12.5370169411266</v>
      </c>
      <c r="Y51">
        <v>14.455029928671999</v>
      </c>
      <c r="Z51">
        <v>6.9529425159157103</v>
      </c>
      <c r="AA51">
        <v>-2.3678240100254802</v>
      </c>
      <c r="AB51">
        <v>8.9030266424590998</v>
      </c>
      <c r="AC51">
        <v>18.9175926052332</v>
      </c>
      <c r="AD51">
        <v>6.6472670198169697</v>
      </c>
      <c r="AE51">
        <v>7.3358844421604896</v>
      </c>
    </row>
    <row r="52" spans="1:31" x14ac:dyDescent="0.25">
      <c r="A52" t="s">
        <v>111</v>
      </c>
      <c r="B52" t="s">
        <v>112</v>
      </c>
      <c r="C52" t="s">
        <v>66</v>
      </c>
      <c r="D52" t="s">
        <v>66</v>
      </c>
      <c r="E52">
        <v>0</v>
      </c>
      <c r="F52">
        <v>0</v>
      </c>
      <c r="G52" t="s">
        <v>66</v>
      </c>
      <c r="H52" t="s">
        <v>66</v>
      </c>
      <c r="I52" t="s">
        <v>66</v>
      </c>
      <c r="J52" t="s">
        <v>66</v>
      </c>
      <c r="K52" t="s">
        <v>66</v>
      </c>
      <c r="L52" t="s">
        <v>66</v>
      </c>
      <c r="M52" t="s">
        <v>66</v>
      </c>
      <c r="N52" t="s">
        <v>66</v>
      </c>
      <c r="O52" t="s">
        <v>66</v>
      </c>
      <c r="P52" t="s">
        <v>66</v>
      </c>
      <c r="Q52" t="s">
        <v>66</v>
      </c>
      <c r="R52" t="s">
        <v>66</v>
      </c>
      <c r="S52">
        <v>0</v>
      </c>
      <c r="T52">
        <v>44.715000000000003</v>
      </c>
      <c r="U52">
        <v>3.9043999999999999</v>
      </c>
      <c r="V52">
        <v>5.0411000000000001</v>
      </c>
      <c r="W52">
        <v>2.9239999999999999</v>
      </c>
      <c r="X52">
        <v>-4.5004999999999997</v>
      </c>
      <c r="Y52">
        <v>26.964700000000001</v>
      </c>
      <c r="Z52">
        <v>32.680799999999998</v>
      </c>
      <c r="AA52">
        <v>25.53</v>
      </c>
      <c r="AB52">
        <v>10.1828</v>
      </c>
      <c r="AC52">
        <v>47.335299999999997</v>
      </c>
    </row>
    <row r="53" spans="1:31" x14ac:dyDescent="0.25">
      <c r="A53" t="s">
        <v>65</v>
      </c>
      <c r="B53" t="s">
        <v>112</v>
      </c>
      <c r="C53" t="s">
        <v>66</v>
      </c>
      <c r="D53" t="s">
        <v>66</v>
      </c>
      <c r="E53" t="s">
        <v>66</v>
      </c>
      <c r="F53" t="s">
        <v>66</v>
      </c>
      <c r="G53" t="s">
        <v>66</v>
      </c>
      <c r="H53" t="s">
        <v>66</v>
      </c>
      <c r="I53" t="s">
        <v>66</v>
      </c>
      <c r="J53" t="s">
        <v>66</v>
      </c>
      <c r="K53" t="s">
        <v>66</v>
      </c>
      <c r="L53" t="s">
        <v>66</v>
      </c>
      <c r="M53" t="s">
        <v>66</v>
      </c>
      <c r="N53" t="s">
        <v>66</v>
      </c>
      <c r="O53" t="s">
        <v>66</v>
      </c>
      <c r="P53" t="s">
        <v>66</v>
      </c>
      <c r="Q53" t="s">
        <v>66</v>
      </c>
      <c r="R53" t="s">
        <v>66</v>
      </c>
      <c r="S53" t="s">
        <v>66</v>
      </c>
      <c r="T53" t="s">
        <v>66</v>
      </c>
      <c r="U53">
        <v>-91.268210484356501</v>
      </c>
      <c r="V53">
        <v>29.113110951349299</v>
      </c>
      <c r="W53">
        <v>-41.996166726375598</v>
      </c>
      <c r="X53" t="s">
        <v>66</v>
      </c>
      <c r="Y53" t="s">
        <v>66</v>
      </c>
      <c r="Z53">
        <v>21.198242713432499</v>
      </c>
      <c r="AA53">
        <v>-21.8801628160479</v>
      </c>
      <c r="AB53">
        <v>-60.114431562878103</v>
      </c>
      <c r="AC53">
        <v>364.85462880134997</v>
      </c>
    </row>
    <row r="54" spans="1:31" x14ac:dyDescent="0.25">
      <c r="A54" t="s">
        <v>113</v>
      </c>
      <c r="B54" t="s">
        <v>114</v>
      </c>
      <c r="C54" t="s">
        <v>66</v>
      </c>
      <c r="D54" t="s">
        <v>66</v>
      </c>
      <c r="E54" t="s">
        <v>66</v>
      </c>
      <c r="F54" t="s">
        <v>66</v>
      </c>
      <c r="G54" t="s">
        <v>66</v>
      </c>
      <c r="H54" t="s">
        <v>66</v>
      </c>
      <c r="I54" t="s">
        <v>66</v>
      </c>
      <c r="J54" t="s">
        <v>66</v>
      </c>
      <c r="K54" t="s">
        <v>66</v>
      </c>
      <c r="L54" t="s">
        <v>66</v>
      </c>
      <c r="M54" t="s">
        <v>66</v>
      </c>
      <c r="N54" t="s">
        <v>66</v>
      </c>
      <c r="O54" t="s">
        <v>66</v>
      </c>
      <c r="P54" t="s">
        <v>66</v>
      </c>
      <c r="Q54" t="s">
        <v>66</v>
      </c>
      <c r="R54" t="s">
        <v>66</v>
      </c>
      <c r="S54" t="s">
        <v>66</v>
      </c>
      <c r="T54" t="s">
        <v>66</v>
      </c>
      <c r="U54" t="s">
        <v>66</v>
      </c>
      <c r="V54" t="s">
        <v>66</v>
      </c>
      <c r="W54" t="s">
        <v>66</v>
      </c>
      <c r="X54" t="s">
        <v>66</v>
      </c>
      <c r="Y54" t="s">
        <v>66</v>
      </c>
      <c r="Z54" t="s">
        <v>66</v>
      </c>
      <c r="AA54">
        <v>-4.1070000000000002</v>
      </c>
      <c r="AB54">
        <v>-20.808399999999999</v>
      </c>
      <c r="AC54" t="s">
        <v>66</v>
      </c>
    </row>
    <row r="55" spans="1:31" x14ac:dyDescent="0.25">
      <c r="A55" t="s">
        <v>65</v>
      </c>
      <c r="B55" t="s">
        <v>114</v>
      </c>
      <c r="C55" t="s">
        <v>66</v>
      </c>
      <c r="D55" t="s">
        <v>66</v>
      </c>
      <c r="E55" t="s">
        <v>66</v>
      </c>
      <c r="F55" t="s">
        <v>66</v>
      </c>
      <c r="G55" t="s">
        <v>66</v>
      </c>
      <c r="H55" t="s">
        <v>66</v>
      </c>
      <c r="I55" t="s">
        <v>66</v>
      </c>
      <c r="J55" t="s">
        <v>66</v>
      </c>
      <c r="K55" t="s">
        <v>66</v>
      </c>
      <c r="L55" t="s">
        <v>66</v>
      </c>
      <c r="M55" t="s">
        <v>66</v>
      </c>
      <c r="N55" t="s">
        <v>66</v>
      </c>
      <c r="O55" t="s">
        <v>66</v>
      </c>
      <c r="P55" t="s">
        <v>66</v>
      </c>
      <c r="Q55" t="s">
        <v>66</v>
      </c>
      <c r="R55" t="s">
        <v>66</v>
      </c>
      <c r="S55" t="s">
        <v>66</v>
      </c>
      <c r="T55" t="s">
        <v>66</v>
      </c>
      <c r="U55" t="s">
        <v>66</v>
      </c>
      <c r="V55" t="s">
        <v>66</v>
      </c>
      <c r="W55" t="s">
        <v>66</v>
      </c>
      <c r="X55" t="s">
        <v>66</v>
      </c>
      <c r="Y55" t="s">
        <v>66</v>
      </c>
      <c r="Z55" t="s">
        <v>66</v>
      </c>
      <c r="AA55" t="s">
        <v>66</v>
      </c>
      <c r="AB55">
        <v>-406.65456384429501</v>
      </c>
      <c r="AC55" t="s">
        <v>66</v>
      </c>
    </row>
    <row r="56" spans="1:31" x14ac:dyDescent="0.25">
      <c r="A56" t="s">
        <v>115</v>
      </c>
      <c r="B56" t="s">
        <v>116</v>
      </c>
      <c r="C56" t="s">
        <v>66</v>
      </c>
      <c r="D56" t="s">
        <v>66</v>
      </c>
      <c r="E56" t="s">
        <v>66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  <c r="N56" t="s">
        <v>66</v>
      </c>
      <c r="O56" t="s">
        <v>66</v>
      </c>
      <c r="P56" t="s">
        <v>66</v>
      </c>
      <c r="Q56" t="s">
        <v>66</v>
      </c>
      <c r="R56" t="s">
        <v>66</v>
      </c>
      <c r="S56" t="s">
        <v>66</v>
      </c>
      <c r="T56" t="s">
        <v>66</v>
      </c>
      <c r="U56">
        <v>3.9043999999999999</v>
      </c>
      <c r="V56">
        <v>4.9085000000000001</v>
      </c>
      <c r="W56">
        <v>2.7848000000000002</v>
      </c>
      <c r="X56">
        <v>3.7290000000000001</v>
      </c>
      <c r="Y56">
        <v>4.2506000000000004</v>
      </c>
      <c r="Z56">
        <v>12.0892</v>
      </c>
      <c r="AA56">
        <v>16.317</v>
      </c>
      <c r="AB56">
        <v>23.6861</v>
      </c>
      <c r="AC56">
        <v>47.335299999999997</v>
      </c>
    </row>
    <row r="57" spans="1:31" x14ac:dyDescent="0.25">
      <c r="A57" t="s">
        <v>65</v>
      </c>
      <c r="B57" t="s">
        <v>116</v>
      </c>
      <c r="C57" t="s">
        <v>66</v>
      </c>
      <c r="D57" t="s">
        <v>66</v>
      </c>
      <c r="E57" t="s">
        <v>66</v>
      </c>
      <c r="F57" t="s">
        <v>66</v>
      </c>
      <c r="G57" t="s">
        <v>66</v>
      </c>
      <c r="H57" t="s">
        <v>66</v>
      </c>
      <c r="I57" t="s">
        <v>66</v>
      </c>
      <c r="J57" t="s">
        <v>66</v>
      </c>
      <c r="K57" t="s">
        <v>66</v>
      </c>
      <c r="L57" t="s">
        <v>66</v>
      </c>
      <c r="M57" t="s">
        <v>66</v>
      </c>
      <c r="N57" t="s">
        <v>66</v>
      </c>
      <c r="O57" t="s">
        <v>66</v>
      </c>
      <c r="P57" t="s">
        <v>66</v>
      </c>
      <c r="Q57" t="s">
        <v>66</v>
      </c>
      <c r="R57" t="s">
        <v>66</v>
      </c>
      <c r="S57" t="s">
        <v>66</v>
      </c>
      <c r="T57" t="s">
        <v>66</v>
      </c>
      <c r="U57" t="s">
        <v>66</v>
      </c>
      <c r="V57">
        <v>25.715400201258898</v>
      </c>
      <c r="W57">
        <v>-43.265231199759</v>
      </c>
      <c r="X57">
        <v>33.9062282300658</v>
      </c>
      <c r="Y57">
        <v>13.986923126843299</v>
      </c>
      <c r="Z57">
        <v>184.41246675176799</v>
      </c>
      <c r="AA57">
        <v>34.972267078448802</v>
      </c>
      <c r="AB57">
        <v>45.161763801022801</v>
      </c>
      <c r="AC57">
        <v>99.844044376003396</v>
      </c>
    </row>
    <row r="58" spans="1:31" x14ac:dyDescent="0.25">
      <c r="A58" t="s">
        <v>117</v>
      </c>
      <c r="B58" t="s">
        <v>118</v>
      </c>
      <c r="C58" t="s">
        <v>66</v>
      </c>
      <c r="D58" t="s">
        <v>66</v>
      </c>
      <c r="E58" t="s">
        <v>66</v>
      </c>
      <c r="F58" t="s">
        <v>66</v>
      </c>
      <c r="G58" t="s">
        <v>66</v>
      </c>
      <c r="H58" t="s">
        <v>66</v>
      </c>
      <c r="I58" t="s">
        <v>66</v>
      </c>
      <c r="J58" t="s">
        <v>66</v>
      </c>
      <c r="K58" t="s">
        <v>66</v>
      </c>
      <c r="L58" t="s">
        <v>66</v>
      </c>
      <c r="M58" t="s">
        <v>66</v>
      </c>
      <c r="N58" t="s">
        <v>66</v>
      </c>
      <c r="O58" t="s">
        <v>66</v>
      </c>
      <c r="P58" t="s">
        <v>66</v>
      </c>
      <c r="Q58" t="s">
        <v>66</v>
      </c>
      <c r="R58" t="s">
        <v>66</v>
      </c>
      <c r="S58" t="s">
        <v>66</v>
      </c>
      <c r="T58">
        <v>44.715000000000003</v>
      </c>
      <c r="U58" t="s">
        <v>66</v>
      </c>
      <c r="V58" t="s">
        <v>66</v>
      </c>
      <c r="W58" t="s">
        <v>66</v>
      </c>
      <c r="X58">
        <v>32.146799999999999</v>
      </c>
      <c r="Y58">
        <v>22.714099999999998</v>
      </c>
      <c r="Z58">
        <v>20.193000000000001</v>
      </c>
      <c r="AA58">
        <v>12.432</v>
      </c>
      <c r="AB58" t="s">
        <v>66</v>
      </c>
      <c r="AC58" t="s">
        <v>66</v>
      </c>
    </row>
    <row r="59" spans="1:31" x14ac:dyDescent="0.25">
      <c r="A59" t="s">
        <v>65</v>
      </c>
      <c r="B59" t="s">
        <v>118</v>
      </c>
      <c r="C59" t="s">
        <v>66</v>
      </c>
      <c r="D59" t="s">
        <v>66</v>
      </c>
      <c r="E59" t="s">
        <v>66</v>
      </c>
      <c r="F59" t="s">
        <v>66</v>
      </c>
      <c r="G59" t="s">
        <v>66</v>
      </c>
      <c r="H59" t="s">
        <v>66</v>
      </c>
      <c r="I59" t="s">
        <v>66</v>
      </c>
      <c r="J59" t="s">
        <v>66</v>
      </c>
      <c r="K59" t="s">
        <v>66</v>
      </c>
      <c r="L59" t="s">
        <v>66</v>
      </c>
      <c r="M59" t="s">
        <v>66</v>
      </c>
      <c r="N59" t="s">
        <v>66</v>
      </c>
      <c r="O59" t="s">
        <v>66</v>
      </c>
      <c r="P59" t="s">
        <v>66</v>
      </c>
      <c r="Q59" t="s">
        <v>66</v>
      </c>
      <c r="R59" t="s">
        <v>66</v>
      </c>
      <c r="S59" t="s">
        <v>66</v>
      </c>
      <c r="T59" t="s">
        <v>66</v>
      </c>
      <c r="U59" t="s">
        <v>66</v>
      </c>
      <c r="V59" t="s">
        <v>66</v>
      </c>
      <c r="W59" t="s">
        <v>66</v>
      </c>
      <c r="X59" t="s">
        <v>66</v>
      </c>
      <c r="Y59">
        <v>-29.342366110294702</v>
      </c>
      <c r="Z59">
        <v>-11.099393012779</v>
      </c>
      <c r="AA59">
        <v>-38.433703251603902</v>
      </c>
      <c r="AB59" t="s">
        <v>66</v>
      </c>
      <c r="AC59" t="s">
        <v>66</v>
      </c>
    </row>
    <row r="60" spans="1:31" x14ac:dyDescent="0.25">
      <c r="A60" t="s">
        <v>119</v>
      </c>
      <c r="B60" t="s">
        <v>120</v>
      </c>
      <c r="C60" t="s">
        <v>66</v>
      </c>
      <c r="D60" t="s">
        <v>66</v>
      </c>
      <c r="E60" t="s">
        <v>66</v>
      </c>
      <c r="F60" t="s">
        <v>66</v>
      </c>
      <c r="G60" t="s">
        <v>66</v>
      </c>
      <c r="H60" t="s">
        <v>66</v>
      </c>
      <c r="I60" t="s">
        <v>66</v>
      </c>
      <c r="J60" t="s">
        <v>66</v>
      </c>
      <c r="K60" t="s">
        <v>66</v>
      </c>
      <c r="L60" t="s">
        <v>66</v>
      </c>
      <c r="M60" t="s">
        <v>66</v>
      </c>
      <c r="N60" t="s">
        <v>66</v>
      </c>
      <c r="O60" t="s">
        <v>66</v>
      </c>
      <c r="P60" t="s">
        <v>66</v>
      </c>
      <c r="Q60" t="s">
        <v>66</v>
      </c>
      <c r="R60" t="s">
        <v>66</v>
      </c>
      <c r="S60" t="s">
        <v>66</v>
      </c>
      <c r="T60" t="s">
        <v>66</v>
      </c>
      <c r="U60" t="s">
        <v>66</v>
      </c>
      <c r="V60">
        <v>0.13270000000000001</v>
      </c>
      <c r="W60">
        <v>0.13919999999999999</v>
      </c>
      <c r="X60">
        <v>0.12859999999999999</v>
      </c>
      <c r="Y60" t="s">
        <v>66</v>
      </c>
      <c r="Z60">
        <v>0.39850000000000002</v>
      </c>
      <c r="AA60">
        <v>0.88800000000000001</v>
      </c>
      <c r="AB60">
        <v>7.3051000000000004</v>
      </c>
      <c r="AC60" t="s">
        <v>66</v>
      </c>
    </row>
    <row r="61" spans="1:31" x14ac:dyDescent="0.25">
      <c r="A61" t="s">
        <v>65</v>
      </c>
      <c r="B61" t="s">
        <v>120</v>
      </c>
      <c r="C61" t="s">
        <v>66</v>
      </c>
      <c r="D61" t="s">
        <v>66</v>
      </c>
      <c r="E61" t="s">
        <v>66</v>
      </c>
      <c r="F61" t="s">
        <v>66</v>
      </c>
      <c r="G61" t="s">
        <v>66</v>
      </c>
      <c r="H61" t="s">
        <v>66</v>
      </c>
      <c r="I61" t="s">
        <v>66</v>
      </c>
      <c r="J61" t="s">
        <v>66</v>
      </c>
      <c r="K61" t="s">
        <v>66</v>
      </c>
      <c r="L61" t="s">
        <v>66</v>
      </c>
      <c r="M61" t="s">
        <v>66</v>
      </c>
      <c r="N61" t="s">
        <v>66</v>
      </c>
      <c r="O61" t="s">
        <v>66</v>
      </c>
      <c r="P61" t="s">
        <v>66</v>
      </c>
      <c r="Q61" t="s">
        <v>66</v>
      </c>
      <c r="R61" t="s">
        <v>66</v>
      </c>
      <c r="S61" t="s">
        <v>66</v>
      </c>
      <c r="T61" t="s">
        <v>66</v>
      </c>
      <c r="U61" t="s">
        <v>66</v>
      </c>
      <c r="V61" t="s">
        <v>66</v>
      </c>
      <c r="W61">
        <v>4.9592570536932499</v>
      </c>
      <c r="X61">
        <v>-7.65081873024993</v>
      </c>
      <c r="Y61" t="s">
        <v>66</v>
      </c>
      <c r="Z61" t="s">
        <v>66</v>
      </c>
      <c r="AA61">
        <v>122.811670421984</v>
      </c>
      <c r="AB61">
        <v>722.63957378714395</v>
      </c>
      <c r="AC61" t="s">
        <v>66</v>
      </c>
    </row>
    <row r="62" spans="1:31" x14ac:dyDescent="0.25">
      <c r="A62" t="s">
        <v>121</v>
      </c>
      <c r="B62" t="s">
        <v>122</v>
      </c>
      <c r="C62" t="s">
        <v>66</v>
      </c>
      <c r="D62" t="s">
        <v>66</v>
      </c>
      <c r="E62" t="s">
        <v>66</v>
      </c>
      <c r="F62" t="s">
        <v>66</v>
      </c>
      <c r="G62" t="s">
        <v>66</v>
      </c>
      <c r="H62" t="s">
        <v>66</v>
      </c>
      <c r="I62" t="s">
        <v>66</v>
      </c>
      <c r="J62" t="s">
        <v>66</v>
      </c>
      <c r="K62" t="s">
        <v>66</v>
      </c>
      <c r="L62" t="s">
        <v>66</v>
      </c>
      <c r="M62" t="s">
        <v>66</v>
      </c>
      <c r="N62" t="s">
        <v>66</v>
      </c>
      <c r="O62" t="s">
        <v>66</v>
      </c>
      <c r="P62" t="s">
        <v>66</v>
      </c>
      <c r="Q62" t="s">
        <v>66</v>
      </c>
      <c r="R62" t="s">
        <v>66</v>
      </c>
      <c r="S62" t="s">
        <v>66</v>
      </c>
      <c r="T62" t="s">
        <v>66</v>
      </c>
      <c r="U62" t="s">
        <v>66</v>
      </c>
      <c r="V62" t="s">
        <v>66</v>
      </c>
      <c r="W62" t="s">
        <v>66</v>
      </c>
      <c r="X62">
        <v>-40.504899999999999</v>
      </c>
      <c r="Y62" t="s">
        <v>66</v>
      </c>
      <c r="Z62" t="s">
        <v>66</v>
      </c>
      <c r="AA62" t="s">
        <v>66</v>
      </c>
      <c r="AB62" t="s">
        <v>66</v>
      </c>
      <c r="AC62" t="s">
        <v>66</v>
      </c>
    </row>
    <row r="63" spans="1:31" x14ac:dyDescent="0.25">
      <c r="A63" t="s">
        <v>123</v>
      </c>
      <c r="B63" t="s">
        <v>110</v>
      </c>
      <c r="C63">
        <v>42.535699999999999</v>
      </c>
      <c r="D63">
        <v>57.352499999999999</v>
      </c>
      <c r="E63">
        <v>68.467699999999994</v>
      </c>
      <c r="F63">
        <v>105.65689999999999</v>
      </c>
      <c r="G63">
        <v>143.73740000000001</v>
      </c>
      <c r="H63">
        <v>157.5941</v>
      </c>
      <c r="I63">
        <v>175.03630000000001</v>
      </c>
      <c r="J63">
        <v>179.8879</v>
      </c>
      <c r="K63">
        <v>208.0266</v>
      </c>
      <c r="L63">
        <v>274.5145</v>
      </c>
      <c r="M63">
        <v>282.661</v>
      </c>
      <c r="N63">
        <v>310.30860000000001</v>
      </c>
      <c r="O63">
        <v>384.35660000000001</v>
      </c>
      <c r="P63">
        <v>427.51299999999998</v>
      </c>
      <c r="Q63">
        <v>482.25869999999998</v>
      </c>
      <c r="R63">
        <v>513.86289999999997</v>
      </c>
      <c r="S63">
        <v>599.8614</v>
      </c>
      <c r="T63">
        <v>686.61120000000005</v>
      </c>
      <c r="U63">
        <v>627.77539999999999</v>
      </c>
      <c r="V63">
        <v>869.85889999999995</v>
      </c>
      <c r="W63">
        <v>1249.9594</v>
      </c>
      <c r="X63">
        <v>1414.4582</v>
      </c>
      <c r="Y63">
        <v>1586.8008</v>
      </c>
      <c r="Z63">
        <v>1693.288</v>
      </c>
      <c r="AA63">
        <v>1659.5618999999999</v>
      </c>
      <c r="AB63">
        <v>1824.9391000000001</v>
      </c>
      <c r="AC63">
        <v>2134.9472999999998</v>
      </c>
      <c r="AD63">
        <v>2327.3539999999998</v>
      </c>
      <c r="AE63">
        <v>2498.0859999999998</v>
      </c>
    </row>
    <row r="64" spans="1:31" x14ac:dyDescent="0.25">
      <c r="A64" t="s">
        <v>65</v>
      </c>
      <c r="B64" t="s">
        <v>110</v>
      </c>
      <c r="C64" t="s">
        <v>66</v>
      </c>
      <c r="D64">
        <v>34.833877496382001</v>
      </c>
      <c r="E64">
        <v>19.380531724898301</v>
      </c>
      <c r="F64">
        <v>54.316419779419498</v>
      </c>
      <c r="G64">
        <v>36.041714496407103</v>
      </c>
      <c r="H64">
        <v>9.6402269454544207</v>
      </c>
      <c r="I64">
        <v>11.067814217517901</v>
      </c>
      <c r="J64">
        <v>2.77177451440352</v>
      </c>
      <c r="K64">
        <v>15.6423563829541</v>
      </c>
      <c r="L64">
        <v>31.961264702903598</v>
      </c>
      <c r="M64">
        <v>2.9676065194174699</v>
      </c>
      <c r="N64">
        <v>9.7811789681462908</v>
      </c>
      <c r="O64">
        <v>23.862684188405701</v>
      </c>
      <c r="P64">
        <v>11.2282140002149</v>
      </c>
      <c r="Q64">
        <v>12.8056235375093</v>
      </c>
      <c r="R64">
        <v>6.55336775938129</v>
      </c>
      <c r="S64">
        <v>16.7356980238293</v>
      </c>
      <c r="T64">
        <v>14.461639309452099</v>
      </c>
      <c r="U64">
        <v>-8.5690095146368606</v>
      </c>
      <c r="V64">
        <v>38.562123394070802</v>
      </c>
      <c r="W64">
        <v>43.696795187097301</v>
      </c>
      <c r="X64">
        <v>13.1603316602136</v>
      </c>
      <c r="Y64">
        <v>12.1844886165978</v>
      </c>
      <c r="Z64">
        <v>6.7108701249086202</v>
      </c>
      <c r="AA64">
        <v>-1.9912325014871</v>
      </c>
      <c r="AB64">
        <v>9.9647626776575002</v>
      </c>
      <c r="AC64">
        <v>16.987327758851499</v>
      </c>
      <c r="AD64">
        <v>9.0118138007582793</v>
      </c>
      <c r="AE64">
        <v>7.3358844421604896</v>
      </c>
    </row>
    <row r="65" spans="1:31" x14ac:dyDescent="0.25">
      <c r="A65" t="s">
        <v>124</v>
      </c>
      <c r="B65" t="s">
        <v>125</v>
      </c>
      <c r="C65">
        <v>19.542899999999999</v>
      </c>
      <c r="D65">
        <v>20.79</v>
      </c>
      <c r="E65">
        <v>26.874700000000001</v>
      </c>
      <c r="F65">
        <v>44.961500000000001</v>
      </c>
      <c r="G65">
        <v>51.357700000000001</v>
      </c>
      <c r="H65">
        <v>63.530500000000004</v>
      </c>
      <c r="I65">
        <v>79.530699999999996</v>
      </c>
      <c r="J65">
        <v>77.308300000000003</v>
      </c>
      <c r="K65">
        <v>78.5929</v>
      </c>
      <c r="L65">
        <v>106.6156</v>
      </c>
      <c r="M65">
        <v>96.190700000000007</v>
      </c>
      <c r="N65">
        <v>101.8599</v>
      </c>
      <c r="O65">
        <v>134.4229</v>
      </c>
      <c r="P65">
        <v>155.77600000000001</v>
      </c>
      <c r="Q65">
        <v>168.96469999999999</v>
      </c>
      <c r="R65">
        <v>171.12010000000001</v>
      </c>
      <c r="S65">
        <v>197.1208</v>
      </c>
      <c r="T65">
        <v>235.48939999999999</v>
      </c>
      <c r="U65">
        <v>206.65549999999999</v>
      </c>
      <c r="V65">
        <v>293.18110000000001</v>
      </c>
      <c r="W65">
        <v>403.5181</v>
      </c>
      <c r="X65">
        <v>448.89760000000001</v>
      </c>
      <c r="Y65">
        <v>528.13660000000004</v>
      </c>
      <c r="Z65">
        <v>562.87940000000003</v>
      </c>
      <c r="AA65">
        <v>594.5163</v>
      </c>
      <c r="AB65">
        <v>614.8433</v>
      </c>
      <c r="AC65">
        <v>756.12249999999995</v>
      </c>
    </row>
    <row r="66" spans="1:31" x14ac:dyDescent="0.25">
      <c r="A66" t="s">
        <v>65</v>
      </c>
      <c r="B66" t="s">
        <v>125</v>
      </c>
      <c r="C66" t="s">
        <v>66</v>
      </c>
      <c r="D66">
        <v>-9.0990000000000001E-2</v>
      </c>
      <c r="E66">
        <v>38.524591999999998</v>
      </c>
      <c r="F66">
        <v>63.642330000000001</v>
      </c>
      <c r="G66">
        <v>2.8123749999999998</v>
      </c>
      <c r="H66">
        <v>26.924578</v>
      </c>
      <c r="I66">
        <v>42.703206999999999</v>
      </c>
      <c r="J66">
        <v>-1.7907200000000001</v>
      </c>
      <c r="K66">
        <v>6.2609839999999997</v>
      </c>
      <c r="L66">
        <v>56.563980000000001</v>
      </c>
      <c r="M66">
        <v>-6.972423</v>
      </c>
      <c r="N66">
        <v>0.27932800000000002</v>
      </c>
      <c r="O66">
        <v>10.213556000000001</v>
      </c>
      <c r="P66">
        <v>5.4759869999999999</v>
      </c>
      <c r="Q66">
        <v>8.4664590000000004</v>
      </c>
      <c r="R66">
        <v>0.29454900000000001</v>
      </c>
      <c r="S66">
        <v>5.5800289999999997</v>
      </c>
      <c r="T66">
        <v>11.335188</v>
      </c>
      <c r="U66">
        <v>-7.4328539999999998</v>
      </c>
      <c r="V66">
        <v>49.122807000000002</v>
      </c>
      <c r="W66">
        <v>31.131222000000001</v>
      </c>
      <c r="X66">
        <v>20.462388000000001</v>
      </c>
      <c r="Y66">
        <v>13.892867000000001</v>
      </c>
      <c r="Z66">
        <v>6.5643859999999998</v>
      </c>
      <c r="AA66">
        <v>26.410195999999999</v>
      </c>
      <c r="AB66">
        <v>3.7154590000000001</v>
      </c>
      <c r="AC66">
        <v>20.486049000000001</v>
      </c>
    </row>
    <row r="67" spans="1:31" x14ac:dyDescent="0.25">
      <c r="A67" t="s">
        <v>126</v>
      </c>
      <c r="B67" t="s">
        <v>127</v>
      </c>
      <c r="C67" t="s">
        <v>66</v>
      </c>
      <c r="D67" t="s">
        <v>66</v>
      </c>
      <c r="E67" t="s">
        <v>66</v>
      </c>
      <c r="F67" t="s">
        <v>66</v>
      </c>
      <c r="G67" t="s">
        <v>66</v>
      </c>
      <c r="H67" t="s">
        <v>66</v>
      </c>
      <c r="I67" t="s">
        <v>66</v>
      </c>
      <c r="J67" t="s">
        <v>66</v>
      </c>
      <c r="K67" t="s">
        <v>66</v>
      </c>
      <c r="L67" t="s">
        <v>66</v>
      </c>
      <c r="M67" t="s">
        <v>66</v>
      </c>
      <c r="N67" t="s">
        <v>66</v>
      </c>
      <c r="O67" t="s">
        <v>66</v>
      </c>
      <c r="P67" t="s">
        <v>66</v>
      </c>
      <c r="Q67" t="s">
        <v>66</v>
      </c>
      <c r="R67" t="s">
        <v>66</v>
      </c>
      <c r="S67" t="s">
        <v>66</v>
      </c>
      <c r="T67">
        <v>240.78460000000001</v>
      </c>
      <c r="U67">
        <v>224.78319999999999</v>
      </c>
      <c r="V67">
        <v>300.47739999999999</v>
      </c>
      <c r="W67">
        <v>399.75869999999998</v>
      </c>
      <c r="X67">
        <v>511.90530000000001</v>
      </c>
      <c r="Y67">
        <v>570.64260000000002</v>
      </c>
      <c r="Z67">
        <v>611.50199999999995</v>
      </c>
      <c r="AA67">
        <v>598.84529999999995</v>
      </c>
      <c r="AB67">
        <v>677.93259999999998</v>
      </c>
      <c r="AC67">
        <v>779.16880000000003</v>
      </c>
    </row>
    <row r="68" spans="1:31" x14ac:dyDescent="0.25">
      <c r="A68" t="s">
        <v>65</v>
      </c>
      <c r="B68" t="s">
        <v>127</v>
      </c>
      <c r="C68" t="s">
        <v>66</v>
      </c>
      <c r="D68" t="s">
        <v>66</v>
      </c>
      <c r="E68" t="s">
        <v>66</v>
      </c>
      <c r="F68" t="s">
        <v>66</v>
      </c>
      <c r="G68" t="s">
        <v>66</v>
      </c>
      <c r="H68" t="s">
        <v>66</v>
      </c>
      <c r="I68" t="s">
        <v>66</v>
      </c>
      <c r="J68" t="s">
        <v>66</v>
      </c>
      <c r="K68" t="s">
        <v>66</v>
      </c>
      <c r="L68" t="s">
        <v>66</v>
      </c>
      <c r="M68" t="s">
        <v>66</v>
      </c>
      <c r="N68" t="s">
        <v>66</v>
      </c>
      <c r="O68" t="s">
        <v>66</v>
      </c>
      <c r="P68" t="s">
        <v>66</v>
      </c>
      <c r="Q68" t="s">
        <v>66</v>
      </c>
      <c r="R68" t="s">
        <v>66</v>
      </c>
      <c r="S68" t="s">
        <v>66</v>
      </c>
      <c r="T68" t="s">
        <v>66</v>
      </c>
      <c r="U68">
        <v>-6.6455251979657302</v>
      </c>
      <c r="V68">
        <v>33.674326944236199</v>
      </c>
      <c r="W68">
        <v>33.0411609660271</v>
      </c>
      <c r="X68">
        <v>28.053583690791498</v>
      </c>
      <c r="Y68">
        <v>11.4743842845301</v>
      </c>
      <c r="Z68">
        <v>7.1603097654396404</v>
      </c>
      <c r="AA68">
        <v>-2.06925137927839</v>
      </c>
      <c r="AB68">
        <v>13.2062612828423</v>
      </c>
      <c r="AC68">
        <v>14.933091302722501</v>
      </c>
    </row>
    <row r="69" spans="1:31" x14ac:dyDescent="0.25">
      <c r="A69" t="s">
        <v>128</v>
      </c>
      <c r="B69" t="s">
        <v>129</v>
      </c>
      <c r="C69" t="s">
        <v>66</v>
      </c>
      <c r="D69" t="s">
        <v>66</v>
      </c>
      <c r="E69" t="s">
        <v>66</v>
      </c>
      <c r="F69" t="s">
        <v>66</v>
      </c>
      <c r="G69" t="s">
        <v>66</v>
      </c>
      <c r="H69" t="s">
        <v>66</v>
      </c>
      <c r="I69" t="s">
        <v>66</v>
      </c>
      <c r="J69" t="s">
        <v>66</v>
      </c>
      <c r="K69" t="s">
        <v>66</v>
      </c>
      <c r="L69" t="s">
        <v>66</v>
      </c>
      <c r="M69" t="s">
        <v>66</v>
      </c>
      <c r="N69" t="s">
        <v>66</v>
      </c>
      <c r="O69" t="s">
        <v>66</v>
      </c>
      <c r="P69" t="s">
        <v>66</v>
      </c>
      <c r="Q69" t="s">
        <v>66</v>
      </c>
      <c r="R69" t="s">
        <v>66</v>
      </c>
      <c r="S69" t="s">
        <v>66</v>
      </c>
      <c r="T69">
        <v>-5.2952000000000004</v>
      </c>
      <c r="U69">
        <v>-18.127700000000001</v>
      </c>
      <c r="V69">
        <v>-7.2964000000000002</v>
      </c>
      <c r="W69">
        <v>3.7595000000000001</v>
      </c>
      <c r="X69">
        <v>-63.0077</v>
      </c>
      <c r="Y69">
        <v>-42.506</v>
      </c>
      <c r="Z69">
        <v>-48.622599999999998</v>
      </c>
      <c r="AA69">
        <v>-4.3289999999999997</v>
      </c>
      <c r="AB69">
        <v>-63.089199999999998</v>
      </c>
      <c r="AC69">
        <v>-23.046299999999999</v>
      </c>
    </row>
    <row r="70" spans="1:31" x14ac:dyDescent="0.25">
      <c r="A70" t="s">
        <v>65</v>
      </c>
      <c r="B70" t="s">
        <v>129</v>
      </c>
      <c r="C70" t="s">
        <v>66</v>
      </c>
      <c r="D70" t="s">
        <v>66</v>
      </c>
      <c r="E70" t="s">
        <v>66</v>
      </c>
      <c r="F70" t="s">
        <v>66</v>
      </c>
      <c r="G70" t="s">
        <v>66</v>
      </c>
      <c r="H70" t="s">
        <v>66</v>
      </c>
      <c r="I70" t="s">
        <v>66</v>
      </c>
      <c r="J70" t="s">
        <v>66</v>
      </c>
      <c r="K70" t="s">
        <v>66</v>
      </c>
      <c r="L70" t="s">
        <v>66</v>
      </c>
      <c r="M70" t="s">
        <v>66</v>
      </c>
      <c r="N70" t="s">
        <v>66</v>
      </c>
      <c r="O70" t="s">
        <v>66</v>
      </c>
      <c r="P70" t="s">
        <v>66</v>
      </c>
      <c r="Q70" t="s">
        <v>66</v>
      </c>
      <c r="R70" t="s">
        <v>66</v>
      </c>
      <c r="S70" t="s">
        <v>66</v>
      </c>
      <c r="T70" t="s">
        <v>66</v>
      </c>
      <c r="U70">
        <v>-242.34155750809899</v>
      </c>
      <c r="V70">
        <v>59.750159934998798</v>
      </c>
      <c r="W70" t="s">
        <v>66</v>
      </c>
      <c r="X70" t="s">
        <v>66</v>
      </c>
      <c r="Y70">
        <v>32.538360440900497</v>
      </c>
      <c r="Z70">
        <v>-14.3900783362054</v>
      </c>
      <c r="AA70">
        <v>91.096676827565901</v>
      </c>
      <c r="AB70">
        <v>-1357.35728972267</v>
      </c>
      <c r="AC70">
        <v>63.470285805820097</v>
      </c>
    </row>
    <row r="71" spans="1:31" x14ac:dyDescent="0.25">
      <c r="A71" t="s">
        <v>130</v>
      </c>
      <c r="B71" t="s">
        <v>131</v>
      </c>
      <c r="C71" t="s">
        <v>66</v>
      </c>
      <c r="D71" t="s">
        <v>66</v>
      </c>
      <c r="E71" t="s">
        <v>66</v>
      </c>
      <c r="F71" t="s">
        <v>66</v>
      </c>
      <c r="G71" t="s">
        <v>66</v>
      </c>
      <c r="H71" t="s">
        <v>66</v>
      </c>
      <c r="I71" t="s">
        <v>66</v>
      </c>
      <c r="J71" t="s">
        <v>66</v>
      </c>
      <c r="K71" t="s">
        <v>66</v>
      </c>
      <c r="L71" t="s">
        <v>66</v>
      </c>
      <c r="M71" t="s">
        <v>66</v>
      </c>
      <c r="N71" t="s">
        <v>66</v>
      </c>
      <c r="O71" t="s">
        <v>66</v>
      </c>
      <c r="P71" t="s">
        <v>66</v>
      </c>
      <c r="Q71" t="s">
        <v>66</v>
      </c>
      <c r="R71" t="s">
        <v>66</v>
      </c>
      <c r="S71" t="s">
        <v>66</v>
      </c>
      <c r="T71">
        <v>16.915199999999999</v>
      </c>
      <c r="U71">
        <v>9.0638000000000005</v>
      </c>
      <c r="V71">
        <v>3.9798</v>
      </c>
      <c r="W71">
        <v>6.2657999999999996</v>
      </c>
      <c r="X71">
        <v>0.51429999999999998</v>
      </c>
      <c r="Y71">
        <v>-2.6566000000000001</v>
      </c>
      <c r="Z71">
        <v>-16.473199999999999</v>
      </c>
      <c r="AA71">
        <v>-19.646999999999998</v>
      </c>
      <c r="AB71">
        <v>-12.064399999999999</v>
      </c>
      <c r="AC71">
        <v>-5.9874999999999998</v>
      </c>
    </row>
    <row r="72" spans="1:31" x14ac:dyDescent="0.25">
      <c r="A72" t="s">
        <v>65</v>
      </c>
      <c r="B72" t="s">
        <v>131</v>
      </c>
      <c r="C72" t="s">
        <v>66</v>
      </c>
      <c r="D72" t="s">
        <v>66</v>
      </c>
      <c r="E72" t="s">
        <v>66</v>
      </c>
      <c r="F72" t="s">
        <v>66</v>
      </c>
      <c r="G72" t="s">
        <v>66</v>
      </c>
      <c r="H72" t="s">
        <v>66</v>
      </c>
      <c r="I72" t="s">
        <v>66</v>
      </c>
      <c r="J72" t="s">
        <v>66</v>
      </c>
      <c r="K72" t="s">
        <v>66</v>
      </c>
      <c r="L72" t="s">
        <v>66</v>
      </c>
      <c r="M72" t="s">
        <v>66</v>
      </c>
      <c r="N72" t="s">
        <v>66</v>
      </c>
      <c r="O72" t="s">
        <v>66</v>
      </c>
      <c r="P72" t="s">
        <v>66</v>
      </c>
      <c r="Q72" t="s">
        <v>66</v>
      </c>
      <c r="R72" t="s">
        <v>66</v>
      </c>
      <c r="S72" t="s">
        <v>66</v>
      </c>
      <c r="T72" t="s">
        <v>66</v>
      </c>
      <c r="U72">
        <v>-46.416099150422298</v>
      </c>
      <c r="V72">
        <v>-56.091088996616101</v>
      </c>
      <c r="W72">
        <v>57.439018169857903</v>
      </c>
      <c r="X72">
        <v>-91.791196988098903</v>
      </c>
      <c r="Y72" t="s">
        <v>66</v>
      </c>
      <c r="Z72">
        <v>-520.08175031035603</v>
      </c>
      <c r="AA72">
        <v>-19.266965668529501</v>
      </c>
      <c r="AB72">
        <v>38.594251003033598</v>
      </c>
      <c r="AC72">
        <v>50.370446995680503</v>
      </c>
    </row>
    <row r="73" spans="1:31" x14ac:dyDescent="0.25">
      <c r="A73" t="s">
        <v>132</v>
      </c>
      <c r="B73" t="s">
        <v>133</v>
      </c>
      <c r="C73">
        <v>22.992699999999999</v>
      </c>
      <c r="D73">
        <v>36.562399999999997</v>
      </c>
      <c r="E73">
        <v>41.593000000000004</v>
      </c>
      <c r="F73">
        <v>60.695399999999999</v>
      </c>
      <c r="G73">
        <v>92.3797</v>
      </c>
      <c r="H73">
        <v>94.063500000000005</v>
      </c>
      <c r="I73">
        <v>95.505499999999998</v>
      </c>
      <c r="J73">
        <v>102.5796</v>
      </c>
      <c r="K73">
        <v>129.43369999999999</v>
      </c>
      <c r="L73">
        <v>167.8989</v>
      </c>
      <c r="M73">
        <v>186.47030000000001</v>
      </c>
      <c r="N73">
        <v>208.4487</v>
      </c>
      <c r="O73">
        <v>249.93369999999999</v>
      </c>
      <c r="P73">
        <v>271.73700000000002</v>
      </c>
      <c r="Q73">
        <v>313.29390000000001</v>
      </c>
      <c r="R73">
        <v>342.74279999999999</v>
      </c>
      <c r="S73">
        <v>402.74059999999997</v>
      </c>
      <c r="T73">
        <v>434.20659999999998</v>
      </c>
      <c r="U73">
        <v>412.05599999999998</v>
      </c>
      <c r="V73">
        <v>572.69799999999998</v>
      </c>
      <c r="W73">
        <v>840.17539999999997</v>
      </c>
      <c r="X73">
        <v>965.04629999999997</v>
      </c>
      <c r="Y73">
        <v>1061.3208</v>
      </c>
      <c r="Z73">
        <v>1146.8818000000001</v>
      </c>
      <c r="AA73">
        <v>1084.6926000000001</v>
      </c>
      <c r="AB73">
        <v>1222.1602</v>
      </c>
      <c r="AC73">
        <v>1384.8124</v>
      </c>
      <c r="AD73">
        <v>1540.0740000000001</v>
      </c>
      <c r="AE73">
        <v>1659.2449999999999</v>
      </c>
    </row>
    <row r="74" spans="1:31" x14ac:dyDescent="0.25">
      <c r="A74" t="s">
        <v>65</v>
      </c>
      <c r="B74" t="s">
        <v>133</v>
      </c>
      <c r="C74" t="s">
        <v>66</v>
      </c>
      <c r="D74">
        <v>49.342615000000002</v>
      </c>
      <c r="E74">
        <v>21.905740999999999</v>
      </c>
      <c r="F74">
        <v>42.735773000000002</v>
      </c>
      <c r="G74">
        <v>36.994044000000002</v>
      </c>
      <c r="H74">
        <v>4.4753439999999998</v>
      </c>
      <c r="I74">
        <v>15.741315</v>
      </c>
      <c r="J74">
        <v>8.5159950000000002</v>
      </c>
      <c r="K74">
        <v>31.887412999999999</v>
      </c>
      <c r="L74">
        <v>49.711274000000003</v>
      </c>
      <c r="M74">
        <v>14.514714</v>
      </c>
      <c r="N74">
        <v>5.8597520000000003</v>
      </c>
      <c r="O74">
        <v>0.13611599999999999</v>
      </c>
      <c r="P74">
        <v>-1.042141</v>
      </c>
      <c r="Q74">
        <v>15.293044999999999</v>
      </c>
      <c r="R74">
        <v>8.3399509999999992</v>
      </c>
      <c r="S74">
        <v>7.6979470000000001</v>
      </c>
      <c r="T74">
        <v>0.47651500000000002</v>
      </c>
      <c r="U74">
        <v>0.10162599999999999</v>
      </c>
      <c r="V74">
        <v>46.091371000000002</v>
      </c>
      <c r="W74">
        <v>39.772990999999998</v>
      </c>
      <c r="X74">
        <v>24.378522</v>
      </c>
      <c r="Y74">
        <v>6.462358</v>
      </c>
      <c r="Z74">
        <v>8.0475589999999997</v>
      </c>
      <c r="AA74">
        <v>13.19356</v>
      </c>
      <c r="AB74">
        <v>12.996316</v>
      </c>
      <c r="AC74">
        <v>11.012498000000001</v>
      </c>
      <c r="AD74">
        <v>11.211304793623199</v>
      </c>
      <c r="AE74">
        <v>7.7380047971720902</v>
      </c>
    </row>
    <row r="75" spans="1:31" x14ac:dyDescent="0.25">
      <c r="A75" t="s">
        <v>134</v>
      </c>
      <c r="B75" t="s">
        <v>135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t="s">
        <v>66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31" x14ac:dyDescent="0.25">
      <c r="A76" t="s">
        <v>136</v>
      </c>
      <c r="B76" t="s">
        <v>137</v>
      </c>
      <c r="C76" t="s">
        <v>66</v>
      </c>
      <c r="D76" t="s">
        <v>66</v>
      </c>
      <c r="E76" t="s">
        <v>66</v>
      </c>
      <c r="F76" t="s">
        <v>66</v>
      </c>
      <c r="G76" t="s">
        <v>66</v>
      </c>
      <c r="H76" t="s">
        <v>66</v>
      </c>
      <c r="I76" t="s">
        <v>66</v>
      </c>
      <c r="J76" t="s">
        <v>66</v>
      </c>
      <c r="K76" t="s">
        <v>66</v>
      </c>
      <c r="L76" t="s">
        <v>66</v>
      </c>
      <c r="M76" t="s">
        <v>66</v>
      </c>
      <c r="N76" t="s">
        <v>66</v>
      </c>
      <c r="O76" t="s">
        <v>66</v>
      </c>
      <c r="P76" t="s">
        <v>66</v>
      </c>
      <c r="Q76" t="s">
        <v>66</v>
      </c>
      <c r="R76" t="s">
        <v>66</v>
      </c>
      <c r="S76" t="s">
        <v>66</v>
      </c>
      <c r="T76" t="s">
        <v>66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31" x14ac:dyDescent="0.25">
      <c r="A77" t="s">
        <v>138</v>
      </c>
      <c r="B77" t="s">
        <v>139</v>
      </c>
      <c r="C77" t="s">
        <v>66</v>
      </c>
      <c r="D77" t="s">
        <v>66</v>
      </c>
      <c r="E77" t="s">
        <v>66</v>
      </c>
      <c r="F77" t="s">
        <v>66</v>
      </c>
      <c r="G77" t="s">
        <v>66</v>
      </c>
      <c r="H77" t="s">
        <v>66</v>
      </c>
      <c r="I77" t="s">
        <v>66</v>
      </c>
      <c r="J77" t="s">
        <v>66</v>
      </c>
      <c r="K77" t="s">
        <v>66</v>
      </c>
      <c r="L77" t="s">
        <v>66</v>
      </c>
      <c r="M77" t="s">
        <v>66</v>
      </c>
      <c r="N77" t="s">
        <v>66</v>
      </c>
      <c r="O77" t="s">
        <v>66</v>
      </c>
      <c r="P77" t="s">
        <v>66</v>
      </c>
      <c r="Q77" t="s">
        <v>66</v>
      </c>
      <c r="R77" t="s">
        <v>66</v>
      </c>
      <c r="S77" t="s">
        <v>66</v>
      </c>
      <c r="T77" t="s">
        <v>66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31" x14ac:dyDescent="0.25">
      <c r="A78" t="s">
        <v>140</v>
      </c>
      <c r="B78" t="s">
        <v>141</v>
      </c>
      <c r="C78">
        <v>22.992699999999999</v>
      </c>
      <c r="D78">
        <v>36.562399999999997</v>
      </c>
      <c r="E78">
        <v>41.593000000000004</v>
      </c>
      <c r="F78">
        <v>60.695399999999999</v>
      </c>
      <c r="G78">
        <v>92.3797</v>
      </c>
      <c r="H78">
        <v>94.063500000000005</v>
      </c>
      <c r="I78">
        <v>95.505499999999998</v>
      </c>
      <c r="J78">
        <v>102.5796</v>
      </c>
      <c r="K78">
        <v>129.43369999999999</v>
      </c>
      <c r="L78">
        <v>167.8989</v>
      </c>
      <c r="M78">
        <v>186.47030000000001</v>
      </c>
      <c r="N78">
        <v>208.4487</v>
      </c>
      <c r="O78">
        <v>249.93369999999999</v>
      </c>
      <c r="P78">
        <v>271.73700000000002</v>
      </c>
      <c r="Q78">
        <v>313.29390000000001</v>
      </c>
      <c r="R78">
        <v>342.74279999999999</v>
      </c>
      <c r="S78">
        <v>402.74059999999997</v>
      </c>
      <c r="T78">
        <v>434.20659999999998</v>
      </c>
      <c r="U78">
        <v>412.05599999999998</v>
      </c>
      <c r="V78">
        <v>572.69799999999998</v>
      </c>
      <c r="W78">
        <v>840.17539999999997</v>
      </c>
      <c r="X78">
        <v>965.04629999999997</v>
      </c>
      <c r="Y78">
        <v>1061.3208</v>
      </c>
      <c r="Z78">
        <v>1146.8818000000001</v>
      </c>
      <c r="AA78">
        <v>1084.6926000000001</v>
      </c>
      <c r="AB78">
        <v>1222.1602</v>
      </c>
      <c r="AC78">
        <v>1384.8124</v>
      </c>
    </row>
    <row r="79" spans="1:31" x14ac:dyDescent="0.25">
      <c r="A79" t="s">
        <v>65</v>
      </c>
      <c r="B79" t="s">
        <v>141</v>
      </c>
      <c r="C79" t="s">
        <v>66</v>
      </c>
      <c r="D79">
        <v>59.017405023996901</v>
      </c>
      <c r="E79">
        <v>13.758868014310099</v>
      </c>
      <c r="F79">
        <v>45.926788820018103</v>
      </c>
      <c r="G79">
        <v>52.202263181350098</v>
      </c>
      <c r="H79">
        <v>1.8227184894621999</v>
      </c>
      <c r="I79">
        <v>1.53301392721509</v>
      </c>
      <c r="J79">
        <v>7.40694131071103</v>
      </c>
      <c r="K79">
        <v>26.1788431078994</v>
      </c>
      <c r="L79">
        <v>29.718031516686501</v>
      </c>
      <c r="M79">
        <v>11.0610770917911</v>
      </c>
      <c r="N79">
        <v>11.7865451591301</v>
      </c>
      <c r="O79">
        <v>19.901777274174002</v>
      </c>
      <c r="P79">
        <v>8.7236258357826397</v>
      </c>
      <c r="Q79">
        <v>15.293082134499199</v>
      </c>
      <c r="R79">
        <v>9.3997377408601803</v>
      </c>
      <c r="S79">
        <v>17.5052051866585</v>
      </c>
      <c r="T79">
        <v>7.8129649782939401</v>
      </c>
      <c r="U79">
        <v>-5.1013764753076503</v>
      </c>
      <c r="V79">
        <v>38.985469993459098</v>
      </c>
      <c r="W79">
        <v>46.704791342497899</v>
      </c>
      <c r="X79">
        <v>14.8624676483792</v>
      </c>
      <c r="Y79">
        <v>9.9762913850229609</v>
      </c>
      <c r="Z79">
        <v>8.0618054456997807</v>
      </c>
      <c r="AA79">
        <v>-5.4219582758461904</v>
      </c>
      <c r="AB79">
        <v>12.673059828971001</v>
      </c>
      <c r="AC79">
        <v>13.308588451931801</v>
      </c>
    </row>
    <row r="80" spans="1:31" x14ac:dyDescent="0.25">
      <c r="A80" t="s">
        <v>142</v>
      </c>
      <c r="B80" t="s">
        <v>143</v>
      </c>
      <c r="C80">
        <v>1.4937</v>
      </c>
      <c r="D80">
        <v>3.1999</v>
      </c>
      <c r="E80">
        <v>4.4526000000000003</v>
      </c>
      <c r="F80">
        <v>8.1288</v>
      </c>
      <c r="G80">
        <v>11.299099999999999</v>
      </c>
      <c r="H80">
        <v>4.6748000000000003</v>
      </c>
      <c r="I80">
        <v>4.4097999999999997</v>
      </c>
      <c r="J80">
        <v>3.2267999999999999</v>
      </c>
      <c r="K80">
        <v>2.6972</v>
      </c>
      <c r="L80">
        <v>6.2789999999999999</v>
      </c>
      <c r="M80">
        <v>5.8216000000000001</v>
      </c>
      <c r="N80">
        <v>4.6342999999999996</v>
      </c>
      <c r="O80">
        <v>4.4165999999999999</v>
      </c>
      <c r="P80">
        <v>5.5990000000000002</v>
      </c>
      <c r="Q80">
        <v>5.9722</v>
      </c>
      <c r="R80">
        <v>5.5281000000000002</v>
      </c>
      <c r="S80">
        <v>7.9505999999999997</v>
      </c>
      <c r="T80">
        <v>7.3544</v>
      </c>
      <c r="U80">
        <v>9.3427000000000007</v>
      </c>
      <c r="V80">
        <v>13.2661</v>
      </c>
      <c r="W80">
        <v>12.6709</v>
      </c>
      <c r="X80">
        <v>13.6302</v>
      </c>
      <c r="Y80">
        <v>11.5563</v>
      </c>
      <c r="Z80">
        <v>5.9782000000000002</v>
      </c>
      <c r="AA80">
        <v>5.1059999999999999</v>
      </c>
      <c r="AB80">
        <v>4.3166000000000002</v>
      </c>
      <c r="AC80">
        <v>4.8578000000000001</v>
      </c>
    </row>
    <row r="81" spans="1:31" x14ac:dyDescent="0.25">
      <c r="A81" t="s">
        <v>65</v>
      </c>
      <c r="B81" t="s">
        <v>143</v>
      </c>
      <c r="C81" t="s">
        <v>66</v>
      </c>
      <c r="D81">
        <v>101.19048100000001</v>
      </c>
      <c r="E81">
        <v>49.112434</v>
      </c>
      <c r="F81">
        <v>78.571422999999996</v>
      </c>
      <c r="G81">
        <v>25.111108999999999</v>
      </c>
      <c r="H81">
        <v>-57.548845999999998</v>
      </c>
      <c r="I81">
        <v>7.5313860000000004</v>
      </c>
      <c r="J81">
        <v>-26.070041</v>
      </c>
      <c r="K81">
        <v>-12.631577</v>
      </c>
      <c r="L81">
        <v>168.67468099999999</v>
      </c>
      <c r="M81">
        <v>-4.400881</v>
      </c>
      <c r="N81">
        <v>-24.615385</v>
      </c>
      <c r="O81">
        <v>-20.408162999999998</v>
      </c>
      <c r="P81">
        <v>15.384615</v>
      </c>
      <c r="Q81">
        <v>6.666671</v>
      </c>
      <c r="R81">
        <v>-8.3333370000000002</v>
      </c>
      <c r="S81">
        <v>31.818182</v>
      </c>
      <c r="T81">
        <v>-13.793103</v>
      </c>
      <c r="U81">
        <v>34</v>
      </c>
      <c r="V81">
        <v>49.253731000000002</v>
      </c>
      <c r="W81">
        <v>-9</v>
      </c>
      <c r="X81">
        <v>16.483516000000002</v>
      </c>
      <c r="Y81">
        <v>-17.924527999999999</v>
      </c>
      <c r="Z81">
        <v>-48.275861999999996</v>
      </c>
      <c r="AA81">
        <v>2.2222219999999999</v>
      </c>
      <c r="AB81">
        <v>-15.217390999999999</v>
      </c>
      <c r="AC81">
        <v>10.256410000000001</v>
      </c>
    </row>
    <row r="82" spans="1:31" x14ac:dyDescent="0.25">
      <c r="A82" t="s">
        <v>144</v>
      </c>
      <c r="B82" t="s">
        <v>145</v>
      </c>
      <c r="C82">
        <v>21.498999999999999</v>
      </c>
      <c r="D82">
        <v>33.362499999999997</v>
      </c>
      <c r="E82">
        <v>37.1404</v>
      </c>
      <c r="F82">
        <v>52.566499999999998</v>
      </c>
      <c r="G82">
        <v>81.080600000000004</v>
      </c>
      <c r="H82">
        <v>89.3887</v>
      </c>
      <c r="I82">
        <v>91.095699999999994</v>
      </c>
      <c r="J82">
        <v>99.352699999999999</v>
      </c>
      <c r="K82">
        <v>126.73650000000001</v>
      </c>
      <c r="L82">
        <v>161.6199</v>
      </c>
      <c r="M82">
        <v>180.64869999999999</v>
      </c>
      <c r="N82">
        <v>203.81440000000001</v>
      </c>
      <c r="O82">
        <v>245.5171</v>
      </c>
      <c r="P82">
        <v>266.13799999999998</v>
      </c>
      <c r="Q82">
        <v>307.32170000000002</v>
      </c>
      <c r="R82">
        <v>337.21460000000002</v>
      </c>
      <c r="S82">
        <v>394.78989999999999</v>
      </c>
      <c r="T82">
        <v>426.85210000000001</v>
      </c>
      <c r="U82">
        <v>402.7133</v>
      </c>
      <c r="V82">
        <v>559.43190000000004</v>
      </c>
      <c r="W82">
        <v>827.50459999999998</v>
      </c>
      <c r="X82">
        <v>951.41600000000005</v>
      </c>
      <c r="Y82">
        <v>1049.7645</v>
      </c>
      <c r="Z82">
        <v>1140.9036000000001</v>
      </c>
      <c r="AA82">
        <v>1079.5866000000001</v>
      </c>
      <c r="AB82">
        <v>1217.8435999999999</v>
      </c>
      <c r="AC82">
        <v>1379.9546</v>
      </c>
      <c r="AD82">
        <v>1540.0740000000001</v>
      </c>
      <c r="AE82">
        <v>1659.2449999999999</v>
      </c>
    </row>
    <row r="83" spans="1:31" x14ac:dyDescent="0.25">
      <c r="A83" t="s">
        <v>65</v>
      </c>
      <c r="B83" t="s">
        <v>145</v>
      </c>
      <c r="C83" t="s">
        <v>66</v>
      </c>
      <c r="D83">
        <v>45.740276999999999</v>
      </c>
      <c r="E83">
        <v>19.296254999999999</v>
      </c>
      <c r="F83">
        <v>38.439582999999999</v>
      </c>
      <c r="G83">
        <v>38.831614999999999</v>
      </c>
      <c r="H83">
        <v>13.118812</v>
      </c>
      <c r="I83">
        <v>16.170684000000001</v>
      </c>
      <c r="J83">
        <v>10.190238000000001</v>
      </c>
      <c r="K83">
        <v>33.333333000000003</v>
      </c>
      <c r="L83">
        <v>47.179487000000002</v>
      </c>
      <c r="M83">
        <v>15.249586000000001</v>
      </c>
      <c r="N83">
        <v>6.8418460000000003</v>
      </c>
      <c r="O83">
        <v>0.60324800000000001</v>
      </c>
      <c r="P83">
        <v>-1.3376410000000001</v>
      </c>
      <c r="Q83">
        <v>15.474524000000001</v>
      </c>
      <c r="R83">
        <v>8.6639680000000006</v>
      </c>
      <c r="S83">
        <v>7.3025339999999996</v>
      </c>
      <c r="T83">
        <v>0.76388900000000004</v>
      </c>
      <c r="U83">
        <v>-0.48242600000000002</v>
      </c>
      <c r="V83">
        <v>46.018006</v>
      </c>
      <c r="W83">
        <v>40.929571000000003</v>
      </c>
      <c r="X83">
        <v>24.499410999999998</v>
      </c>
      <c r="Y83">
        <v>6.811731</v>
      </c>
      <c r="Z83">
        <v>8.6675950000000004</v>
      </c>
      <c r="AA83">
        <v>13.251048000000001</v>
      </c>
      <c r="AB83">
        <v>13.129754999999999</v>
      </c>
      <c r="AC83">
        <v>11.015178000000001</v>
      </c>
      <c r="AD83">
        <v>11.6027977358176</v>
      </c>
      <c r="AE83">
        <v>7.7380047971720902</v>
      </c>
    </row>
    <row r="84" spans="1:31" x14ac:dyDescent="0.25">
      <c r="A84" t="s">
        <v>146</v>
      </c>
      <c r="B84" t="s">
        <v>147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31" x14ac:dyDescent="0.25">
      <c r="A85" t="s">
        <v>148</v>
      </c>
      <c r="B85" t="s">
        <v>149</v>
      </c>
      <c r="C85" t="s">
        <v>66</v>
      </c>
      <c r="D85" t="s">
        <v>66</v>
      </c>
      <c r="E85" t="s">
        <v>66</v>
      </c>
      <c r="F85" t="s">
        <v>66</v>
      </c>
      <c r="G85" t="s">
        <v>66</v>
      </c>
      <c r="H85" t="s">
        <v>66</v>
      </c>
      <c r="I85" t="s">
        <v>66</v>
      </c>
      <c r="J85" t="s">
        <v>66</v>
      </c>
      <c r="K85" t="s">
        <v>66</v>
      </c>
      <c r="L85" t="s">
        <v>66</v>
      </c>
      <c r="M85" t="s">
        <v>66</v>
      </c>
      <c r="N85" t="s">
        <v>66</v>
      </c>
      <c r="O85" t="s">
        <v>66</v>
      </c>
      <c r="P85" t="s">
        <v>66</v>
      </c>
      <c r="Q85" t="s">
        <v>66</v>
      </c>
      <c r="R85" t="s">
        <v>66</v>
      </c>
      <c r="S85" t="s">
        <v>66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31" x14ac:dyDescent="0.25">
      <c r="A86" t="s">
        <v>150</v>
      </c>
      <c r="B86" t="s">
        <v>151</v>
      </c>
      <c r="C86">
        <v>21.498999999999999</v>
      </c>
      <c r="D86">
        <v>33.362499999999997</v>
      </c>
      <c r="E86">
        <v>37.1404</v>
      </c>
      <c r="F86">
        <v>52.566499999999998</v>
      </c>
      <c r="G86">
        <v>81.080600000000004</v>
      </c>
      <c r="H86">
        <v>89.3887</v>
      </c>
      <c r="I86">
        <v>91.095699999999994</v>
      </c>
      <c r="J86">
        <v>99.352699999999999</v>
      </c>
      <c r="K86">
        <v>126.73650000000001</v>
      </c>
      <c r="L86">
        <v>161.6199</v>
      </c>
      <c r="M86">
        <v>180.64869999999999</v>
      </c>
      <c r="N86">
        <v>203.81440000000001</v>
      </c>
      <c r="O86">
        <v>245.5171</v>
      </c>
      <c r="P86">
        <v>266.13799999999998</v>
      </c>
      <c r="Q86">
        <v>307.32170000000002</v>
      </c>
      <c r="R86">
        <v>337.21460000000002</v>
      </c>
      <c r="S86">
        <v>394.78989999999999</v>
      </c>
      <c r="T86">
        <v>426.85210000000001</v>
      </c>
      <c r="U86">
        <v>402.7133</v>
      </c>
      <c r="V86">
        <v>559.43190000000004</v>
      </c>
      <c r="W86">
        <v>827.50459999999998</v>
      </c>
      <c r="X86">
        <v>951.41600000000005</v>
      </c>
      <c r="Y86">
        <v>1049.7645</v>
      </c>
      <c r="Z86">
        <v>1140.9036000000001</v>
      </c>
      <c r="AA86">
        <v>1079.5866000000001</v>
      </c>
      <c r="AB86">
        <v>1217.8435999999999</v>
      </c>
      <c r="AC86">
        <v>1379.9546</v>
      </c>
      <c r="AD86">
        <v>1540.0740000000001</v>
      </c>
      <c r="AE86">
        <v>1659.2449999999999</v>
      </c>
    </row>
    <row r="87" spans="1:31" x14ac:dyDescent="0.25">
      <c r="A87" t="s">
        <v>65</v>
      </c>
      <c r="B87" t="s">
        <v>151</v>
      </c>
      <c r="C87" t="s">
        <v>66</v>
      </c>
      <c r="D87">
        <v>45.740276999999999</v>
      </c>
      <c r="E87">
        <v>19.296254999999999</v>
      </c>
      <c r="F87">
        <v>38.439582999999999</v>
      </c>
      <c r="G87">
        <v>38.831614999999999</v>
      </c>
      <c r="H87">
        <v>13.118812</v>
      </c>
      <c r="I87">
        <v>16.170684000000001</v>
      </c>
      <c r="J87">
        <v>10.190238000000001</v>
      </c>
      <c r="K87">
        <v>33.333333000000003</v>
      </c>
      <c r="L87">
        <v>47.179487000000002</v>
      </c>
      <c r="M87">
        <v>15.249586000000001</v>
      </c>
      <c r="N87">
        <v>6.8418460000000003</v>
      </c>
      <c r="O87">
        <v>0.60324800000000001</v>
      </c>
      <c r="P87">
        <v>-1.3376410000000001</v>
      </c>
      <c r="Q87">
        <v>15.474524000000001</v>
      </c>
      <c r="R87">
        <v>8.6639680000000006</v>
      </c>
      <c r="S87">
        <v>7.3025339999999996</v>
      </c>
      <c r="T87">
        <v>0.76388900000000004</v>
      </c>
      <c r="U87">
        <v>-0.48242600000000002</v>
      </c>
      <c r="V87">
        <v>46.018006</v>
      </c>
      <c r="W87">
        <v>40.929571000000003</v>
      </c>
      <c r="X87">
        <v>24.499410999999998</v>
      </c>
      <c r="Y87">
        <v>6.811731</v>
      </c>
      <c r="Z87">
        <v>8.6675950000000004</v>
      </c>
      <c r="AA87">
        <v>13.251048000000001</v>
      </c>
      <c r="AB87">
        <v>13.129754999999999</v>
      </c>
      <c r="AC87">
        <v>11.015178000000001</v>
      </c>
      <c r="AD87">
        <v>11.6027977358176</v>
      </c>
      <c r="AE87">
        <v>7.7380047971720902</v>
      </c>
    </row>
    <row r="89" spans="1:31" x14ac:dyDescent="0.25">
      <c r="A89" t="s">
        <v>152</v>
      </c>
      <c r="B89" t="s">
        <v>151</v>
      </c>
      <c r="C89">
        <v>21.498999999999999</v>
      </c>
      <c r="D89">
        <v>33.362499999999997</v>
      </c>
      <c r="E89">
        <v>37.1404</v>
      </c>
      <c r="F89">
        <v>52.566499999999998</v>
      </c>
      <c r="G89">
        <v>81.080600000000004</v>
      </c>
      <c r="H89">
        <v>89.3887</v>
      </c>
      <c r="I89">
        <v>91.095699999999994</v>
      </c>
      <c r="J89">
        <v>99.352699999999999</v>
      </c>
      <c r="K89">
        <v>126.73650000000001</v>
      </c>
      <c r="L89">
        <v>161.6199</v>
      </c>
      <c r="M89">
        <v>180.64869999999999</v>
      </c>
      <c r="N89">
        <v>203.81440000000001</v>
      </c>
      <c r="O89">
        <v>245.5171</v>
      </c>
      <c r="P89">
        <v>266.13799999999998</v>
      </c>
      <c r="Q89">
        <v>307.32170000000002</v>
      </c>
      <c r="R89">
        <v>337.21460000000002</v>
      </c>
      <c r="S89">
        <v>394.78989999999999</v>
      </c>
      <c r="T89">
        <v>426.85210000000001</v>
      </c>
      <c r="U89">
        <v>405.27460000000002</v>
      </c>
      <c r="V89">
        <v>562.73889999999994</v>
      </c>
      <c r="W89">
        <v>829.37310000000002</v>
      </c>
      <c r="X89">
        <v>960.14520000000005</v>
      </c>
      <c r="Y89">
        <v>1075.114</v>
      </c>
      <c r="Z89">
        <v>1168.8389999999999</v>
      </c>
      <c r="AA89">
        <v>1100.1394</v>
      </c>
      <c r="AB89">
        <v>1224.5235</v>
      </c>
      <c r="AC89">
        <v>1411.0065</v>
      </c>
      <c r="AD89">
        <v>1537.4059999999999</v>
      </c>
      <c r="AE89">
        <v>1672.885</v>
      </c>
    </row>
    <row r="90" spans="1:31" x14ac:dyDescent="0.25">
      <c r="A90" t="s">
        <v>65</v>
      </c>
      <c r="B90" t="s">
        <v>151</v>
      </c>
      <c r="C90" t="s">
        <v>66</v>
      </c>
      <c r="D90">
        <v>45.740276999999999</v>
      </c>
      <c r="E90">
        <v>19.296254999999999</v>
      </c>
      <c r="F90">
        <v>38.439582999999999</v>
      </c>
      <c r="G90">
        <v>38.831614999999999</v>
      </c>
      <c r="H90">
        <v>13.118812</v>
      </c>
      <c r="I90">
        <v>16.170684000000001</v>
      </c>
      <c r="J90">
        <v>10.190238000000001</v>
      </c>
      <c r="K90">
        <v>33.333333000000003</v>
      </c>
      <c r="L90">
        <v>47.179487000000002</v>
      </c>
      <c r="M90">
        <v>15.249586000000001</v>
      </c>
      <c r="N90">
        <v>6.8418460000000003</v>
      </c>
      <c r="O90">
        <v>0.60324800000000001</v>
      </c>
      <c r="P90">
        <v>-1.3376410000000001</v>
      </c>
      <c r="Q90">
        <v>15.474524000000001</v>
      </c>
      <c r="R90">
        <v>8.6639680000000006</v>
      </c>
      <c r="S90">
        <v>7.3025339999999996</v>
      </c>
      <c r="T90">
        <v>0.76388900000000004</v>
      </c>
      <c r="U90">
        <v>0.15051700000000001</v>
      </c>
      <c r="V90">
        <v>45.952886999999997</v>
      </c>
      <c r="W90">
        <v>40.417729999999999</v>
      </c>
      <c r="X90">
        <v>25.358626000000001</v>
      </c>
      <c r="Y90">
        <v>8.3964730000000003</v>
      </c>
      <c r="Z90">
        <v>8.7034090000000006</v>
      </c>
      <c r="AA90">
        <v>12.648835999999999</v>
      </c>
      <c r="AB90">
        <v>11.625197999999999</v>
      </c>
      <c r="AC90">
        <v>12.894031</v>
      </c>
      <c r="AD90">
        <v>8.9576746967767296</v>
      </c>
      <c r="AE90">
        <v>8.8121810374097702</v>
      </c>
    </row>
    <row r="91" spans="1:31" x14ac:dyDescent="0.25">
      <c r="A91" t="s">
        <v>153</v>
      </c>
      <c r="B91" t="s">
        <v>154</v>
      </c>
      <c r="C91" t="s">
        <v>66</v>
      </c>
      <c r="D91" t="s">
        <v>66</v>
      </c>
      <c r="E91" t="s">
        <v>66</v>
      </c>
      <c r="F91" t="s">
        <v>66</v>
      </c>
      <c r="G91" t="s">
        <v>66</v>
      </c>
      <c r="H91" t="s">
        <v>66</v>
      </c>
      <c r="I91" t="s">
        <v>66</v>
      </c>
      <c r="J91" t="s">
        <v>66</v>
      </c>
      <c r="K91" t="s">
        <v>66</v>
      </c>
      <c r="L91" t="s">
        <v>66</v>
      </c>
      <c r="M91" t="s">
        <v>66</v>
      </c>
      <c r="N91" t="s">
        <v>66</v>
      </c>
      <c r="O91" t="s">
        <v>66</v>
      </c>
      <c r="P91" t="s">
        <v>66</v>
      </c>
      <c r="Q91" t="s">
        <v>66</v>
      </c>
      <c r="R91" t="s">
        <v>66</v>
      </c>
      <c r="S91" t="s">
        <v>66</v>
      </c>
      <c r="T91">
        <v>28.991599999999998</v>
      </c>
      <c r="U91">
        <v>2.5613000000000001</v>
      </c>
      <c r="V91">
        <v>3.3069999999999999</v>
      </c>
      <c r="W91">
        <v>1.8685</v>
      </c>
      <c r="X91">
        <v>8.7291000000000007</v>
      </c>
      <c r="Y91">
        <v>25.349499999999999</v>
      </c>
      <c r="Z91">
        <v>27.935400000000001</v>
      </c>
      <c r="AA91">
        <v>20.552800000000001</v>
      </c>
      <c r="AB91">
        <v>6.6798999999999999</v>
      </c>
      <c r="AC91">
        <v>31.052</v>
      </c>
    </row>
    <row r="92" spans="1:31" x14ac:dyDescent="0.25">
      <c r="A92" t="s">
        <v>65</v>
      </c>
      <c r="B92" t="s">
        <v>154</v>
      </c>
      <c r="C92" t="s">
        <v>66</v>
      </c>
      <c r="D92" t="s">
        <v>66</v>
      </c>
      <c r="E92" t="s">
        <v>66</v>
      </c>
      <c r="F92" t="s">
        <v>66</v>
      </c>
      <c r="G92" t="s">
        <v>66</v>
      </c>
      <c r="H92" t="s">
        <v>66</v>
      </c>
      <c r="I92" t="s">
        <v>66</v>
      </c>
      <c r="J92" t="s">
        <v>66</v>
      </c>
      <c r="K92" t="s">
        <v>66</v>
      </c>
      <c r="L92" t="s">
        <v>66</v>
      </c>
      <c r="M92" t="s">
        <v>66</v>
      </c>
      <c r="N92" t="s">
        <v>66</v>
      </c>
      <c r="O92" t="s">
        <v>66</v>
      </c>
      <c r="P92" t="s">
        <v>66</v>
      </c>
      <c r="Q92" t="s">
        <v>66</v>
      </c>
      <c r="R92" t="s">
        <v>66</v>
      </c>
      <c r="S92" t="s">
        <v>66</v>
      </c>
      <c r="T92" t="s">
        <v>66</v>
      </c>
      <c r="U92">
        <v>-91.165371027367598</v>
      </c>
      <c r="V92">
        <v>29.113134301669401</v>
      </c>
      <c r="W92">
        <v>-43.499317805753698</v>
      </c>
      <c r="X92">
        <v>367.18245574974998</v>
      </c>
      <c r="Y92">
        <v>190.40130661270501</v>
      </c>
      <c r="Z92">
        <v>10.201070828743299</v>
      </c>
      <c r="AA92">
        <v>-26.427111532272502</v>
      </c>
      <c r="AB92">
        <v>-67.498733513045096</v>
      </c>
      <c r="AC92">
        <v>364.854629325514</v>
      </c>
    </row>
    <row r="93" spans="1:31" x14ac:dyDescent="0.25">
      <c r="A93" t="s">
        <v>155</v>
      </c>
      <c r="B93" t="s">
        <v>135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66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5" spans="1:31" x14ac:dyDescent="0.25">
      <c r="A95" t="s">
        <v>156</v>
      </c>
      <c r="B95" t="s">
        <v>157</v>
      </c>
      <c r="C95">
        <v>3.51</v>
      </c>
      <c r="D95">
        <v>3.51</v>
      </c>
      <c r="E95">
        <v>56.484000000000002</v>
      </c>
      <c r="F95">
        <v>109.548</v>
      </c>
      <c r="G95">
        <v>109.72799999999999</v>
      </c>
      <c r="H95">
        <v>109.962</v>
      </c>
      <c r="I95">
        <v>110.16</v>
      </c>
      <c r="J95">
        <v>110.304</v>
      </c>
      <c r="K95">
        <v>110.44199999999999</v>
      </c>
      <c r="L95">
        <v>110.172</v>
      </c>
      <c r="M95">
        <v>109.869</v>
      </c>
      <c r="N95">
        <v>109.90179999999999</v>
      </c>
      <c r="O95">
        <v>109.899</v>
      </c>
      <c r="P95">
        <v>109.9923</v>
      </c>
      <c r="Q95">
        <v>108.9675</v>
      </c>
      <c r="R95">
        <v>107.0318</v>
      </c>
      <c r="S95">
        <v>106.14400000000001</v>
      </c>
      <c r="T95">
        <v>105.074</v>
      </c>
      <c r="U95">
        <v>105.1289</v>
      </c>
      <c r="V95">
        <v>105.16240000000001</v>
      </c>
      <c r="W95">
        <v>104.5569</v>
      </c>
      <c r="X95">
        <v>104.0872</v>
      </c>
      <c r="Y95">
        <v>104.1182</v>
      </c>
      <c r="Z95">
        <v>104.2677</v>
      </c>
      <c r="AA95">
        <v>104.3959</v>
      </c>
      <c r="AB95">
        <v>104.5189</v>
      </c>
      <c r="AC95">
        <v>104.4358</v>
      </c>
    </row>
    <row r="96" spans="1:31" x14ac:dyDescent="0.25">
      <c r="A96" t="s">
        <v>65</v>
      </c>
      <c r="B96" t="s">
        <v>157</v>
      </c>
      <c r="C96" t="s">
        <v>66</v>
      </c>
      <c r="D96">
        <v>0</v>
      </c>
      <c r="E96">
        <v>1509.23076923077</v>
      </c>
      <c r="F96">
        <v>93.9451862474329</v>
      </c>
      <c r="G96">
        <v>0.16431610037897099</v>
      </c>
      <c r="H96">
        <v>0.213254585401913</v>
      </c>
      <c r="I96">
        <v>0.18006219675662499</v>
      </c>
      <c r="J96">
        <v>0.13071985727233901</v>
      </c>
      <c r="K96">
        <v>0.12510243848353</v>
      </c>
      <c r="L96">
        <v>-0.24447312153841499</v>
      </c>
      <c r="M96">
        <v>-0.27501906859326303</v>
      </c>
      <c r="N96">
        <v>2.9830979716805699E-2</v>
      </c>
      <c r="O96">
        <v>-2.5331710283988699E-3</v>
      </c>
      <c r="P96">
        <v>8.4903415949370106E-2</v>
      </c>
      <c r="Q96">
        <v>-0.93173884114180605</v>
      </c>
      <c r="R96">
        <v>-1.7764064448560499</v>
      </c>
      <c r="S96">
        <v>-0.82945756771476198</v>
      </c>
      <c r="T96">
        <v>-1.00802143518784</v>
      </c>
      <c r="U96">
        <v>5.22022480171805E-2</v>
      </c>
      <c r="V96">
        <v>3.1936993139942499E-2</v>
      </c>
      <c r="W96">
        <v>-0.57577588653440503</v>
      </c>
      <c r="X96">
        <v>-0.44924514579113101</v>
      </c>
      <c r="Y96">
        <v>2.9744283323605701E-2</v>
      </c>
      <c r="Z96">
        <v>0.143620440263521</v>
      </c>
      <c r="AA96">
        <v>0.122915314838123</v>
      </c>
      <c r="AB96">
        <v>0.117836063345186</v>
      </c>
      <c r="AC96">
        <v>-7.9550205752262806E-2</v>
      </c>
    </row>
    <row r="97" spans="1:31" x14ac:dyDescent="0.25">
      <c r="A97" t="s">
        <v>158</v>
      </c>
      <c r="B97" t="s">
        <v>159</v>
      </c>
      <c r="C97">
        <v>6.1250999999999998</v>
      </c>
      <c r="D97">
        <v>9.5050000000000008</v>
      </c>
      <c r="E97">
        <v>0.65749999999999997</v>
      </c>
      <c r="F97">
        <v>0.4798</v>
      </c>
      <c r="G97">
        <v>0.73899999999999999</v>
      </c>
      <c r="H97">
        <v>0.81289999999999996</v>
      </c>
      <c r="I97">
        <v>0.82709999999999995</v>
      </c>
      <c r="J97">
        <v>0.90069999999999995</v>
      </c>
      <c r="K97">
        <v>1.1504000000000001</v>
      </c>
      <c r="L97">
        <v>1.4670000000000001</v>
      </c>
      <c r="M97">
        <v>1.645</v>
      </c>
      <c r="N97">
        <v>1.8536999999999999</v>
      </c>
      <c r="O97">
        <v>2.2347000000000001</v>
      </c>
      <c r="P97">
        <v>2.4178999999999999</v>
      </c>
      <c r="Q97">
        <v>2.8201999999999998</v>
      </c>
      <c r="R97">
        <v>3.1535000000000002</v>
      </c>
      <c r="S97">
        <v>3.7149000000000001</v>
      </c>
      <c r="T97">
        <v>4.0597000000000003</v>
      </c>
      <c r="U97">
        <v>3.8346999999999998</v>
      </c>
      <c r="V97">
        <v>5.3197000000000001</v>
      </c>
      <c r="W97">
        <v>7.9088000000000003</v>
      </c>
      <c r="X97">
        <v>9.1425000000000001</v>
      </c>
      <c r="Y97">
        <v>10.081899999999999</v>
      </c>
      <c r="Z97">
        <v>10.9467</v>
      </c>
      <c r="AA97">
        <v>10.3452</v>
      </c>
      <c r="AB97">
        <v>11.6549</v>
      </c>
      <c r="AC97">
        <v>13.217700000000001</v>
      </c>
      <c r="AD97">
        <v>14.725</v>
      </c>
      <c r="AE97">
        <v>15.792</v>
      </c>
    </row>
    <row r="98" spans="1:31" x14ac:dyDescent="0.25">
      <c r="A98" t="s">
        <v>65</v>
      </c>
      <c r="B98" t="s">
        <v>159</v>
      </c>
      <c r="C98" t="s">
        <v>66</v>
      </c>
      <c r="D98">
        <v>45.740327000000001</v>
      </c>
      <c r="E98">
        <v>-92.586681999999996</v>
      </c>
      <c r="F98">
        <v>-28.620906999999999</v>
      </c>
      <c r="G98">
        <v>38.620488000000002</v>
      </c>
      <c r="H98">
        <v>12.866626</v>
      </c>
      <c r="I98">
        <v>15.976900000000001</v>
      </c>
      <c r="J98">
        <v>10.027661</v>
      </c>
      <c r="K98">
        <v>33.500942999999999</v>
      </c>
      <c r="L98">
        <v>47.175142999999998</v>
      </c>
      <c r="M98">
        <v>15.621339000000001</v>
      </c>
      <c r="N98">
        <v>6.7150639999999999</v>
      </c>
      <c r="O98">
        <v>0.68027199999999999</v>
      </c>
      <c r="P98">
        <v>-1.5202720000000001</v>
      </c>
      <c r="Q98">
        <v>16.638083999999999</v>
      </c>
      <c r="R98">
        <v>10.735288000000001</v>
      </c>
      <c r="S98">
        <v>7.968127</v>
      </c>
      <c r="T98">
        <v>1.845018</v>
      </c>
      <c r="U98">
        <v>-0.362319</v>
      </c>
      <c r="V98">
        <v>45.818182</v>
      </c>
      <c r="W98">
        <v>41.645885</v>
      </c>
      <c r="X98">
        <v>25.176055999999999</v>
      </c>
      <c r="Y98">
        <v>6.751055</v>
      </c>
      <c r="Z98">
        <v>8.5639000000000003</v>
      </c>
      <c r="AA98">
        <v>13.106795999999999</v>
      </c>
      <c r="AB98">
        <v>12.982832999999999</v>
      </c>
      <c r="AC98">
        <v>11.111110999999999</v>
      </c>
      <c r="AD98">
        <v>11.402872733963401</v>
      </c>
      <c r="AE98">
        <v>7.2461799660441404</v>
      </c>
    </row>
    <row r="99" spans="1:31" x14ac:dyDescent="0.25">
      <c r="A99" t="s">
        <v>160</v>
      </c>
      <c r="B99" t="s">
        <v>161</v>
      </c>
      <c r="C99">
        <v>6.1250999999999998</v>
      </c>
      <c r="D99">
        <v>9.5050000000000008</v>
      </c>
      <c r="E99">
        <v>0.65749999999999997</v>
      </c>
      <c r="F99">
        <v>0.4798</v>
      </c>
      <c r="G99">
        <v>0.73899999999999999</v>
      </c>
      <c r="H99">
        <v>0.81289999999999996</v>
      </c>
      <c r="I99">
        <v>0.82709999999999995</v>
      </c>
      <c r="J99">
        <v>0.90069999999999995</v>
      </c>
      <c r="K99">
        <v>1.1504000000000001</v>
      </c>
      <c r="L99">
        <v>1.4670000000000001</v>
      </c>
      <c r="M99">
        <v>1.645</v>
      </c>
      <c r="N99">
        <v>1.8536999999999999</v>
      </c>
      <c r="O99">
        <v>2.2347000000000001</v>
      </c>
      <c r="P99">
        <v>2.4178999999999999</v>
      </c>
      <c r="Q99">
        <v>2.8201999999999998</v>
      </c>
      <c r="R99">
        <v>3.1535000000000002</v>
      </c>
      <c r="S99">
        <v>3.7149000000000001</v>
      </c>
      <c r="T99">
        <v>4.0597000000000003</v>
      </c>
      <c r="U99">
        <v>3.8346999999999998</v>
      </c>
      <c r="V99">
        <v>5.3197000000000001</v>
      </c>
      <c r="W99">
        <v>7.9088000000000003</v>
      </c>
      <c r="X99">
        <v>9.1425000000000001</v>
      </c>
      <c r="Y99">
        <v>10.081899999999999</v>
      </c>
      <c r="Z99">
        <v>10.9467</v>
      </c>
      <c r="AA99">
        <v>10.3452</v>
      </c>
      <c r="AB99">
        <v>11.6549</v>
      </c>
      <c r="AC99">
        <v>13.217700000000001</v>
      </c>
      <c r="AD99">
        <v>14.725</v>
      </c>
      <c r="AE99">
        <v>15.792</v>
      </c>
    </row>
    <row r="100" spans="1:31" x14ac:dyDescent="0.25">
      <c r="A100" t="s">
        <v>65</v>
      </c>
      <c r="B100" t="s">
        <v>161</v>
      </c>
      <c r="C100" t="s">
        <v>66</v>
      </c>
      <c r="D100">
        <v>55.1817513328823</v>
      </c>
      <c r="E100">
        <v>-93.082731035916495</v>
      </c>
      <c r="F100">
        <v>-27.018522067389998</v>
      </c>
      <c r="G100">
        <v>54.009123817582001</v>
      </c>
      <c r="H100">
        <v>10.000920159891299</v>
      </c>
      <c r="I100">
        <v>1.7396781189530399</v>
      </c>
      <c r="J100">
        <v>8.9031994399378007</v>
      </c>
      <c r="K100">
        <v>27.722566713112801</v>
      </c>
      <c r="L100">
        <v>27.520519342337899</v>
      </c>
      <c r="M100">
        <v>12.134347852168601</v>
      </c>
      <c r="N100">
        <v>12.689736926093101</v>
      </c>
      <c r="O100">
        <v>20.553341986213699</v>
      </c>
      <c r="P100">
        <v>8.1983014419262403</v>
      </c>
      <c r="Q100">
        <v>16.6381298367859</v>
      </c>
      <c r="R100">
        <v>11.818520927046301</v>
      </c>
      <c r="S100">
        <v>17.7999927065975</v>
      </c>
      <c r="T100">
        <v>9.2813895744231907</v>
      </c>
      <c r="U100">
        <v>-5.5412097826046898</v>
      </c>
      <c r="V100">
        <v>38.725574692785699</v>
      </c>
      <c r="W100">
        <v>48.670557479532299</v>
      </c>
      <c r="X100">
        <v>15.5989800785045</v>
      </c>
      <c r="Y100">
        <v>10.2745264638077</v>
      </c>
      <c r="Z100">
        <v>8.5782079085124501</v>
      </c>
      <c r="AA100">
        <v>-5.49444757170673</v>
      </c>
      <c r="AB100">
        <v>12.6596102434744</v>
      </c>
      <c r="AC100">
        <v>13.4092455643958</v>
      </c>
      <c r="AD100">
        <v>11.402872733963401</v>
      </c>
      <c r="AE100">
        <v>7.2461799660441404</v>
      </c>
    </row>
    <row r="101" spans="1:31" x14ac:dyDescent="0.25">
      <c r="A101" t="s">
        <v>162</v>
      </c>
      <c r="B101" t="s">
        <v>163</v>
      </c>
      <c r="C101" t="s">
        <v>66</v>
      </c>
      <c r="D101" t="s">
        <v>66</v>
      </c>
      <c r="E101">
        <v>0</v>
      </c>
      <c r="F101">
        <v>0</v>
      </c>
      <c r="G101" t="s">
        <v>66</v>
      </c>
      <c r="H101" t="s">
        <v>66</v>
      </c>
      <c r="I101" t="s">
        <v>66</v>
      </c>
      <c r="J101" t="s">
        <v>66</v>
      </c>
      <c r="K101" t="s">
        <v>66</v>
      </c>
      <c r="L101" t="s">
        <v>66</v>
      </c>
      <c r="M101" t="s">
        <v>66</v>
      </c>
      <c r="N101">
        <v>1.8536999999999999</v>
      </c>
      <c r="O101">
        <v>2.2347000000000001</v>
      </c>
      <c r="P101">
        <v>2.4178999999999999</v>
      </c>
      <c r="Q101">
        <v>2.8201999999999998</v>
      </c>
      <c r="R101">
        <v>3.1535000000000002</v>
      </c>
      <c r="S101">
        <v>3.7149000000000001</v>
      </c>
      <c r="T101">
        <v>4.3383000000000003</v>
      </c>
      <c r="U101">
        <v>3.855</v>
      </c>
      <c r="V101">
        <v>5.3510999999999997</v>
      </c>
      <c r="W101">
        <v>7.9322999999999997</v>
      </c>
      <c r="X101">
        <v>9.2243999999999993</v>
      </c>
      <c r="Y101">
        <v>10.325900000000001</v>
      </c>
      <c r="Z101">
        <v>11.21</v>
      </c>
      <c r="AA101">
        <v>10.5381</v>
      </c>
      <c r="AB101">
        <v>11.7158</v>
      </c>
      <c r="AC101">
        <v>13.5108</v>
      </c>
      <c r="AD101">
        <v>14.632999999999999</v>
      </c>
      <c r="AE101">
        <v>15.884</v>
      </c>
    </row>
    <row r="102" spans="1:31" x14ac:dyDescent="0.25">
      <c r="A102" t="s">
        <v>65</v>
      </c>
      <c r="B102" t="s">
        <v>163</v>
      </c>
      <c r="C102" t="s">
        <v>66</v>
      </c>
      <c r="D102" t="s">
        <v>66</v>
      </c>
      <c r="E102" t="s">
        <v>66</v>
      </c>
      <c r="F102" t="s">
        <v>66</v>
      </c>
      <c r="G102" t="s">
        <v>66</v>
      </c>
      <c r="H102" t="s">
        <v>66</v>
      </c>
      <c r="I102" t="s">
        <v>66</v>
      </c>
      <c r="J102" t="s">
        <v>66</v>
      </c>
      <c r="K102" t="s">
        <v>66</v>
      </c>
      <c r="L102" t="s">
        <v>66</v>
      </c>
      <c r="M102" t="s">
        <v>66</v>
      </c>
      <c r="N102" t="s">
        <v>66</v>
      </c>
      <c r="O102">
        <v>0.68027199999999999</v>
      </c>
      <c r="P102">
        <v>-1.5202720000000001</v>
      </c>
      <c r="Q102">
        <v>16.638083999999999</v>
      </c>
      <c r="R102">
        <v>10.735288000000001</v>
      </c>
      <c r="S102">
        <v>7.968127</v>
      </c>
      <c r="T102">
        <v>8.8356829999999995</v>
      </c>
      <c r="U102">
        <v>-6.267989</v>
      </c>
      <c r="V102">
        <v>45.906315999999997</v>
      </c>
      <c r="W102">
        <v>41.230896999999999</v>
      </c>
      <c r="X102">
        <v>25.924332</v>
      </c>
      <c r="Y102">
        <v>8.3642430000000001</v>
      </c>
      <c r="Z102">
        <v>8.5475209999999997</v>
      </c>
      <c r="AA102">
        <v>12.510543</v>
      </c>
      <c r="AB102">
        <v>11.49381</v>
      </c>
      <c r="AC102">
        <v>12.983909000000001</v>
      </c>
      <c r="AD102">
        <v>8.3058356069441892</v>
      </c>
      <c r="AE102">
        <v>8.5491696849586507</v>
      </c>
    </row>
    <row r="104" spans="1:31" x14ac:dyDescent="0.25">
      <c r="A104" t="s">
        <v>164</v>
      </c>
      <c r="B104" t="s">
        <v>165</v>
      </c>
      <c r="C104">
        <v>3.51</v>
      </c>
      <c r="D104">
        <v>3.51</v>
      </c>
      <c r="E104">
        <v>56.484000000000002</v>
      </c>
      <c r="F104">
        <v>109.548</v>
      </c>
      <c r="G104">
        <v>109.72799999999999</v>
      </c>
      <c r="H104">
        <v>109.962</v>
      </c>
      <c r="I104">
        <v>110.208</v>
      </c>
      <c r="J104">
        <v>110.44199999999999</v>
      </c>
      <c r="K104">
        <v>110.44199999999999</v>
      </c>
      <c r="L104" t="s">
        <v>66</v>
      </c>
      <c r="M104" t="s">
        <v>66</v>
      </c>
      <c r="N104">
        <v>110.7021</v>
      </c>
      <c r="O104">
        <v>110.697</v>
      </c>
      <c r="P104">
        <v>110.1593</v>
      </c>
      <c r="Q104">
        <v>109.09650000000001</v>
      </c>
      <c r="R104">
        <v>107.15479999999999</v>
      </c>
      <c r="S104">
        <v>106.27030000000001</v>
      </c>
      <c r="T104">
        <v>105.1742</v>
      </c>
      <c r="U104">
        <v>105.21120000000001</v>
      </c>
      <c r="V104">
        <v>105.4282</v>
      </c>
      <c r="W104">
        <v>104.9723</v>
      </c>
      <c r="X104">
        <v>104.68429999999999</v>
      </c>
      <c r="Y104">
        <v>104.85760000000001</v>
      </c>
      <c r="Z104">
        <v>104.8233</v>
      </c>
      <c r="AA104">
        <v>105.08880000000001</v>
      </c>
      <c r="AB104">
        <v>105.1193</v>
      </c>
      <c r="AC104">
        <v>105.16079999999999</v>
      </c>
    </row>
    <row r="105" spans="1:31" x14ac:dyDescent="0.25">
      <c r="A105" t="s">
        <v>65</v>
      </c>
      <c r="B105" t="s">
        <v>165</v>
      </c>
      <c r="C105" t="s">
        <v>66</v>
      </c>
      <c r="D105">
        <v>0</v>
      </c>
      <c r="E105">
        <v>1509.23076923077</v>
      </c>
      <c r="F105">
        <v>93.9451862474329</v>
      </c>
      <c r="G105">
        <v>0.16431610037897099</v>
      </c>
      <c r="H105">
        <v>0.213254585401913</v>
      </c>
      <c r="I105">
        <v>0.22371000077445399</v>
      </c>
      <c r="J105">
        <v>0.212323969221835</v>
      </c>
      <c r="K105">
        <v>0</v>
      </c>
      <c r="L105" t="s">
        <v>66</v>
      </c>
      <c r="M105" t="s">
        <v>66</v>
      </c>
      <c r="N105" t="s">
        <v>66</v>
      </c>
      <c r="O105">
        <v>-4.6015405947068501E-3</v>
      </c>
      <c r="P105">
        <v>-0.485699873910722</v>
      </c>
      <c r="Q105">
        <v>-0.96481726201144002</v>
      </c>
      <c r="R105">
        <v>-1.77975236045676</v>
      </c>
      <c r="S105">
        <v>-0.82542528207058796</v>
      </c>
      <c r="T105">
        <v>-1.0314223140718299</v>
      </c>
      <c r="U105">
        <v>3.5160699610067798E-2</v>
      </c>
      <c r="V105">
        <v>0.206184275548389</v>
      </c>
      <c r="W105">
        <v>-0.43240632319528399</v>
      </c>
      <c r="X105">
        <v>-0.27435148947662602</v>
      </c>
      <c r="Y105">
        <v>0.16552055064007301</v>
      </c>
      <c r="Z105">
        <v>-3.2629980427927599E-2</v>
      </c>
      <c r="AA105">
        <v>0.253213642560775</v>
      </c>
      <c r="AB105">
        <v>2.9100160352054E-2</v>
      </c>
      <c r="AC105">
        <v>3.94323218268742E-2</v>
      </c>
    </row>
    <row r="106" spans="1:31" x14ac:dyDescent="0.25">
      <c r="A106" t="s">
        <v>166</v>
      </c>
      <c r="B106" t="s">
        <v>167</v>
      </c>
      <c r="C106">
        <v>6.1250999999999998</v>
      </c>
      <c r="D106">
        <v>9.5050000000000008</v>
      </c>
      <c r="E106">
        <v>0.65749999999999997</v>
      </c>
      <c r="F106">
        <v>0.4798</v>
      </c>
      <c r="G106">
        <v>0.73899999999999999</v>
      </c>
      <c r="H106">
        <v>0.81289999999999996</v>
      </c>
      <c r="I106">
        <v>0.82709999999999995</v>
      </c>
      <c r="J106">
        <v>0.89959999999999996</v>
      </c>
      <c r="K106">
        <v>1.1475</v>
      </c>
      <c r="L106">
        <v>1.4576</v>
      </c>
      <c r="M106">
        <v>1.633</v>
      </c>
      <c r="N106">
        <v>1.8411</v>
      </c>
      <c r="O106">
        <v>2.2195999999999998</v>
      </c>
      <c r="P106">
        <v>2.4178999999999999</v>
      </c>
      <c r="Q106">
        <v>2.8161</v>
      </c>
      <c r="R106">
        <v>3.1535000000000002</v>
      </c>
      <c r="S106">
        <v>3.7149000000000001</v>
      </c>
      <c r="T106">
        <v>4.0597000000000003</v>
      </c>
      <c r="U106">
        <v>3.8208000000000002</v>
      </c>
      <c r="V106">
        <v>5.3064</v>
      </c>
      <c r="W106">
        <v>7.8810000000000002</v>
      </c>
      <c r="X106">
        <v>9.0911000000000008</v>
      </c>
      <c r="Y106">
        <v>10.015499999999999</v>
      </c>
      <c r="Z106">
        <v>10.8803</v>
      </c>
      <c r="AA106">
        <v>10.278600000000001</v>
      </c>
      <c r="AB106">
        <v>11.5885</v>
      </c>
      <c r="AC106">
        <v>13.1274</v>
      </c>
      <c r="AD106">
        <v>14.725</v>
      </c>
      <c r="AE106">
        <v>15.792</v>
      </c>
    </row>
    <row r="107" spans="1:31" x14ac:dyDescent="0.25">
      <c r="A107" t="s">
        <v>65</v>
      </c>
      <c r="B107" t="s">
        <v>167</v>
      </c>
      <c r="C107" t="s">
        <v>66</v>
      </c>
      <c r="D107">
        <v>45.740327000000001</v>
      </c>
      <c r="E107">
        <v>-92.586681999999996</v>
      </c>
      <c r="F107">
        <v>-28.620906999999999</v>
      </c>
      <c r="G107">
        <v>38.620488000000002</v>
      </c>
      <c r="H107">
        <v>12.866626</v>
      </c>
      <c r="I107">
        <v>15.976900000000001</v>
      </c>
      <c r="J107">
        <v>9.8893520000000006</v>
      </c>
      <c r="K107">
        <v>33.335430000000002</v>
      </c>
      <c r="L107">
        <v>46.599322999999998</v>
      </c>
      <c r="M107">
        <v>15.521084999999999</v>
      </c>
      <c r="N107">
        <v>6.7641679999999997</v>
      </c>
      <c r="O107">
        <v>0.68493199999999999</v>
      </c>
      <c r="P107">
        <v>-0.85034100000000001</v>
      </c>
      <c r="Q107">
        <v>16.466553000000001</v>
      </c>
      <c r="R107">
        <v>10.898377</v>
      </c>
      <c r="S107">
        <v>7.968127</v>
      </c>
      <c r="T107">
        <v>1.845018</v>
      </c>
      <c r="U107">
        <v>-0.724638</v>
      </c>
      <c r="V107">
        <v>45.985401000000003</v>
      </c>
      <c r="W107">
        <v>41.5</v>
      </c>
      <c r="X107">
        <v>24.911660999999999</v>
      </c>
      <c r="Y107">
        <v>6.6478080000000004</v>
      </c>
      <c r="Z107">
        <v>8.6206899999999997</v>
      </c>
      <c r="AA107">
        <v>13.064712999999999</v>
      </c>
      <c r="AB107">
        <v>13.066955</v>
      </c>
      <c r="AC107">
        <v>10.983763</v>
      </c>
      <c r="AD107">
        <v>12.169854029883901</v>
      </c>
      <c r="AE107">
        <v>7.2461799660441404</v>
      </c>
    </row>
    <row r="108" spans="1:31" x14ac:dyDescent="0.25">
      <c r="A108" t="s">
        <v>168</v>
      </c>
      <c r="B108" t="s">
        <v>169</v>
      </c>
      <c r="C108" t="s">
        <v>66</v>
      </c>
      <c r="D108" t="s">
        <v>66</v>
      </c>
      <c r="E108" t="s">
        <v>66</v>
      </c>
      <c r="F108" t="s">
        <v>66</v>
      </c>
      <c r="G108" t="s">
        <v>66</v>
      </c>
      <c r="H108" t="s">
        <v>66</v>
      </c>
      <c r="I108" t="s">
        <v>66</v>
      </c>
      <c r="J108" t="s">
        <v>66</v>
      </c>
      <c r="K108" t="s">
        <v>66</v>
      </c>
      <c r="L108" t="s">
        <v>66</v>
      </c>
      <c r="M108" t="s">
        <v>66</v>
      </c>
      <c r="N108">
        <v>1.8411</v>
      </c>
      <c r="O108">
        <v>2.2195999999999998</v>
      </c>
      <c r="P108">
        <v>2.4178999999999999</v>
      </c>
      <c r="Q108">
        <v>2.8161</v>
      </c>
      <c r="R108">
        <v>3.1535000000000002</v>
      </c>
      <c r="S108">
        <v>3.7149000000000001</v>
      </c>
      <c r="T108">
        <v>4.0597000000000003</v>
      </c>
      <c r="U108">
        <v>3.8208000000000002</v>
      </c>
      <c r="V108">
        <v>5.3064</v>
      </c>
      <c r="W108">
        <v>7.8810000000000002</v>
      </c>
      <c r="X108">
        <v>9.0911000000000008</v>
      </c>
      <c r="Y108">
        <v>10.015499999999999</v>
      </c>
      <c r="Z108">
        <v>10.8803</v>
      </c>
      <c r="AA108">
        <v>10.278600000000001</v>
      </c>
      <c r="AB108">
        <v>11.5885</v>
      </c>
      <c r="AC108">
        <v>13.1274</v>
      </c>
      <c r="AD108">
        <v>14.725</v>
      </c>
      <c r="AE108">
        <v>15.792</v>
      </c>
    </row>
    <row r="109" spans="1:31" x14ac:dyDescent="0.25">
      <c r="A109" t="s">
        <v>65</v>
      </c>
      <c r="B109" t="s">
        <v>169</v>
      </c>
      <c r="C109" t="s">
        <v>66</v>
      </c>
      <c r="D109" t="s">
        <v>66</v>
      </c>
      <c r="E109" t="s">
        <v>66</v>
      </c>
      <c r="F109" t="s">
        <v>66</v>
      </c>
      <c r="G109" t="s">
        <v>66</v>
      </c>
      <c r="H109" t="s">
        <v>66</v>
      </c>
      <c r="I109" t="s">
        <v>66</v>
      </c>
      <c r="J109" t="s">
        <v>66</v>
      </c>
      <c r="K109" t="s">
        <v>66</v>
      </c>
      <c r="L109" t="s">
        <v>66</v>
      </c>
      <c r="M109" t="s">
        <v>66</v>
      </c>
      <c r="N109" t="s">
        <v>66</v>
      </c>
      <c r="O109">
        <v>0.68493199999999999</v>
      </c>
      <c r="P109">
        <v>-0.85034100000000001</v>
      </c>
      <c r="Q109">
        <v>16.466553000000001</v>
      </c>
      <c r="R109">
        <v>10.898377</v>
      </c>
      <c r="S109">
        <v>7.968127</v>
      </c>
      <c r="T109">
        <v>1.845018</v>
      </c>
      <c r="U109">
        <v>-0.724638</v>
      </c>
      <c r="V109">
        <v>45.985401000000003</v>
      </c>
      <c r="W109">
        <v>41.5</v>
      </c>
      <c r="X109">
        <v>24.911660999999999</v>
      </c>
      <c r="Y109">
        <v>6.6478080000000004</v>
      </c>
      <c r="Z109">
        <v>8.6206899999999997</v>
      </c>
      <c r="AA109">
        <v>13.064712999999999</v>
      </c>
      <c r="AB109">
        <v>13.066955</v>
      </c>
      <c r="AC109">
        <v>10.983763</v>
      </c>
      <c r="AD109">
        <v>12.169854029883901</v>
      </c>
      <c r="AE109">
        <v>7.2461799660441404</v>
      </c>
    </row>
    <row r="110" spans="1:31" x14ac:dyDescent="0.25">
      <c r="A110" t="s">
        <v>170</v>
      </c>
      <c r="B110" t="s">
        <v>171</v>
      </c>
      <c r="C110" t="s">
        <v>66</v>
      </c>
      <c r="D110" t="s">
        <v>66</v>
      </c>
      <c r="E110" t="s">
        <v>66</v>
      </c>
      <c r="F110" t="s">
        <v>66</v>
      </c>
      <c r="G110" t="s">
        <v>66</v>
      </c>
      <c r="H110" t="s">
        <v>66</v>
      </c>
      <c r="I110" t="s">
        <v>66</v>
      </c>
      <c r="J110" t="s">
        <v>66</v>
      </c>
      <c r="K110" t="s">
        <v>66</v>
      </c>
      <c r="L110" t="s">
        <v>66</v>
      </c>
      <c r="M110" t="s">
        <v>66</v>
      </c>
      <c r="N110">
        <v>1.8411</v>
      </c>
      <c r="O110">
        <v>2.2195999999999998</v>
      </c>
      <c r="P110">
        <v>2.4178999999999999</v>
      </c>
      <c r="Q110">
        <v>2.8161</v>
      </c>
      <c r="R110">
        <v>3.1535000000000002</v>
      </c>
      <c r="S110">
        <v>3.7149000000000001</v>
      </c>
      <c r="T110">
        <v>4.3353000000000002</v>
      </c>
      <c r="U110">
        <v>3.8451</v>
      </c>
      <c r="V110">
        <v>5.3377999999999997</v>
      </c>
      <c r="W110">
        <v>7.8987999999999996</v>
      </c>
      <c r="X110">
        <v>9.1745000000000001</v>
      </c>
      <c r="Y110">
        <v>10.257199999999999</v>
      </c>
      <c r="Z110">
        <v>11.146800000000001</v>
      </c>
      <c r="AA110">
        <v>10.4742</v>
      </c>
      <c r="AB110">
        <v>11.651999999999999</v>
      </c>
      <c r="AC110">
        <v>13.422599999999999</v>
      </c>
      <c r="AD110">
        <v>14.632999999999999</v>
      </c>
      <c r="AE110">
        <v>15.884</v>
      </c>
    </row>
    <row r="111" spans="1:31" x14ac:dyDescent="0.25">
      <c r="A111" t="s">
        <v>65</v>
      </c>
      <c r="B111" t="s">
        <v>171</v>
      </c>
      <c r="C111" t="s">
        <v>66</v>
      </c>
      <c r="D111" t="s">
        <v>66</v>
      </c>
      <c r="E111" t="s">
        <v>66</v>
      </c>
      <c r="F111" t="s">
        <v>66</v>
      </c>
      <c r="G111" t="s">
        <v>66</v>
      </c>
      <c r="H111" t="s">
        <v>66</v>
      </c>
      <c r="I111" t="s">
        <v>66</v>
      </c>
      <c r="J111" t="s">
        <v>66</v>
      </c>
      <c r="K111" t="s">
        <v>66</v>
      </c>
      <c r="L111" t="s">
        <v>66</v>
      </c>
      <c r="M111" t="s">
        <v>66</v>
      </c>
      <c r="N111" t="s">
        <v>66</v>
      </c>
      <c r="O111">
        <v>20.5589242999324</v>
      </c>
      <c r="P111">
        <v>8.9343220911687595</v>
      </c>
      <c r="Q111">
        <v>16.466619353429898</v>
      </c>
      <c r="R111">
        <v>11.983186551229601</v>
      </c>
      <c r="S111">
        <v>17.7999927065975</v>
      </c>
      <c r="T111">
        <v>16.701661218284201</v>
      </c>
      <c r="U111">
        <v>-11.307316573586</v>
      </c>
      <c r="V111">
        <v>38.821112891442901</v>
      </c>
      <c r="W111">
        <v>47.9781416055867</v>
      </c>
      <c r="X111">
        <v>16.150539417721301</v>
      </c>
      <c r="Y111">
        <v>11.801622171383199</v>
      </c>
      <c r="Z111">
        <v>8.6727686377767395</v>
      </c>
      <c r="AA111">
        <v>-6.0336770547433396</v>
      </c>
      <c r="AB111">
        <v>11.2450288827224</v>
      </c>
      <c r="AC111">
        <v>15.1956284573203</v>
      </c>
      <c r="AD111">
        <v>9.0168472861189795</v>
      </c>
      <c r="AE111">
        <v>8.5491696849586507</v>
      </c>
    </row>
    <row r="113" spans="1:3" x14ac:dyDescent="0.25">
      <c r="A113" t="s">
        <v>172</v>
      </c>
      <c r="C11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- Adjusted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kioskuser16</cp:lastModifiedBy>
  <dcterms:created xsi:type="dcterms:W3CDTF">2013-04-03T15:49:21Z</dcterms:created>
  <dcterms:modified xsi:type="dcterms:W3CDTF">2018-08-13T21:50:41Z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</Properties>
</file>