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 codeName="ThisWorkbook" defaultThemeVersion="166925"/>
  <xr:revisionPtr revIDLastSave="0" documentId="13_ncr:1_{C7E6BD4E-1AD3-B94C-806C-226A7AAF5BF2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EXHIBITS" sheetId="1" r:id="rId1"/>
    <sheet name="Budget" sheetId="7" r:id="rId2"/>
  </sheets>
  <definedNames>
    <definedName name="_xlnm.Print_Area" localSheetId="0">EXHIBITS!$B$4:$U$45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7" l="1"/>
  <c r="H17" i="7"/>
  <c r="H16" i="7"/>
  <c r="H15" i="7"/>
  <c r="H14" i="7"/>
  <c r="H13" i="7"/>
  <c r="H7" i="7"/>
  <c r="H11" i="7"/>
  <c r="H47" i="7"/>
  <c r="H29" i="7"/>
  <c r="H28" i="7"/>
  <c r="H39" i="7" s="1"/>
  <c r="D39" i="7"/>
  <c r="B31" i="7"/>
  <c r="C31" i="7"/>
  <c r="G31" i="7"/>
  <c r="F31" i="7"/>
  <c r="E31" i="7"/>
  <c r="D31" i="7"/>
  <c r="E28" i="7"/>
  <c r="D28" i="7"/>
  <c r="C28" i="7"/>
  <c r="B28" i="7"/>
  <c r="H42" i="7"/>
  <c r="H43" i="7"/>
  <c r="H31" i="7"/>
  <c r="H38" i="7" s="1"/>
  <c r="H27" i="7"/>
  <c r="H26" i="7"/>
  <c r="H25" i="7"/>
  <c r="G37" i="7"/>
  <c r="G36" i="7"/>
  <c r="G35" i="7"/>
  <c r="G34" i="7"/>
  <c r="G33" i="7"/>
  <c r="G32" i="7"/>
  <c r="F37" i="7"/>
  <c r="F36" i="7"/>
  <c r="F35" i="7"/>
  <c r="F34" i="7"/>
  <c r="F33" i="7"/>
  <c r="F32" i="7"/>
  <c r="E37" i="7"/>
  <c r="E36" i="7"/>
  <c r="E35" i="7"/>
  <c r="E34" i="7"/>
  <c r="E33" i="7"/>
  <c r="H33" i="7" s="1"/>
  <c r="D37" i="7"/>
  <c r="D36" i="7"/>
  <c r="D35" i="7"/>
  <c r="D34" i="7"/>
  <c r="D33" i="7"/>
  <c r="C37" i="7"/>
  <c r="C36" i="7"/>
  <c r="C35" i="7"/>
  <c r="C34" i="7"/>
  <c r="C33" i="7"/>
  <c r="B37" i="7"/>
  <c r="B36" i="7"/>
  <c r="B35" i="7"/>
  <c r="B34" i="7"/>
  <c r="B33" i="7"/>
  <c r="E32" i="7"/>
  <c r="D32" i="7"/>
  <c r="C32" i="7"/>
  <c r="B32" i="7"/>
  <c r="G46" i="7"/>
  <c r="F46" i="7"/>
  <c r="E46" i="7"/>
  <c r="D46" i="7"/>
  <c r="C42" i="7"/>
  <c r="B46" i="7"/>
  <c r="B29" i="7"/>
  <c r="H6" i="7"/>
  <c r="B14" i="7"/>
  <c r="C16" i="7" s="1"/>
  <c r="G19" i="7"/>
  <c r="G16" i="7"/>
  <c r="G14" i="7"/>
  <c r="G15" i="7" s="1"/>
  <c r="D19" i="7"/>
  <c r="E19" i="7"/>
  <c r="F19" i="7"/>
  <c r="D16" i="7"/>
  <c r="E16" i="7"/>
  <c r="F16" i="7"/>
  <c r="D14" i="7"/>
  <c r="E14" i="7"/>
  <c r="F14" i="7"/>
  <c r="C14" i="7"/>
  <c r="H41" i="7"/>
  <c r="H32" i="7"/>
  <c r="H36" i="7"/>
  <c r="H37" i="7"/>
  <c r="D38" i="7"/>
  <c r="C46" i="7"/>
  <c r="G28" i="7"/>
  <c r="F28" i="7"/>
  <c r="E38" i="7"/>
  <c r="G27" i="7"/>
  <c r="G26" i="7"/>
  <c r="G25" i="7"/>
  <c r="F27" i="7"/>
  <c r="F26" i="7"/>
  <c r="F25" i="7"/>
  <c r="E27" i="7"/>
  <c r="E26" i="7"/>
  <c r="E25" i="7"/>
  <c r="D27" i="7"/>
  <c r="D26" i="7"/>
  <c r="D25" i="7"/>
  <c r="C27" i="7"/>
  <c r="C26" i="7"/>
  <c r="C25" i="7"/>
  <c r="B41" i="7"/>
  <c r="B27" i="7"/>
  <c r="B26" i="7"/>
  <c r="B25" i="7"/>
  <c r="H5" i="7"/>
  <c r="C6" i="7"/>
  <c r="D17" i="7"/>
  <c r="D15" i="7"/>
  <c r="E15" i="7"/>
  <c r="F15" i="7"/>
  <c r="E13" i="7"/>
  <c r="F13" i="7"/>
  <c r="G13" i="7"/>
  <c r="E11" i="7"/>
  <c r="F11" i="7"/>
  <c r="G11" i="7"/>
  <c r="D13" i="7"/>
  <c r="D11" i="7"/>
  <c r="D7" i="7"/>
  <c r="E7" i="7"/>
  <c r="F7" i="7"/>
  <c r="G7" i="7"/>
  <c r="H4" i="7"/>
  <c r="G6" i="7"/>
  <c r="G4" i="7"/>
  <c r="G5" i="7" s="1"/>
  <c r="C4" i="7"/>
  <c r="D6" i="7" s="1"/>
  <c r="D4" i="7"/>
  <c r="E6" i="7" s="1"/>
  <c r="E4" i="7"/>
  <c r="F6" i="7" s="1"/>
  <c r="F4" i="7"/>
  <c r="F5" i="7" s="1"/>
  <c r="B4" i="7"/>
  <c r="H3" i="7"/>
  <c r="H46" i="7" l="1"/>
  <c r="G38" i="7"/>
  <c r="F38" i="7"/>
  <c r="H35" i="7"/>
  <c r="H34" i="7"/>
  <c r="C38" i="7"/>
  <c r="B15" i="7"/>
  <c r="B17" i="7" s="1"/>
  <c r="B19" i="7" s="1"/>
  <c r="G17" i="7"/>
  <c r="F17" i="7"/>
  <c r="E17" i="7"/>
  <c r="D5" i="7"/>
  <c r="E5" i="7"/>
  <c r="C5" i="7"/>
  <c r="B5" i="7"/>
  <c r="B7" i="7" s="1"/>
  <c r="B11" i="7" s="1"/>
  <c r="B13" i="7" s="1"/>
  <c r="C7" i="7" l="1"/>
  <c r="C11" i="7" s="1"/>
  <c r="C13" i="7" s="1"/>
  <c r="B38" i="7"/>
  <c r="B39" i="7" s="1"/>
  <c r="U20" i="1"/>
  <c r="T20" i="1"/>
  <c r="B47" i="7" l="1"/>
  <c r="C23" i="7" s="1"/>
  <c r="C15" i="7"/>
  <c r="C29" i="7" l="1"/>
  <c r="C17" i="7"/>
  <c r="C19" i="7" s="1"/>
  <c r="C39" i="7" l="1"/>
  <c r="C47" i="7" s="1"/>
  <c r="D23" i="7" s="1"/>
  <c r="D29" i="7" l="1"/>
  <c r="D47" i="7" l="1"/>
  <c r="E23" i="7" s="1"/>
  <c r="E29" i="7" l="1"/>
  <c r="E39" i="7" l="1"/>
  <c r="E47" i="7" s="1"/>
  <c r="F23" i="7" s="1"/>
  <c r="F29" i="7" l="1"/>
  <c r="F39" i="7" l="1"/>
  <c r="F47" i="7" s="1"/>
  <c r="G23" i="7" s="1"/>
  <c r="G29" i="7" l="1"/>
  <c r="G39" i="7" l="1"/>
  <c r="G47" i="7" s="1"/>
</calcChain>
</file>

<file path=xl/sharedStrings.xml><?xml version="1.0" encoding="utf-8"?>
<sst xmlns="http://schemas.openxmlformats.org/spreadsheetml/2006/main" count="182" uniqueCount="143">
  <si>
    <t>EXHIBIT 1.</t>
  </si>
  <si>
    <t>ACTUAL AND PROJECTED SALES IN NUMBER OF TRAILERS</t>
  </si>
  <si>
    <t xml:space="preserve">Actual Sales </t>
  </si>
  <si>
    <t>Projected Sales</t>
  </si>
  <si>
    <t>EXHIBIT 2.</t>
  </si>
  <si>
    <t xml:space="preserve"> of the next month's sales</t>
  </si>
  <si>
    <t>Budget: December 31, 2020</t>
  </si>
  <si>
    <t xml:space="preserve">trailers *plus* </t>
  </si>
  <si>
    <t>EXHIBIT 3.</t>
  </si>
  <si>
    <t>Cost per square yard in the Spring</t>
  </si>
  <si>
    <t>Cost per square yard in December/January</t>
  </si>
  <si>
    <t>EXHIBIT 4.</t>
  </si>
  <si>
    <t>RAW MATERIALS INVENTORY</t>
  </si>
  <si>
    <t>Sheet aluminum on hand</t>
  </si>
  <si>
    <t>of the following month's</t>
  </si>
  <si>
    <t>Raw materials inventory budget</t>
  </si>
  <si>
    <t>square yards</t>
  </si>
  <si>
    <t>EXHIBIT 5.</t>
  </si>
  <si>
    <t>BUDGETED EXPENSES FOR THE FIRST SIX MONTHS 2021</t>
  </si>
  <si>
    <t>Aluminum</t>
  </si>
  <si>
    <t>Other materials</t>
  </si>
  <si>
    <t>Wages</t>
  </si>
  <si>
    <t>Heat, light, &amp; power</t>
  </si>
  <si>
    <t>Equipment purchases</t>
  </si>
  <si>
    <t>Equipment rental</t>
  </si>
  <si>
    <t>Depreciation</t>
  </si>
  <si>
    <t>Selling &amp; admin</t>
  </si>
  <si>
    <t>January</t>
  </si>
  <si>
    <t>February</t>
  </si>
  <si>
    <t>March</t>
  </si>
  <si>
    <t>April</t>
  </si>
  <si>
    <t>May</t>
  </si>
  <si>
    <t>June</t>
  </si>
  <si>
    <t>EXHIBIT 6.</t>
  </si>
  <si>
    <t>A/P:  Aluminum</t>
  </si>
  <si>
    <t>A/P:  Other materials</t>
  </si>
  <si>
    <t>EXHIBIT 7.</t>
  </si>
  <si>
    <t>EXHIBIT 8.</t>
  </si>
  <si>
    <t>Loan duration (in days)</t>
  </si>
  <si>
    <t>Requested loan amount</t>
  </si>
  <si>
    <t>ORIGINAL CASE FACTS</t>
  </si>
  <si>
    <t>+</t>
  </si>
  <si>
    <t>EXHIBIT 9.</t>
  </si>
  <si>
    <t>ACTUAL 2020 AND PROJECTED 2021 SALES</t>
  </si>
  <si>
    <t>Actual</t>
  </si>
  <si>
    <t>Projected</t>
  </si>
  <si>
    <t>July</t>
  </si>
  <si>
    <t>August</t>
  </si>
  <si>
    <t>September</t>
  </si>
  <si>
    <t>October</t>
  </si>
  <si>
    <t>November</t>
  </si>
  <si>
    <t>December</t>
  </si>
  <si>
    <t>EXHIBIT 10.</t>
  </si>
  <si>
    <t>ACTUAL AND BUDGETED SALES</t>
  </si>
  <si>
    <t>November 2020 (actual)</t>
  </si>
  <si>
    <t>January 2021 (budgeted)</t>
  </si>
  <si>
    <t>February 2021 (budgeted)</t>
  </si>
  <si>
    <t>March 2021 (budgeted)</t>
  </si>
  <si>
    <t>April 2021 (budgeted)</t>
  </si>
  <si>
    <t>May 2021 (budgeted)</t>
  </si>
  <si>
    <t>June 2021 (budgeted)</t>
  </si>
  <si>
    <t>EXHIBIT 11.</t>
  </si>
  <si>
    <t>ACCOUNTS RECEIVABLE COLLECTION SCHEDULE</t>
  </si>
  <si>
    <t xml:space="preserve">  - The remainder is uncollectible - </t>
  </si>
  <si>
    <t>EXHIBIT 12.</t>
  </si>
  <si>
    <t>SUGGESTED CONSTANT PRODUCTION LEVELS</t>
  </si>
  <si>
    <t>Total needs</t>
  </si>
  <si>
    <t>Trailer production</t>
  </si>
  <si>
    <t>Jan</t>
  </si>
  <si>
    <t>Feb</t>
  </si>
  <si>
    <t>Six Months</t>
  </si>
  <si>
    <t>Total production needs</t>
  </si>
  <si>
    <t>Total sheet metal purchases</t>
  </si>
  <si>
    <t>Cost per square yard</t>
  </si>
  <si>
    <t>Total cost</t>
  </si>
  <si>
    <t>Total cash available</t>
  </si>
  <si>
    <t>Total cash disbursements</t>
  </si>
  <si>
    <t>Excess (deficiency)</t>
  </si>
  <si>
    <t>Total financing</t>
  </si>
  <si>
    <t>Cash balance ending</t>
  </si>
  <si>
    <t>Total cash collections</t>
  </si>
  <si>
    <t>To be invested (excess)</t>
  </si>
  <si>
    <t xml:space="preserve">  Aluminum</t>
  </si>
  <si>
    <t xml:space="preserve">  Other materials</t>
  </si>
  <si>
    <t xml:space="preserve">  Wages</t>
  </si>
  <si>
    <t xml:space="preserve">  Equipment rental</t>
  </si>
  <si>
    <t xml:space="preserve">  Equipment purchases</t>
  </si>
  <si>
    <t xml:space="preserve">  Selling &amp; admin</t>
  </si>
  <si>
    <t>Financing:</t>
  </si>
  <si>
    <t>December 2020 (actual)</t>
  </si>
  <si>
    <t>PRODUCTION BUDGET</t>
  </si>
  <si>
    <t>Budgeted sales</t>
  </si>
  <si>
    <t>Add: desired ending inventory</t>
  </si>
  <si>
    <t>Less: beginning inventory</t>
  </si>
  <si>
    <t>PURCHASES BUDGET</t>
  </si>
  <si>
    <t>Sheet metal needs per trailer</t>
  </si>
  <si>
    <t>Total materials needs</t>
  </si>
  <si>
    <t>CASH BUDGET</t>
  </si>
  <si>
    <t>Cash beginning balance</t>
  </si>
  <si>
    <t>Add: cash collections</t>
  </si>
  <si>
    <t>Less: cash disbursements</t>
  </si>
  <si>
    <t xml:space="preserve">  Heat, light, &amp; power</t>
  </si>
  <si>
    <t>Repayments</t>
  </si>
  <si>
    <t>Interest</t>
  </si>
  <si>
    <t xml:space="preserve">  Month of sale</t>
  </si>
  <si>
    <t xml:space="preserve">  Second month following sale</t>
  </si>
  <si>
    <t xml:space="preserve">  Month following sale</t>
  </si>
  <si>
    <t>Borrowings: Original</t>
  </si>
  <si>
    <t>Borrowings: Additional</t>
  </si>
  <si>
    <t>PURCHASED DURING DECEMBER 2020</t>
  </si>
  <si>
    <t>ACCOUNTS PAYABLE FOR ALUMINUM AND OTHER MATERIALS</t>
  </si>
  <si>
    <t>BANK LOAN DETAILS / MINIMUM CASH BALANCE REQUIRED</t>
  </si>
  <si>
    <t>Mininum cash balance required by directors</t>
  </si>
  <si>
    <t>trailers</t>
  </si>
  <si>
    <t>Current finished goods</t>
  </si>
  <si>
    <t xml:space="preserve">  inventory formula</t>
  </si>
  <si>
    <t>Trailer requirements</t>
  </si>
  <si>
    <t>FINISHED GOODS INVENTORY</t>
  </si>
  <si>
    <t>SHEET ALUMINUM</t>
  </si>
  <si>
    <t xml:space="preserve">  at the end of each month</t>
  </si>
  <si>
    <t xml:space="preserve">  December 31, 2020</t>
  </si>
  <si>
    <t xml:space="preserve">  production needs</t>
  </si>
  <si>
    <t>SHEET ALUMINUM BUDGETED COST</t>
  </si>
  <si>
    <t>Total Trailers</t>
  </si>
  <si>
    <t>Of a month's sales collected in:</t>
  </si>
  <si>
    <t>First suggested level</t>
  </si>
  <si>
    <t>Second suggested level</t>
  </si>
  <si>
    <t>Do not make changes to these numbers</t>
  </si>
  <si>
    <t>cost per square yard</t>
  </si>
  <si>
    <t>Steps/Hints</t>
  </si>
  <si>
    <t>1. Use sales from Exhibit 9 (units) and Sales dollars - Exhibit 10</t>
  </si>
  <si>
    <t>2. Use desired inventory from Exhibit 2</t>
  </si>
  <si>
    <t>3. Beginning inventory is given in Exhibit 2, and beginning inventory = prior month ending inventory</t>
  </si>
  <si>
    <t>4. Sheet metal required is Exhibit 3 and cost is provided in Exhibit 4</t>
  </si>
  <si>
    <t>5. Ending iinventory for raw materials provided in Exhibit 5</t>
  </si>
  <si>
    <t>6. Collections pattern is provided in Exhibit 11</t>
  </si>
  <si>
    <t>7. Expenses are provided in Exhibit 6 and Exhibit 7 provides payment information on accounts payable (materials purchases)</t>
  </si>
  <si>
    <t>8. Borrowing and minimum cash balance provided in Exhibit 8.  Balance at beginning of year is at minimum</t>
  </si>
  <si>
    <t>Exhbit 8 : Mininum cash balance required by directors</t>
  </si>
  <si>
    <t xml:space="preserve">Exhibt 3 : Alluminium Cost per square yard in the Spring$15.00, Cost per square yard in December/January $8.00 </t>
  </si>
  <si>
    <t xml:space="preserve"> </t>
  </si>
  <si>
    <t xml:space="preserve">To maintain minimum cash balance for the director at end of each month, that is $ 100,000  borrowings are made, principle repayments  are made if the cash balance exceed the minmum balance. </t>
  </si>
  <si>
    <t>The budgeted expense are taken from Exhibit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</si>
</sst>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_(&quot;$&quot;* #,##0_);_(&quot;$&quot;* \(#,##0\);_(&quot;$&quot;* &quot;-&quot;??_);_(@_)"/>
    <numFmt numFmtId="169" formatCode="_([$$-409]* #,##0_);_([$$-409]* \(#,##0\);_([$$-409]* &quot;-&quot;??_);_(@_)"/>
    <numFmt numFmtId="170" formatCode="_(* #,##0_);_(* \(#,##0\);_(* &quot;-&quot;?_);_(@_)"/>
    <numFmt numFmtId="171" formatCode="_(&quot;$&quot;* #,##0.0_);_(&quot;$&quot;* \(#,##0.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166" fontId="0" fillId="0" borderId="0" xfId="1" applyNumberFormat="1" applyFont="1" applyBorder="1"/>
    <xf numFmtId="164" fontId="0" fillId="0" borderId="0" xfId="2" applyFont="1"/>
    <xf numFmtId="0" fontId="2" fillId="0" borderId="9" xfId="0" applyFont="1" applyBorder="1"/>
    <xf numFmtId="0" fontId="2" fillId="0" borderId="13" xfId="0" applyFont="1" applyBorder="1"/>
    <xf numFmtId="0" fontId="0" fillId="0" borderId="11" xfId="0" applyBorder="1"/>
    <xf numFmtId="41" fontId="0" fillId="0" borderId="0" xfId="0" applyNumberFormat="1"/>
    <xf numFmtId="41" fontId="0" fillId="0" borderId="12" xfId="0" applyNumberFormat="1" applyBorder="1"/>
    <xf numFmtId="0" fontId="0" fillId="0" borderId="13" xfId="0" applyBorder="1"/>
    <xf numFmtId="41" fontId="0" fillId="0" borderId="14" xfId="0" applyNumberFormat="1" applyBorder="1"/>
    <xf numFmtId="41" fontId="0" fillId="0" borderId="15" xfId="0" applyNumberFormat="1" applyBorder="1"/>
    <xf numFmtId="41" fontId="2" fillId="0" borderId="10" xfId="0" applyNumberFormat="1" applyFont="1" applyBorder="1"/>
    <xf numFmtId="41" fontId="2" fillId="0" borderId="14" xfId="0" applyNumberFormat="1" applyFont="1" applyBorder="1"/>
    <xf numFmtId="0" fontId="0" fillId="0" borderId="14" xfId="0" applyBorder="1"/>
    <xf numFmtId="0" fontId="0" fillId="0" borderId="15" xfId="0" applyBorder="1"/>
    <xf numFmtId="0" fontId="2" fillId="0" borderId="11" xfId="0" applyFont="1" applyBorder="1"/>
    <xf numFmtId="41" fontId="2" fillId="0" borderId="0" xfId="0" applyNumberFormat="1" applyFont="1"/>
    <xf numFmtId="170" fontId="0" fillId="0" borderId="14" xfId="0" applyNumberFormat="1" applyBorder="1"/>
    <xf numFmtId="170" fontId="0" fillId="0" borderId="15" xfId="0" applyNumberFormat="1" applyBorder="1"/>
    <xf numFmtId="166" fontId="0" fillId="0" borderId="14" xfId="1" applyNumberFormat="1" applyFont="1" applyBorder="1"/>
    <xf numFmtId="168" fontId="0" fillId="0" borderId="14" xfId="2" applyNumberFormat="1" applyFont="1" applyBorder="1"/>
    <xf numFmtId="168" fontId="2" fillId="0" borderId="14" xfId="2" applyNumberFormat="1" applyFont="1" applyBorder="1"/>
    <xf numFmtId="168" fontId="0" fillId="0" borderId="0" xfId="2" applyNumberFormat="1" applyFont="1" applyBorder="1"/>
    <xf numFmtId="168" fontId="0" fillId="0" borderId="12" xfId="2" applyNumberFormat="1" applyFont="1" applyBorder="1"/>
    <xf numFmtId="0" fontId="0" fillId="0" borderId="12" xfId="0" applyBorder="1"/>
    <xf numFmtId="168" fontId="0" fillId="0" borderId="12" xfId="0" applyNumberFormat="1" applyBorder="1"/>
    <xf numFmtId="166" fontId="0" fillId="0" borderId="0" xfId="1" applyNumberFormat="1" applyFont="1" applyFill="1" applyBorder="1"/>
    <xf numFmtId="0" fontId="2" fillId="0" borderId="16" xfId="0" applyFont="1" applyBorder="1"/>
    <xf numFmtId="168" fontId="2" fillId="0" borderId="17" xfId="2" applyNumberFormat="1" applyFont="1" applyBorder="1"/>
    <xf numFmtId="0" fontId="0" fillId="0" borderId="16" xfId="0" applyBorder="1"/>
    <xf numFmtId="168" fontId="0" fillId="0" borderId="17" xfId="0" applyNumberFormat="1" applyBorder="1"/>
    <xf numFmtId="168" fontId="2" fillId="0" borderId="14" xfId="0" applyNumberFormat="1" applyFont="1" applyBorder="1"/>
    <xf numFmtId="17" fontId="0" fillId="0" borderId="0" xfId="0" applyNumberFormat="1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0" fillId="2" borderId="0" xfId="0" applyFill="1"/>
    <xf numFmtId="0" fontId="0" fillId="2" borderId="5" xfId="0" applyFill="1" applyBorder="1"/>
    <xf numFmtId="0" fontId="0" fillId="2" borderId="21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166" fontId="2" fillId="2" borderId="7" xfId="1" applyNumberFormat="1" applyFont="1" applyFill="1" applyBorder="1"/>
    <xf numFmtId="0" fontId="0" fillId="2" borderId="8" xfId="0" applyFill="1" applyBorder="1"/>
    <xf numFmtId="166" fontId="1" fillId="2" borderId="7" xfId="1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166" fontId="2" fillId="2" borderId="0" xfId="1" applyNumberFormat="1" applyFont="1" applyFill="1" applyBorder="1"/>
    <xf numFmtId="0" fontId="0" fillId="2" borderId="0" xfId="0" applyFill="1" applyAlignment="1">
      <alignment horizontal="left"/>
    </xf>
    <xf numFmtId="0" fontId="0" fillId="2" borderId="7" xfId="0" applyFill="1" applyBorder="1"/>
    <xf numFmtId="164" fontId="2" fillId="2" borderId="0" xfId="2" applyFont="1" applyFill="1" applyBorder="1"/>
    <xf numFmtId="164" fontId="2" fillId="2" borderId="7" xfId="2" applyFont="1" applyFill="1" applyBorder="1"/>
    <xf numFmtId="0" fontId="2" fillId="2" borderId="6" xfId="0" applyFont="1" applyFill="1" applyBorder="1"/>
    <xf numFmtId="167" fontId="2" fillId="2" borderId="0" xfId="3" applyNumberFormat="1" applyFont="1" applyFill="1" applyBorder="1"/>
    <xf numFmtId="169" fontId="1" fillId="2" borderId="0" xfId="2" applyNumberFormat="1" applyFont="1" applyFill="1" applyBorder="1"/>
    <xf numFmtId="169" fontId="1" fillId="2" borderId="5" xfId="2" applyNumberFormat="1" applyFont="1" applyFill="1" applyBorder="1"/>
    <xf numFmtId="166" fontId="1" fillId="2" borderId="0" xfId="1" applyNumberFormat="1" applyFont="1" applyFill="1" applyBorder="1"/>
    <xf numFmtId="166" fontId="1" fillId="2" borderId="5" xfId="1" applyNumberFormat="1" applyFont="1" applyFill="1" applyBorder="1"/>
    <xf numFmtId="166" fontId="1" fillId="2" borderId="14" xfId="1" applyNumberFormat="1" applyFont="1" applyFill="1" applyBorder="1"/>
    <xf numFmtId="166" fontId="1" fillId="2" borderId="22" xfId="1" applyNumberFormat="1" applyFont="1" applyFill="1" applyBorder="1"/>
    <xf numFmtId="168" fontId="1" fillId="2" borderId="0" xfId="2" applyNumberFormat="1" applyFont="1" applyFill="1" applyBorder="1"/>
    <xf numFmtId="168" fontId="1" fillId="2" borderId="5" xfId="2" applyNumberFormat="1" applyFont="1" applyFill="1" applyBorder="1"/>
    <xf numFmtId="166" fontId="1" fillId="2" borderId="8" xfId="1" applyNumberFormat="1" applyFont="1" applyFill="1" applyBorder="1"/>
    <xf numFmtId="0" fontId="0" fillId="2" borderId="4" xfId="0" applyFill="1" applyBorder="1" applyAlignment="1">
      <alignment horizontal="left"/>
    </xf>
    <xf numFmtId="168" fontId="2" fillId="2" borderId="0" xfId="2" applyNumberFormat="1" applyFont="1" applyFill="1" applyBorder="1"/>
    <xf numFmtId="168" fontId="2" fillId="2" borderId="7" xfId="2" applyNumberFormat="1" applyFont="1" applyFill="1" applyBorder="1"/>
    <xf numFmtId="169" fontId="0" fillId="2" borderId="7" xfId="0" applyNumberFormat="1" applyFill="1" applyBorder="1"/>
    <xf numFmtId="164" fontId="2" fillId="2" borderId="6" xfId="2" applyFont="1" applyFill="1" applyBorder="1"/>
    <xf numFmtId="166" fontId="0" fillId="2" borderId="0" xfId="1" applyNumberFormat="1" applyFont="1" applyFill="1" applyBorder="1"/>
    <xf numFmtId="166" fontId="0" fillId="2" borderId="5" xfId="1" applyNumberFormat="1" applyFont="1" applyFill="1" applyBorder="1"/>
    <xf numFmtId="166" fontId="2" fillId="2" borderId="8" xfId="1" applyNumberFormat="1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166" fontId="2" fillId="2" borderId="5" xfId="1" applyNumberFormat="1" applyFont="1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9" fontId="2" fillId="2" borderId="5" xfId="3" applyFont="1" applyFill="1" applyBorder="1"/>
    <xf numFmtId="167" fontId="0" fillId="2" borderId="8" xfId="3" applyNumberFormat="1" applyFont="1" applyFill="1" applyBorder="1"/>
    <xf numFmtId="168" fontId="2" fillId="2" borderId="5" xfId="2" applyNumberFormat="1" applyFont="1" applyFill="1" applyBorder="1"/>
    <xf numFmtId="168" fontId="2" fillId="2" borderId="8" xfId="2" applyNumberFormat="1" applyFont="1" applyFill="1" applyBorder="1"/>
    <xf numFmtId="168" fontId="0" fillId="2" borderId="5" xfId="2" applyNumberFormat="1" applyFont="1" applyFill="1" applyBorder="1"/>
    <xf numFmtId="168" fontId="0" fillId="2" borderId="8" xfId="2" applyNumberFormat="1" applyFont="1" applyFill="1" applyBorder="1"/>
    <xf numFmtId="166" fontId="2" fillId="2" borderId="0" xfId="1" applyNumberFormat="1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/>
    <xf numFmtId="166" fontId="2" fillId="3" borderId="0" xfId="1" applyNumberFormat="1" applyFont="1" applyFill="1" applyBorder="1" applyAlignment="1">
      <alignment horizontal="center"/>
    </xf>
    <xf numFmtId="0" fontId="0" fillId="3" borderId="5" xfId="0" applyFill="1" applyBorder="1"/>
    <xf numFmtId="166" fontId="2" fillId="2" borderId="5" xfId="1" applyNumberFormat="1" applyFont="1" applyFill="1" applyBorder="1" applyAlignment="1">
      <alignment horizontal="center"/>
    </xf>
    <xf numFmtId="165" fontId="2" fillId="2" borderId="0" xfId="1" applyNumberFormat="1" applyFont="1" applyFill="1" applyBorder="1"/>
    <xf numFmtId="0" fontId="2" fillId="2" borderId="7" xfId="0" applyFont="1" applyFill="1" applyBorder="1" applyAlignment="1">
      <alignment horizontal="right"/>
    </xf>
    <xf numFmtId="9" fontId="2" fillId="2" borderId="7" xfId="3" applyFont="1" applyFill="1" applyBorder="1"/>
    <xf numFmtId="0" fontId="2" fillId="4" borderId="14" xfId="0" applyFont="1" applyFill="1" applyBorder="1"/>
    <xf numFmtId="0" fontId="0" fillId="4" borderId="0" xfId="0" applyFill="1"/>
    <xf numFmtId="0" fontId="2" fillId="4" borderId="0" xfId="0" applyFon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71" fontId="0" fillId="0" borderId="15" xfId="2" applyNumberFormat="1" applyFont="1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top" wrapText="1"/>
    </xf>
    <xf numFmtId="0" fontId="2" fillId="2" borderId="0" xfId="0" applyFont="1" applyFill="1" applyBorder="1"/>
    <xf numFmtId="168" fontId="2" fillId="0" borderId="17" xfId="2" applyNumberFormat="1" applyFont="1" applyFill="1" applyBorder="1"/>
    <xf numFmtId="168" fontId="0" fillId="0" borderId="0" xfId="0" applyNumberFormat="1" applyFill="1"/>
    <xf numFmtId="168" fontId="0" fillId="5" borderId="14" xfId="2" applyNumberFormat="1" applyFont="1" applyFill="1" applyBorder="1"/>
    <xf numFmtId="168" fontId="2" fillId="5" borderId="14" xfId="2" applyNumberFormat="1" applyFont="1" applyFill="1" applyBorder="1"/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5"/>
  <sheetViews>
    <sheetView zoomScaleNormal="100" workbookViewId="0">
      <selection activeCell="K5" sqref="K5"/>
    </sheetView>
  </sheetViews>
  <sheetFormatPr baseColWidth="10" defaultColWidth="8.83203125" defaultRowHeight="15" x14ac:dyDescent="0.2"/>
  <cols>
    <col min="1" max="1" width="3.83203125" customWidth="1"/>
    <col min="2" max="2" width="16.1640625" customWidth="1"/>
    <col min="3" max="8" width="8.83203125" customWidth="1"/>
    <col min="9" max="9" width="4.1640625" customWidth="1"/>
    <col min="10" max="10" width="4.5" customWidth="1"/>
    <col min="12" max="12" width="11" customWidth="1"/>
    <col min="13" max="13" width="12.83203125" bestFit="1" customWidth="1"/>
    <col min="14" max="14" width="14.5" bestFit="1" customWidth="1"/>
    <col min="15" max="15" width="13.1640625" bestFit="1" customWidth="1"/>
    <col min="16" max="16" width="4.1640625" customWidth="1"/>
    <col min="17" max="17" width="4.5" customWidth="1"/>
    <col min="18" max="19" width="10.83203125" customWidth="1"/>
    <col min="20" max="21" width="11.83203125" customWidth="1"/>
    <col min="22" max="22" width="7" bestFit="1" customWidth="1"/>
    <col min="23" max="23" width="4.1640625" customWidth="1"/>
    <col min="27" max="27" width="12.83203125" customWidth="1"/>
  </cols>
  <sheetData>
    <row r="1" spans="1:21" x14ac:dyDescent="0.2">
      <c r="A1" s="104" t="s">
        <v>40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</row>
    <row r="2" spans="1:21" ht="16" thickBot="1" x14ac:dyDescent="0.25">
      <c r="A2" s="105" t="s">
        <v>127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</row>
    <row r="3" spans="1:21" ht="16" thickBot="1" x14ac:dyDescent="0.25"/>
    <row r="4" spans="1:21" x14ac:dyDescent="0.2">
      <c r="B4" s="35" t="s">
        <v>0</v>
      </c>
      <c r="C4" s="36"/>
      <c r="D4" s="36"/>
      <c r="E4" s="36"/>
      <c r="F4" s="36"/>
      <c r="G4" s="36"/>
      <c r="H4" s="37"/>
      <c r="K4" s="35" t="s">
        <v>33</v>
      </c>
      <c r="L4" s="36"/>
      <c r="M4" s="36"/>
      <c r="N4" s="36"/>
      <c r="O4" s="37"/>
      <c r="R4" s="35" t="s">
        <v>42</v>
      </c>
      <c r="S4" s="36"/>
      <c r="T4" s="36"/>
      <c r="U4" s="37"/>
    </row>
    <row r="5" spans="1:21" ht="16" thickBot="1" x14ac:dyDescent="0.25">
      <c r="B5" s="57" t="s">
        <v>1</v>
      </c>
      <c r="C5" s="54"/>
      <c r="D5" s="54"/>
      <c r="E5" s="54"/>
      <c r="F5" s="54"/>
      <c r="G5" s="54"/>
      <c r="H5" s="48"/>
      <c r="K5" s="57" t="s">
        <v>18</v>
      </c>
      <c r="L5" s="54"/>
      <c r="M5" s="54"/>
      <c r="N5" s="54"/>
      <c r="O5" s="48"/>
      <c r="R5" s="57" t="s">
        <v>43</v>
      </c>
      <c r="S5" s="54"/>
      <c r="T5" s="54"/>
      <c r="U5" s="48"/>
    </row>
    <row r="6" spans="1:21" x14ac:dyDescent="0.2">
      <c r="B6" s="43" t="s">
        <v>2</v>
      </c>
      <c r="C6" s="44">
        <v>2015</v>
      </c>
      <c r="D6" s="44">
        <v>2016</v>
      </c>
      <c r="E6" s="44">
        <v>2017</v>
      </c>
      <c r="F6" s="44">
        <v>2018</v>
      </c>
      <c r="G6" s="44">
        <v>2019</v>
      </c>
      <c r="H6" s="45">
        <v>2020</v>
      </c>
      <c r="K6" s="41"/>
      <c r="L6" s="42"/>
      <c r="M6" s="76" t="s">
        <v>27</v>
      </c>
      <c r="N6" s="76" t="s">
        <v>28</v>
      </c>
      <c r="O6" s="77" t="s">
        <v>29</v>
      </c>
      <c r="R6" s="43"/>
      <c r="S6" s="39"/>
      <c r="T6" s="50">
        <v>2020</v>
      </c>
      <c r="U6" s="51">
        <v>2021</v>
      </c>
    </row>
    <row r="7" spans="1:21" x14ac:dyDescent="0.2">
      <c r="B7" s="43"/>
      <c r="C7" s="88">
        <v>13765</v>
      </c>
      <c r="D7" s="88">
        <v>14880</v>
      </c>
      <c r="E7" s="88">
        <v>15991</v>
      </c>
      <c r="F7" s="88">
        <v>17809</v>
      </c>
      <c r="G7" s="88">
        <v>19634</v>
      </c>
      <c r="H7" s="93">
        <v>23322</v>
      </c>
      <c r="K7" s="43" t="s">
        <v>19</v>
      </c>
      <c r="L7" s="39"/>
      <c r="M7" s="59">
        <v>816000</v>
      </c>
      <c r="N7" s="59">
        <v>1056000</v>
      </c>
      <c r="O7" s="60">
        <v>888000</v>
      </c>
      <c r="R7" s="41"/>
      <c r="S7" s="42"/>
      <c r="T7" s="76" t="s">
        <v>44</v>
      </c>
      <c r="U7" s="77" t="s">
        <v>45</v>
      </c>
    </row>
    <row r="8" spans="1:21" x14ac:dyDescent="0.2">
      <c r="B8" s="89"/>
      <c r="C8" s="90"/>
      <c r="D8" s="90"/>
      <c r="E8" s="91"/>
      <c r="F8" s="90"/>
      <c r="G8" s="90"/>
      <c r="H8" s="92"/>
      <c r="K8" s="43" t="s">
        <v>20</v>
      </c>
      <c r="L8" s="39"/>
      <c r="M8" s="61">
        <v>54000</v>
      </c>
      <c r="N8" s="61">
        <v>264000</v>
      </c>
      <c r="O8" s="62">
        <v>222000</v>
      </c>
      <c r="R8" s="43" t="s">
        <v>27</v>
      </c>
      <c r="S8" s="39"/>
      <c r="T8" s="73">
        <v>1983</v>
      </c>
      <c r="U8" s="74">
        <v>2500</v>
      </c>
    </row>
    <row r="9" spans="1:21" x14ac:dyDescent="0.2">
      <c r="B9" s="43" t="s">
        <v>3</v>
      </c>
      <c r="C9" s="44">
        <v>2021</v>
      </c>
      <c r="D9" s="44">
        <v>2022</v>
      </c>
      <c r="E9" s="44">
        <v>2023</v>
      </c>
      <c r="F9" s="44">
        <v>2024</v>
      </c>
      <c r="G9" s="44">
        <v>2025</v>
      </c>
      <c r="H9" s="40"/>
      <c r="K9" s="43" t="s">
        <v>21</v>
      </c>
      <c r="L9" s="39"/>
      <c r="M9" s="61">
        <v>624000</v>
      </c>
      <c r="N9" s="61">
        <v>1008000</v>
      </c>
      <c r="O9" s="62">
        <v>1104000</v>
      </c>
      <c r="R9" s="43" t="s">
        <v>28</v>
      </c>
      <c r="S9" s="39"/>
      <c r="T9" s="73">
        <v>3218</v>
      </c>
      <c r="U9" s="74">
        <v>4000</v>
      </c>
    </row>
    <row r="10" spans="1:21" ht="16" thickBot="1" x14ac:dyDescent="0.25">
      <c r="B10" s="46"/>
      <c r="C10" s="47">
        <v>28000</v>
      </c>
      <c r="D10" s="47">
        <v>33600</v>
      </c>
      <c r="E10" s="47">
        <v>40320</v>
      </c>
      <c r="F10" s="47">
        <v>48384</v>
      </c>
      <c r="G10" s="47">
        <v>58060</v>
      </c>
      <c r="H10" s="48"/>
      <c r="K10" s="43" t="s">
        <v>22</v>
      </c>
      <c r="L10" s="39"/>
      <c r="M10" s="61">
        <v>130000</v>
      </c>
      <c r="N10" s="61">
        <v>195000</v>
      </c>
      <c r="O10" s="62">
        <v>220000</v>
      </c>
      <c r="R10" s="43" t="s">
        <v>29</v>
      </c>
      <c r="S10" s="39"/>
      <c r="T10" s="73">
        <v>3981</v>
      </c>
      <c r="U10" s="74">
        <v>5000</v>
      </c>
    </row>
    <row r="11" spans="1:21" x14ac:dyDescent="0.2">
      <c r="G11" s="1"/>
      <c r="K11" s="43" t="s">
        <v>24</v>
      </c>
      <c r="L11" s="39"/>
      <c r="M11" s="61">
        <v>390000</v>
      </c>
      <c r="N11" s="61">
        <v>390000</v>
      </c>
      <c r="O11" s="62">
        <v>390000</v>
      </c>
      <c r="R11" s="43" t="s">
        <v>30</v>
      </c>
      <c r="S11" s="39"/>
      <c r="T11" s="73">
        <v>3240</v>
      </c>
      <c r="U11" s="74">
        <v>3000</v>
      </c>
    </row>
    <row r="12" spans="1:21" ht="16" thickBot="1" x14ac:dyDescent="0.25">
      <c r="K12" s="43" t="s">
        <v>23</v>
      </c>
      <c r="L12" s="39"/>
      <c r="M12" s="61">
        <v>300000</v>
      </c>
      <c r="N12" s="61">
        <v>300000</v>
      </c>
      <c r="O12" s="62">
        <v>300000</v>
      </c>
      <c r="R12" s="43" t="s">
        <v>31</v>
      </c>
      <c r="S12" s="39"/>
      <c r="T12" s="73">
        <v>1755</v>
      </c>
      <c r="U12" s="74">
        <v>2000</v>
      </c>
    </row>
    <row r="13" spans="1:21" x14ac:dyDescent="0.2">
      <c r="B13" s="35" t="s">
        <v>4</v>
      </c>
      <c r="C13" s="36"/>
      <c r="D13" s="36"/>
      <c r="E13" s="36"/>
      <c r="F13" s="36"/>
      <c r="G13" s="36"/>
      <c r="H13" s="37"/>
      <c r="K13" s="43" t="s">
        <v>25</v>
      </c>
      <c r="L13" s="39"/>
      <c r="M13" s="61">
        <v>250000</v>
      </c>
      <c r="N13" s="61">
        <v>250000</v>
      </c>
      <c r="O13" s="62">
        <v>250000</v>
      </c>
      <c r="R13" s="43" t="s">
        <v>32</v>
      </c>
      <c r="S13" s="39"/>
      <c r="T13" s="73">
        <v>901</v>
      </c>
      <c r="U13" s="74">
        <v>1000</v>
      </c>
    </row>
    <row r="14" spans="1:21" ht="16" thickBot="1" x14ac:dyDescent="0.25">
      <c r="B14" s="57" t="s">
        <v>117</v>
      </c>
      <c r="C14" s="54"/>
      <c r="D14" s="54"/>
      <c r="E14" s="54"/>
      <c r="F14" s="54"/>
      <c r="G14" s="54"/>
      <c r="H14" s="48"/>
      <c r="K14" s="41" t="s">
        <v>26</v>
      </c>
      <c r="L14" s="42"/>
      <c r="M14" s="63">
        <v>400000</v>
      </c>
      <c r="N14" s="63">
        <v>400000</v>
      </c>
      <c r="O14" s="64">
        <v>400000</v>
      </c>
      <c r="R14" s="43" t="s">
        <v>46</v>
      </c>
      <c r="S14" s="39"/>
      <c r="T14" s="73">
        <v>763</v>
      </c>
      <c r="U14" s="74">
        <v>1000</v>
      </c>
    </row>
    <row r="15" spans="1:21" x14ac:dyDescent="0.2">
      <c r="B15" s="43" t="s">
        <v>6</v>
      </c>
      <c r="C15" s="39"/>
      <c r="D15" s="39"/>
      <c r="E15" s="88">
        <v>1000</v>
      </c>
      <c r="F15" s="39" t="s">
        <v>113</v>
      </c>
      <c r="G15" s="39"/>
      <c r="H15" s="40"/>
      <c r="K15" s="43"/>
      <c r="L15" s="39"/>
      <c r="M15" s="39"/>
      <c r="N15" s="39"/>
      <c r="O15" s="40"/>
      <c r="R15" s="43" t="s">
        <v>47</v>
      </c>
      <c r="S15" s="39"/>
      <c r="T15" s="73">
        <v>611</v>
      </c>
      <c r="U15" s="74">
        <v>1000</v>
      </c>
    </row>
    <row r="16" spans="1:21" x14ac:dyDescent="0.2">
      <c r="B16" s="89"/>
      <c r="C16" s="90"/>
      <c r="D16" s="90"/>
      <c r="E16" s="91"/>
      <c r="F16" s="90"/>
      <c r="G16" s="90"/>
      <c r="H16" s="92"/>
      <c r="K16" s="41"/>
      <c r="L16" s="42"/>
      <c r="M16" s="76" t="s">
        <v>30</v>
      </c>
      <c r="N16" s="76" t="s">
        <v>31</v>
      </c>
      <c r="O16" s="77" t="s">
        <v>32</v>
      </c>
      <c r="R16" s="43" t="s">
        <v>48</v>
      </c>
      <c r="S16" s="39"/>
      <c r="T16" s="73">
        <v>1622</v>
      </c>
      <c r="U16" s="74">
        <v>2000</v>
      </c>
    </row>
    <row r="17" spans="2:21" x14ac:dyDescent="0.2">
      <c r="B17" s="43" t="s">
        <v>114</v>
      </c>
      <c r="C17" s="39"/>
      <c r="D17" s="39"/>
      <c r="E17" s="52">
        <v>300</v>
      </c>
      <c r="F17" s="53" t="s">
        <v>7</v>
      </c>
      <c r="G17" s="39"/>
      <c r="H17" s="40"/>
      <c r="K17" s="43" t="s">
        <v>19</v>
      </c>
      <c r="L17" s="39"/>
      <c r="M17" s="65">
        <v>552000</v>
      </c>
      <c r="N17" s="65">
        <v>336000</v>
      </c>
      <c r="O17" s="66">
        <v>240000</v>
      </c>
      <c r="R17" s="43" t="s">
        <v>49</v>
      </c>
      <c r="S17" s="39"/>
      <c r="T17" s="73">
        <v>1678</v>
      </c>
      <c r="U17" s="74">
        <v>2000</v>
      </c>
    </row>
    <row r="18" spans="2:21" ht="16" thickBot="1" x14ac:dyDescent="0.25">
      <c r="B18" s="46" t="s">
        <v>115</v>
      </c>
      <c r="C18" s="54"/>
      <c r="D18" s="95" t="s">
        <v>41</v>
      </c>
      <c r="E18" s="96">
        <v>0.2</v>
      </c>
      <c r="F18" s="54" t="s">
        <v>5</v>
      </c>
      <c r="G18" s="54"/>
      <c r="H18" s="48"/>
      <c r="K18" s="43" t="s">
        <v>20</v>
      </c>
      <c r="L18" s="39"/>
      <c r="M18" s="61">
        <v>138000</v>
      </c>
      <c r="N18" s="61">
        <v>84000</v>
      </c>
      <c r="O18" s="62">
        <v>90000</v>
      </c>
      <c r="R18" s="43" t="s">
        <v>50</v>
      </c>
      <c r="S18" s="39"/>
      <c r="T18" s="73">
        <v>1439</v>
      </c>
      <c r="U18" s="74">
        <v>2000</v>
      </c>
    </row>
    <row r="19" spans="2:21" x14ac:dyDescent="0.2">
      <c r="K19" s="43" t="s">
        <v>21</v>
      </c>
      <c r="L19" s="39"/>
      <c r="M19" s="61">
        <v>672000</v>
      </c>
      <c r="N19" s="61">
        <v>432000</v>
      </c>
      <c r="O19" s="62">
        <v>240000</v>
      </c>
      <c r="R19" s="41" t="s">
        <v>51</v>
      </c>
      <c r="S19" s="42"/>
      <c r="T19" s="63">
        <v>2131</v>
      </c>
      <c r="U19" s="64">
        <v>2500</v>
      </c>
    </row>
    <row r="20" spans="2:21" ht="16" thickBot="1" x14ac:dyDescent="0.25">
      <c r="K20" s="43" t="s">
        <v>22</v>
      </c>
      <c r="L20" s="39"/>
      <c r="M20" s="61">
        <v>135000</v>
      </c>
      <c r="N20" s="61">
        <v>110000</v>
      </c>
      <c r="O20" s="62">
        <v>110000</v>
      </c>
      <c r="R20" s="46" t="s">
        <v>123</v>
      </c>
      <c r="S20" s="54"/>
      <c r="T20" s="47">
        <f>SUM(T8:T19)</f>
        <v>23322</v>
      </c>
      <c r="U20" s="75">
        <f>SUM(U8:U19)</f>
        <v>28000</v>
      </c>
    </row>
    <row r="21" spans="2:21" x14ac:dyDescent="0.2">
      <c r="B21" s="35" t="s">
        <v>8</v>
      </c>
      <c r="C21" s="36"/>
      <c r="D21" s="36"/>
      <c r="E21" s="36"/>
      <c r="F21" s="36"/>
      <c r="G21" s="36"/>
      <c r="H21" s="37"/>
      <c r="K21" s="43" t="s">
        <v>24</v>
      </c>
      <c r="L21" s="39"/>
      <c r="M21" s="61">
        <v>340000</v>
      </c>
      <c r="N21" s="61">
        <v>340000</v>
      </c>
      <c r="O21" s="62">
        <v>340000</v>
      </c>
    </row>
    <row r="22" spans="2:21" ht="16" thickBot="1" x14ac:dyDescent="0.25">
      <c r="B22" s="57" t="s">
        <v>118</v>
      </c>
      <c r="C22" s="54"/>
      <c r="D22" s="54"/>
      <c r="E22" s="54"/>
      <c r="F22" s="54"/>
      <c r="G22" s="54"/>
      <c r="H22" s="48"/>
      <c r="K22" s="43" t="s">
        <v>23</v>
      </c>
      <c r="L22" s="39"/>
      <c r="M22" s="61">
        <v>300000</v>
      </c>
      <c r="N22" s="61">
        <v>300000</v>
      </c>
      <c r="O22" s="62">
        <v>300000</v>
      </c>
    </row>
    <row r="23" spans="2:21" x14ac:dyDescent="0.2">
      <c r="B23" s="43" t="s">
        <v>116</v>
      </c>
      <c r="C23" s="39"/>
      <c r="D23" s="39"/>
      <c r="E23" s="39"/>
      <c r="F23" s="94">
        <v>30</v>
      </c>
      <c r="G23" s="39" t="s">
        <v>16</v>
      </c>
      <c r="H23" s="40"/>
      <c r="K23" s="43" t="s">
        <v>25</v>
      </c>
      <c r="L23" s="39"/>
      <c r="M23" s="61">
        <v>275000</v>
      </c>
      <c r="N23" s="61">
        <v>275000</v>
      </c>
      <c r="O23" s="62">
        <v>275000</v>
      </c>
      <c r="R23" s="35" t="s">
        <v>52</v>
      </c>
      <c r="S23" s="36"/>
      <c r="T23" s="36"/>
      <c r="U23" s="37"/>
    </row>
    <row r="24" spans="2:21" ht="16" thickBot="1" x14ac:dyDescent="0.25">
      <c r="B24" s="89"/>
      <c r="C24" s="90"/>
      <c r="D24" s="90"/>
      <c r="E24" s="91"/>
      <c r="F24" s="90"/>
      <c r="G24" s="90"/>
      <c r="H24" s="92"/>
      <c r="K24" s="46" t="s">
        <v>26</v>
      </c>
      <c r="L24" s="54"/>
      <c r="M24" s="49">
        <v>400000</v>
      </c>
      <c r="N24" s="49">
        <v>400000</v>
      </c>
      <c r="O24" s="67">
        <v>400000</v>
      </c>
      <c r="R24" s="57" t="s">
        <v>53</v>
      </c>
      <c r="S24" s="54"/>
      <c r="T24" s="54"/>
      <c r="U24" s="48"/>
    </row>
    <row r="25" spans="2:21" x14ac:dyDescent="0.2">
      <c r="B25" s="43" t="s">
        <v>9</v>
      </c>
      <c r="C25" s="39"/>
      <c r="D25" s="39"/>
      <c r="E25" s="39"/>
      <c r="F25" s="55">
        <v>15</v>
      </c>
      <c r="G25" s="39"/>
      <c r="H25" s="40"/>
      <c r="R25" s="43" t="s">
        <v>54</v>
      </c>
      <c r="S25" s="39"/>
      <c r="T25" s="39"/>
      <c r="U25" s="86">
        <v>1439000</v>
      </c>
    </row>
    <row r="26" spans="2:21" ht="16" thickBot="1" x14ac:dyDescent="0.25">
      <c r="B26" s="46" t="s">
        <v>10</v>
      </c>
      <c r="C26" s="54"/>
      <c r="D26" s="54"/>
      <c r="E26" s="54"/>
      <c r="F26" s="56">
        <v>8</v>
      </c>
      <c r="G26" s="54"/>
      <c r="H26" s="48"/>
      <c r="R26" s="43" t="s">
        <v>89</v>
      </c>
      <c r="S26" s="39"/>
      <c r="T26" s="39"/>
      <c r="U26" s="86">
        <v>2131000</v>
      </c>
    </row>
    <row r="27" spans="2:21" x14ac:dyDescent="0.2">
      <c r="K27" s="35" t="s">
        <v>36</v>
      </c>
      <c r="L27" s="36"/>
      <c r="M27" s="36"/>
      <c r="N27" s="36"/>
      <c r="O27" s="37"/>
      <c r="R27" s="43" t="s">
        <v>55</v>
      </c>
      <c r="S27" s="39"/>
      <c r="T27" s="39"/>
      <c r="U27" s="86">
        <v>2500000</v>
      </c>
    </row>
    <row r="28" spans="2:21" ht="16" thickBot="1" x14ac:dyDescent="0.25">
      <c r="K28" s="38" t="s">
        <v>110</v>
      </c>
      <c r="L28" s="39"/>
      <c r="M28" s="39"/>
      <c r="N28" s="39"/>
      <c r="O28" s="40"/>
      <c r="R28" s="43" t="s">
        <v>56</v>
      </c>
      <c r="S28" s="39"/>
      <c r="T28" s="39"/>
      <c r="U28" s="86">
        <v>4000000</v>
      </c>
    </row>
    <row r="29" spans="2:21" ht="16" thickBot="1" x14ac:dyDescent="0.25">
      <c r="B29" s="35" t="s">
        <v>11</v>
      </c>
      <c r="C29" s="36"/>
      <c r="D29" s="36"/>
      <c r="E29" s="36"/>
      <c r="F29" s="37"/>
      <c r="K29" s="57" t="s">
        <v>109</v>
      </c>
      <c r="L29" s="54"/>
      <c r="M29" s="54"/>
      <c r="N29" s="54"/>
      <c r="O29" s="48"/>
      <c r="R29" s="43" t="s">
        <v>57</v>
      </c>
      <c r="S29" s="39"/>
      <c r="T29" s="39"/>
      <c r="U29" s="86">
        <v>5000000</v>
      </c>
    </row>
    <row r="30" spans="2:21" ht="16" thickBot="1" x14ac:dyDescent="0.25">
      <c r="B30" s="57" t="s">
        <v>122</v>
      </c>
      <c r="C30" s="71"/>
      <c r="D30" s="54"/>
      <c r="E30" s="54"/>
      <c r="F30" s="48"/>
      <c r="K30" s="68" t="s">
        <v>34</v>
      </c>
      <c r="L30" s="39"/>
      <c r="M30" s="69">
        <v>700000</v>
      </c>
      <c r="N30" s="39"/>
      <c r="O30" s="40"/>
      <c r="R30" s="43" t="s">
        <v>58</v>
      </c>
      <c r="S30" s="39"/>
      <c r="T30" s="39"/>
      <c r="U30" s="86">
        <v>3000000</v>
      </c>
    </row>
    <row r="31" spans="2:21" ht="16" thickBot="1" x14ac:dyDescent="0.25">
      <c r="B31" s="72">
        <v>8</v>
      </c>
      <c r="C31" s="54" t="s">
        <v>128</v>
      </c>
      <c r="D31" s="54"/>
      <c r="E31" s="54"/>
      <c r="F31" s="48"/>
      <c r="K31" s="46" t="s">
        <v>35</v>
      </c>
      <c r="L31" s="54"/>
      <c r="M31" s="70">
        <v>150000</v>
      </c>
      <c r="N31" s="54"/>
      <c r="O31" s="48"/>
      <c r="R31" s="43" t="s">
        <v>59</v>
      </c>
      <c r="S31" s="39"/>
      <c r="T31" s="39"/>
      <c r="U31" s="86">
        <v>2200000</v>
      </c>
    </row>
    <row r="32" spans="2:21" ht="16" thickBot="1" x14ac:dyDescent="0.25">
      <c r="R32" s="46" t="s">
        <v>60</v>
      </c>
      <c r="S32" s="54"/>
      <c r="T32" s="54"/>
      <c r="U32" s="87">
        <v>1100000</v>
      </c>
    </row>
    <row r="33" spans="2:21" ht="16" thickBot="1" x14ac:dyDescent="0.25"/>
    <row r="34" spans="2:21" x14ac:dyDescent="0.2">
      <c r="B34" s="35" t="s">
        <v>17</v>
      </c>
      <c r="C34" s="36"/>
      <c r="D34" s="36"/>
      <c r="E34" s="36"/>
      <c r="F34" s="36"/>
      <c r="G34" s="36"/>
      <c r="H34" s="37"/>
      <c r="K34" s="35" t="s">
        <v>37</v>
      </c>
      <c r="L34" s="36"/>
      <c r="M34" s="36"/>
      <c r="N34" s="36"/>
      <c r="O34" s="37"/>
      <c r="R34" s="35" t="s">
        <v>61</v>
      </c>
      <c r="S34" s="36"/>
      <c r="T34" s="36"/>
      <c r="U34" s="37"/>
    </row>
    <row r="35" spans="2:21" ht="16" thickBot="1" x14ac:dyDescent="0.25">
      <c r="B35" s="57" t="s">
        <v>12</v>
      </c>
      <c r="C35" s="54"/>
      <c r="D35" s="54"/>
      <c r="E35" s="54"/>
      <c r="F35" s="54"/>
      <c r="G35" s="54"/>
      <c r="H35" s="48"/>
      <c r="K35" s="57" t="s">
        <v>111</v>
      </c>
      <c r="L35" s="54"/>
      <c r="M35" s="54"/>
      <c r="N35" s="54"/>
      <c r="O35" s="48"/>
      <c r="R35" s="57" t="s">
        <v>62</v>
      </c>
      <c r="S35" s="54"/>
      <c r="T35" s="54"/>
      <c r="U35" s="48"/>
    </row>
    <row r="36" spans="2:21" x14ac:dyDescent="0.2">
      <c r="B36" s="43" t="s">
        <v>13</v>
      </c>
      <c r="C36" s="39"/>
      <c r="D36" s="39"/>
      <c r="E36" s="58">
        <v>0.5</v>
      </c>
      <c r="F36" s="39" t="s">
        <v>14</v>
      </c>
      <c r="G36" s="39"/>
      <c r="H36" s="40"/>
      <c r="K36" s="43" t="s">
        <v>39</v>
      </c>
      <c r="L36" s="39"/>
      <c r="M36" s="39"/>
      <c r="N36" s="39"/>
      <c r="O36" s="84">
        <v>800000</v>
      </c>
      <c r="R36" s="79" t="s">
        <v>124</v>
      </c>
      <c r="S36" s="80"/>
      <c r="T36" s="80"/>
      <c r="U36" s="81"/>
    </row>
    <row r="37" spans="2:21" x14ac:dyDescent="0.2">
      <c r="B37" s="43" t="s">
        <v>119</v>
      </c>
      <c r="C37" s="39"/>
      <c r="D37" s="39"/>
      <c r="E37" s="39"/>
      <c r="F37" s="39" t="s">
        <v>121</v>
      </c>
      <c r="G37" s="39"/>
      <c r="H37" s="40"/>
      <c r="K37" s="43" t="s">
        <v>38</v>
      </c>
      <c r="L37" s="39"/>
      <c r="M37" s="39"/>
      <c r="N37" s="39"/>
      <c r="O37" s="78">
        <v>90</v>
      </c>
      <c r="R37" s="43" t="s">
        <v>104</v>
      </c>
      <c r="S37" s="39"/>
      <c r="T37" s="39"/>
      <c r="U37" s="82">
        <v>0.25</v>
      </c>
    </row>
    <row r="38" spans="2:21" x14ac:dyDescent="0.2">
      <c r="B38" s="89"/>
      <c r="C38" s="90"/>
      <c r="D38" s="90"/>
      <c r="E38" s="91"/>
      <c r="F38" s="90"/>
      <c r="G38" s="90"/>
      <c r="H38" s="92"/>
      <c r="K38" s="89"/>
      <c r="L38" s="90"/>
      <c r="M38" s="90"/>
      <c r="N38" s="90"/>
      <c r="O38" s="92"/>
      <c r="R38" s="43" t="s">
        <v>106</v>
      </c>
      <c r="S38" s="39"/>
      <c r="T38" s="39"/>
      <c r="U38" s="82">
        <v>0.1</v>
      </c>
    </row>
    <row r="39" spans="2:21" ht="16" thickBot="1" x14ac:dyDescent="0.25">
      <c r="B39" s="43" t="s">
        <v>15</v>
      </c>
      <c r="C39" s="39"/>
      <c r="D39" s="39"/>
      <c r="E39" s="52">
        <v>39000</v>
      </c>
      <c r="F39" s="39" t="s">
        <v>16</v>
      </c>
      <c r="G39" s="39"/>
      <c r="H39" s="40"/>
      <c r="K39" s="46" t="s">
        <v>112</v>
      </c>
      <c r="L39" s="54"/>
      <c r="M39" s="54"/>
      <c r="N39" s="54"/>
      <c r="O39" s="85">
        <v>100000</v>
      </c>
      <c r="R39" s="43" t="s">
        <v>105</v>
      </c>
      <c r="S39" s="39"/>
      <c r="T39" s="39"/>
      <c r="U39" s="82">
        <v>0.6</v>
      </c>
    </row>
    <row r="40" spans="2:21" ht="16" thickBot="1" x14ac:dyDescent="0.25">
      <c r="B40" s="46" t="s">
        <v>120</v>
      </c>
      <c r="C40" s="54"/>
      <c r="D40" s="54"/>
      <c r="E40" s="54"/>
      <c r="F40" s="54"/>
      <c r="G40" s="54"/>
      <c r="H40" s="48"/>
      <c r="R40" s="46" t="s">
        <v>63</v>
      </c>
      <c r="S40" s="54"/>
      <c r="T40" s="54"/>
      <c r="U40" s="83"/>
    </row>
    <row r="41" spans="2:21" ht="16" thickBot="1" x14ac:dyDescent="0.25"/>
    <row r="42" spans="2:21" x14ac:dyDescent="0.2">
      <c r="R42" s="35" t="s">
        <v>64</v>
      </c>
      <c r="S42" s="36"/>
      <c r="T42" s="36"/>
      <c r="U42" s="37"/>
    </row>
    <row r="43" spans="2:21" ht="16" thickBot="1" x14ac:dyDescent="0.25">
      <c r="R43" s="57" t="s">
        <v>65</v>
      </c>
      <c r="S43" s="54"/>
      <c r="T43" s="54"/>
      <c r="U43" s="48"/>
    </row>
    <row r="44" spans="2:21" x14ac:dyDescent="0.2">
      <c r="R44" s="43" t="s">
        <v>125</v>
      </c>
      <c r="S44" s="39"/>
      <c r="T44" s="39"/>
      <c r="U44" s="78">
        <v>3000</v>
      </c>
    </row>
    <row r="45" spans="2:21" ht="16" thickBot="1" x14ac:dyDescent="0.25">
      <c r="R45" s="46" t="s">
        <v>126</v>
      </c>
      <c r="S45" s="54"/>
      <c r="T45" s="54"/>
      <c r="U45" s="75">
        <v>3500</v>
      </c>
    </row>
  </sheetData>
  <mergeCells count="2">
    <mergeCell ref="A1:U1"/>
    <mergeCell ref="A2:U2"/>
  </mergeCells>
  <pageMargins left="0.7" right="0.7" top="0.75" bottom="0.75" header="0.3" footer="0.3"/>
  <pageSetup orientation="portrait" r:id="rId1"/>
  <colBreaks count="2" manualBreakCount="2">
    <brk id="9" max="1048575" man="1"/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tabSelected="1" zoomScale="140" zoomScaleNormal="140" workbookViewId="0">
      <selection activeCell="K21" sqref="K21"/>
    </sheetView>
  </sheetViews>
  <sheetFormatPr baseColWidth="10" defaultColWidth="8.83203125" defaultRowHeight="15" x14ac:dyDescent="0.2"/>
  <cols>
    <col min="1" max="1" width="25.1640625" bestFit="1" customWidth="1"/>
    <col min="2" max="8" width="13.83203125" bestFit="1" customWidth="1"/>
    <col min="9" max="9" width="5.33203125" customWidth="1"/>
    <col min="13" max="13" width="12.83203125" customWidth="1"/>
    <col min="14" max="14" width="9.6640625" bestFit="1" customWidth="1"/>
  </cols>
  <sheetData>
    <row r="1" spans="1:21" ht="16" thickBot="1" x14ac:dyDescent="0.25">
      <c r="A1" s="113" t="s">
        <v>90</v>
      </c>
      <c r="B1" s="114"/>
      <c r="C1" s="114"/>
      <c r="D1" s="114"/>
      <c r="E1" s="114"/>
      <c r="F1" s="114"/>
      <c r="G1" s="114"/>
      <c r="H1" s="115"/>
      <c r="J1" s="97" t="s">
        <v>129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</row>
    <row r="2" spans="1:21" s="2" customFormat="1" x14ac:dyDescent="0.2">
      <c r="A2" s="6"/>
      <c r="B2" s="100" t="s">
        <v>68</v>
      </c>
      <c r="C2" s="100" t="s">
        <v>69</v>
      </c>
      <c r="D2" s="100" t="s">
        <v>29</v>
      </c>
      <c r="E2" s="100" t="s">
        <v>30</v>
      </c>
      <c r="F2" s="100" t="s">
        <v>31</v>
      </c>
      <c r="G2" s="100" t="s">
        <v>32</v>
      </c>
      <c r="H2" s="101" t="s">
        <v>70</v>
      </c>
      <c r="J2" s="99" t="s">
        <v>130</v>
      </c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</row>
    <row r="3" spans="1:21" x14ac:dyDescent="0.2">
      <c r="A3" s="7" t="s">
        <v>91</v>
      </c>
      <c r="B3" s="8">
        <v>2500</v>
      </c>
      <c r="C3" s="8">
        <v>4000</v>
      </c>
      <c r="D3" s="8">
        <v>5000</v>
      </c>
      <c r="E3" s="8">
        <v>3000</v>
      </c>
      <c r="F3" s="8">
        <v>2000</v>
      </c>
      <c r="G3" s="8">
        <v>1000</v>
      </c>
      <c r="H3" s="9">
        <f>SUM(B3:G3)</f>
        <v>17500</v>
      </c>
      <c r="J3" s="99" t="s">
        <v>131</v>
      </c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</row>
    <row r="4" spans="1:21" x14ac:dyDescent="0.2">
      <c r="A4" s="10" t="s">
        <v>92</v>
      </c>
      <c r="B4" s="11">
        <f>((0.2*C3)+300)</f>
        <v>1100</v>
      </c>
      <c r="C4" s="11">
        <f t="shared" ref="C4:F4" si="0">((0.2*D3)+300)</f>
        <v>1300</v>
      </c>
      <c r="D4" s="11">
        <f t="shared" si="0"/>
        <v>900</v>
      </c>
      <c r="E4" s="11">
        <f t="shared" si="0"/>
        <v>700</v>
      </c>
      <c r="F4" s="11">
        <f t="shared" si="0"/>
        <v>500</v>
      </c>
      <c r="G4" s="11">
        <f>((0.2*1000)+300)</f>
        <v>500</v>
      </c>
      <c r="H4" s="9">
        <f>SUM(B4:G4)</f>
        <v>5000</v>
      </c>
      <c r="J4" s="99" t="s">
        <v>132</v>
      </c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</row>
    <row r="5" spans="1:21" x14ac:dyDescent="0.2">
      <c r="A5" s="5" t="s">
        <v>66</v>
      </c>
      <c r="B5" s="13">
        <f>B4+B3</f>
        <v>3600</v>
      </c>
      <c r="C5" s="13">
        <f>C4+C3</f>
        <v>5300</v>
      </c>
      <c r="D5" s="13">
        <f>D4+D3</f>
        <v>5900</v>
      </c>
      <c r="E5" s="13">
        <f t="shared" ref="E5:G5" si="1">E4+E3</f>
        <v>3700</v>
      </c>
      <c r="F5" s="13">
        <f t="shared" si="1"/>
        <v>2500</v>
      </c>
      <c r="G5" s="13">
        <f t="shared" si="1"/>
        <v>1500</v>
      </c>
      <c r="H5" s="9">
        <f>SUM(B5:G5)</f>
        <v>22500</v>
      </c>
      <c r="J5" s="99" t="s">
        <v>133</v>
      </c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</row>
    <row r="6" spans="1:21" x14ac:dyDescent="0.2">
      <c r="A6" s="10" t="s">
        <v>93</v>
      </c>
      <c r="B6" s="11">
        <v>-1000</v>
      </c>
      <c r="C6" s="11">
        <f>-B4</f>
        <v>-1100</v>
      </c>
      <c r="D6" s="11">
        <f>-C4</f>
        <v>-1300</v>
      </c>
      <c r="E6" s="11">
        <f>-D4</f>
        <v>-900</v>
      </c>
      <c r="F6" s="11">
        <f>-E4</f>
        <v>-700</v>
      </c>
      <c r="G6" s="11">
        <f>-F4</f>
        <v>-500</v>
      </c>
      <c r="H6" s="11">
        <f>SUM(B6:G6)</f>
        <v>-5500</v>
      </c>
      <c r="J6" s="99" t="s">
        <v>134</v>
      </c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</row>
    <row r="7" spans="1:21" s="2" customFormat="1" x14ac:dyDescent="0.2">
      <c r="A7" s="6" t="s">
        <v>67</v>
      </c>
      <c r="B7" s="14">
        <f>B6+B5</f>
        <v>2600</v>
      </c>
      <c r="C7" s="14">
        <f>C6+C5</f>
        <v>4200</v>
      </c>
      <c r="D7" s="14">
        <f t="shared" ref="D7:H7" si="2">D6+D5</f>
        <v>4600</v>
      </c>
      <c r="E7" s="14">
        <f t="shared" si="2"/>
        <v>2800</v>
      </c>
      <c r="F7" s="14">
        <f t="shared" si="2"/>
        <v>1800</v>
      </c>
      <c r="G7" s="14">
        <f t="shared" si="2"/>
        <v>1000</v>
      </c>
      <c r="H7" s="14">
        <f>H6+H5</f>
        <v>17000</v>
      </c>
      <c r="J7" s="99" t="s">
        <v>135</v>
      </c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</row>
    <row r="8" spans="1:21" ht="16" thickBot="1" x14ac:dyDescent="0.25">
      <c r="J8" s="99" t="s">
        <v>136</v>
      </c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</row>
    <row r="9" spans="1:21" ht="16" thickBot="1" x14ac:dyDescent="0.25">
      <c r="A9" s="113" t="s">
        <v>94</v>
      </c>
      <c r="B9" s="114"/>
      <c r="C9" s="114"/>
      <c r="D9" s="114"/>
      <c r="E9" s="114"/>
      <c r="F9" s="114"/>
      <c r="G9" s="114"/>
      <c r="H9" s="115"/>
      <c r="J9" s="99" t="s">
        <v>137</v>
      </c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</row>
    <row r="10" spans="1:21" s="2" customFormat="1" x14ac:dyDescent="0.2">
      <c r="A10" s="102"/>
      <c r="B10" s="100" t="s">
        <v>68</v>
      </c>
      <c r="C10" s="100" t="s">
        <v>69</v>
      </c>
      <c r="D10" s="100" t="s">
        <v>29</v>
      </c>
      <c r="E10" s="100" t="s">
        <v>30</v>
      </c>
      <c r="F10" s="100" t="s">
        <v>31</v>
      </c>
      <c r="G10" s="100" t="s">
        <v>32</v>
      </c>
      <c r="H10" s="101" t="s">
        <v>70</v>
      </c>
    </row>
    <row r="11" spans="1:21" x14ac:dyDescent="0.2">
      <c r="A11" s="7" t="s">
        <v>67</v>
      </c>
      <c r="B11" s="8">
        <f>B7</f>
        <v>2600</v>
      </c>
      <c r="C11" s="8">
        <f>C7</f>
        <v>4200</v>
      </c>
      <c r="D11" s="8">
        <f>D7</f>
        <v>4600</v>
      </c>
      <c r="E11" s="8">
        <f t="shared" ref="E11:H11" si="3">E7</f>
        <v>2800</v>
      </c>
      <c r="F11" s="8">
        <f t="shared" si="3"/>
        <v>1800</v>
      </c>
      <c r="G11" s="8">
        <f t="shared" si="3"/>
        <v>1000</v>
      </c>
      <c r="H11" s="8">
        <f>H7</f>
        <v>17000</v>
      </c>
    </row>
    <row r="12" spans="1:21" x14ac:dyDescent="0.2">
      <c r="A12" s="10" t="s">
        <v>95</v>
      </c>
      <c r="B12" s="11">
        <v>30</v>
      </c>
      <c r="C12" s="11">
        <v>30</v>
      </c>
      <c r="D12" s="15">
        <v>30</v>
      </c>
      <c r="E12" s="15">
        <v>30</v>
      </c>
      <c r="F12" s="15">
        <v>30</v>
      </c>
      <c r="G12" s="15">
        <v>30</v>
      </c>
      <c r="H12" s="12">
        <v>30</v>
      </c>
    </row>
    <row r="13" spans="1:21" s="2" customFormat="1" x14ac:dyDescent="0.2">
      <c r="A13" s="17" t="s">
        <v>71</v>
      </c>
      <c r="B13" s="18">
        <f>B12*B11</f>
        <v>78000</v>
      </c>
      <c r="C13" s="18">
        <f>C12*C11</f>
        <v>126000</v>
      </c>
      <c r="D13" s="18">
        <f>D12*D11</f>
        <v>138000</v>
      </c>
      <c r="E13" s="18">
        <f t="shared" ref="E13:G13" si="4">E12*E11</f>
        <v>84000</v>
      </c>
      <c r="F13" s="18">
        <f t="shared" si="4"/>
        <v>54000</v>
      </c>
      <c r="G13" s="18">
        <f t="shared" si="4"/>
        <v>30000</v>
      </c>
      <c r="H13" s="12">
        <f>SUM(B13:G13)</f>
        <v>510000</v>
      </c>
    </row>
    <row r="14" spans="1:21" x14ac:dyDescent="0.2">
      <c r="A14" s="10" t="s">
        <v>92</v>
      </c>
      <c r="B14" s="19">
        <f>C11*B12*EXHIBITS!$E$36</f>
        <v>63000</v>
      </c>
      <c r="C14" s="19">
        <f>D11*C12*EXHIBITS!$E$36</f>
        <v>69000</v>
      </c>
      <c r="D14" s="19">
        <f>E11*D12*EXHIBITS!$E$36</f>
        <v>42000</v>
      </c>
      <c r="E14" s="19">
        <f>F11*E12*EXHIBITS!$E$36</f>
        <v>27000</v>
      </c>
      <c r="F14" s="19">
        <f>G11*F12*EXHIBITS!$E$36</f>
        <v>15000</v>
      </c>
      <c r="G14" s="19">
        <f>G13*EXHIBITS!E36</f>
        <v>15000</v>
      </c>
      <c r="H14" s="20">
        <f>SUM(B14:G14)</f>
        <v>231000</v>
      </c>
    </row>
    <row r="15" spans="1:21" s="2" customFormat="1" x14ac:dyDescent="0.2">
      <c r="A15" s="17" t="s">
        <v>96</v>
      </c>
      <c r="B15" s="18">
        <f>B13+B14</f>
        <v>141000</v>
      </c>
      <c r="C15" s="18">
        <f>C13+C14</f>
        <v>195000</v>
      </c>
      <c r="D15" s="18">
        <f t="shared" ref="D15:G15" si="5">D13+D14</f>
        <v>180000</v>
      </c>
      <c r="E15" s="18">
        <f t="shared" si="5"/>
        <v>111000</v>
      </c>
      <c r="F15" s="18">
        <f t="shared" si="5"/>
        <v>69000</v>
      </c>
      <c r="G15" s="18">
        <f t="shared" si="5"/>
        <v>45000</v>
      </c>
      <c r="H15" s="18">
        <f>H13+H14</f>
        <v>741000</v>
      </c>
    </row>
    <row r="16" spans="1:21" x14ac:dyDescent="0.2">
      <c r="A16" s="10" t="s">
        <v>93</v>
      </c>
      <c r="B16" s="19">
        <v>39000</v>
      </c>
      <c r="C16" s="19">
        <f>B14</f>
        <v>63000</v>
      </c>
      <c r="D16" s="19">
        <f t="shared" ref="D16:G16" si="6">C14</f>
        <v>69000</v>
      </c>
      <c r="E16" s="19">
        <f t="shared" si="6"/>
        <v>42000</v>
      </c>
      <c r="F16" s="19">
        <f t="shared" si="6"/>
        <v>27000</v>
      </c>
      <c r="G16" s="19">
        <f t="shared" si="6"/>
        <v>15000</v>
      </c>
      <c r="H16" s="19">
        <f>SUM(B16:G16)</f>
        <v>255000</v>
      </c>
    </row>
    <row r="17" spans="1:18" s="2" customFormat="1" x14ac:dyDescent="0.2">
      <c r="A17" s="17" t="s">
        <v>72</v>
      </c>
      <c r="B17" s="18">
        <f>B15-B16</f>
        <v>102000</v>
      </c>
      <c r="C17" s="18">
        <f>C15-C16</f>
        <v>132000</v>
      </c>
      <c r="D17" s="18">
        <f t="shared" ref="D17:H17" si="7">D15-D16</f>
        <v>111000</v>
      </c>
      <c r="E17" s="18">
        <f t="shared" si="7"/>
        <v>69000</v>
      </c>
      <c r="F17" s="18">
        <f t="shared" si="7"/>
        <v>42000</v>
      </c>
      <c r="G17" s="18">
        <f t="shared" si="7"/>
        <v>30000</v>
      </c>
      <c r="H17" s="18">
        <f>H15-H16</f>
        <v>486000</v>
      </c>
    </row>
    <row r="18" spans="1:18" x14ac:dyDescent="0.2">
      <c r="A18" s="10" t="s">
        <v>73</v>
      </c>
      <c r="B18" s="111">
        <v>8</v>
      </c>
      <c r="C18" s="111">
        <v>8</v>
      </c>
      <c r="D18" s="111">
        <v>15</v>
      </c>
      <c r="E18" s="111">
        <v>15</v>
      </c>
      <c r="F18" s="111">
        <v>15</v>
      </c>
      <c r="G18" s="111">
        <v>15</v>
      </c>
      <c r="H18" s="103"/>
      <c r="J18" s="2" t="s">
        <v>139</v>
      </c>
      <c r="K18" s="2"/>
      <c r="L18" s="2"/>
      <c r="M18" s="2"/>
      <c r="N18" s="2"/>
      <c r="O18" s="2"/>
      <c r="P18" s="2"/>
      <c r="Q18" s="2"/>
      <c r="R18" s="2"/>
    </row>
    <row r="19" spans="1:18" s="2" customFormat="1" x14ac:dyDescent="0.2">
      <c r="A19" s="6" t="s">
        <v>74</v>
      </c>
      <c r="B19" s="112">
        <f>B18*B17</f>
        <v>816000</v>
      </c>
      <c r="C19" s="112">
        <f>C18*C17</f>
        <v>1056000</v>
      </c>
      <c r="D19" s="112">
        <f t="shared" ref="D19:G19" si="8">D18*D17</f>
        <v>1665000</v>
      </c>
      <c r="E19" s="112">
        <f t="shared" si="8"/>
        <v>1035000</v>
      </c>
      <c r="F19" s="112">
        <f t="shared" si="8"/>
        <v>630000</v>
      </c>
      <c r="G19" s="112">
        <f t="shared" si="8"/>
        <v>450000</v>
      </c>
      <c r="H19" s="23">
        <f>SUM(B19:G19)</f>
        <v>5652000</v>
      </c>
    </row>
    <row r="20" spans="1:18" ht="16" thickBot="1" x14ac:dyDescent="0.25"/>
    <row r="21" spans="1:18" ht="16" thickBot="1" x14ac:dyDescent="0.25">
      <c r="A21" s="113" t="s">
        <v>97</v>
      </c>
      <c r="B21" s="114"/>
      <c r="C21" s="114"/>
      <c r="D21" s="114"/>
      <c r="E21" s="114"/>
      <c r="F21" s="114"/>
      <c r="G21" s="114"/>
      <c r="H21" s="115"/>
    </row>
    <row r="22" spans="1:18" s="2" customFormat="1" x14ac:dyDescent="0.2">
      <c r="A22" s="6"/>
      <c r="B22" s="100" t="s">
        <v>68</v>
      </c>
      <c r="C22" s="100" t="s">
        <v>69</v>
      </c>
      <c r="D22" s="100" t="s">
        <v>29</v>
      </c>
      <c r="E22" s="100" t="s">
        <v>30</v>
      </c>
      <c r="F22" s="100" t="s">
        <v>31</v>
      </c>
      <c r="G22" s="100" t="s">
        <v>32</v>
      </c>
      <c r="H22" s="101" t="s">
        <v>70</v>
      </c>
    </row>
    <row r="23" spans="1:18" x14ac:dyDescent="0.2">
      <c r="A23" s="7" t="s">
        <v>98</v>
      </c>
      <c r="B23" s="24">
        <v>100000</v>
      </c>
      <c r="C23" s="24">
        <f>B47</f>
        <v>100000</v>
      </c>
      <c r="D23" s="24">
        <f>C47</f>
        <v>100000</v>
      </c>
      <c r="E23" s="24">
        <f>D47</f>
        <v>100000</v>
      </c>
      <c r="F23" s="24">
        <f>E47</f>
        <v>100000</v>
      </c>
      <c r="G23" s="24">
        <f>F47</f>
        <v>100000</v>
      </c>
      <c r="H23" s="25"/>
    </row>
    <row r="24" spans="1:18" x14ac:dyDescent="0.2">
      <c r="A24" s="7" t="s">
        <v>99</v>
      </c>
      <c r="B24" s="24"/>
      <c r="C24" s="24"/>
      <c r="D24" s="24"/>
      <c r="E24" s="24"/>
      <c r="F24" s="24"/>
      <c r="G24" s="24"/>
      <c r="H24" s="25"/>
    </row>
    <row r="25" spans="1:18" s="2" customFormat="1" x14ac:dyDescent="0.2">
      <c r="A25" s="7" t="s">
        <v>104</v>
      </c>
      <c r="B25" s="24">
        <f>EXHIBITS!U37*EXHIBITS!U27</f>
        <v>625000</v>
      </c>
      <c r="C25" s="24">
        <f>EXHIBITS!U37*EXHIBITS!U28</f>
        <v>1000000</v>
      </c>
      <c r="D25" s="24">
        <f>EXHIBITS!U37*EXHIBITS!U29</f>
        <v>1250000</v>
      </c>
      <c r="E25" s="24">
        <f>EXHIBITS!U37*EXHIBITS!U30</f>
        <v>750000</v>
      </c>
      <c r="F25" s="24">
        <f>EXHIBITS!U37*EXHIBITS!U31</f>
        <v>550000</v>
      </c>
      <c r="G25" s="24">
        <f>EXHIBITS!U37*EXHIBITS!U32</f>
        <v>275000</v>
      </c>
      <c r="H25" s="25">
        <f>SUM(B25:G25)</f>
        <v>4450000</v>
      </c>
    </row>
    <row r="26" spans="1:18" x14ac:dyDescent="0.2">
      <c r="A26" s="7" t="s">
        <v>106</v>
      </c>
      <c r="B26" s="24">
        <f>EXHIBITS!U38*EXHIBITS!U26</f>
        <v>213100</v>
      </c>
      <c r="C26" s="24">
        <f>EXHIBITS!U38*EXHIBITS!U27</f>
        <v>250000</v>
      </c>
      <c r="D26" s="24">
        <f>EXHIBITS!U38*EXHIBITS!U28</f>
        <v>400000</v>
      </c>
      <c r="E26" s="24">
        <f>EXHIBITS!U38*EXHIBITS!U29</f>
        <v>500000</v>
      </c>
      <c r="F26" s="24">
        <f>EXHIBITS!U38*EXHIBITS!U30</f>
        <v>300000</v>
      </c>
      <c r="G26" s="24">
        <f>EXHIBITS!U38*EXHIBITS!U31</f>
        <v>220000</v>
      </c>
      <c r="H26" s="25">
        <f>SUM(B26:G26)</f>
        <v>1883100</v>
      </c>
    </row>
    <row r="27" spans="1:18" x14ac:dyDescent="0.2">
      <c r="A27" s="7" t="s">
        <v>105</v>
      </c>
      <c r="B27" s="24">
        <f>EXHIBITS!U39*EXHIBITS!U25</f>
        <v>863400</v>
      </c>
      <c r="C27" s="24">
        <f>EXHIBITS!U39*EXHIBITS!U26</f>
        <v>1278600</v>
      </c>
      <c r="D27" s="24">
        <f>EXHIBITS!U39*EXHIBITS!U27</f>
        <v>1500000</v>
      </c>
      <c r="E27" s="24">
        <f>EXHIBITS!U39*EXHIBITS!U28</f>
        <v>2400000</v>
      </c>
      <c r="F27" s="24">
        <f>EXHIBITS!U39*EXHIBITS!U29</f>
        <v>3000000</v>
      </c>
      <c r="G27" s="24">
        <f>EXHIBITS!U39*EXHIBITS!U30</f>
        <v>1800000</v>
      </c>
      <c r="H27" s="25">
        <f>SUM(B27:G27)</f>
        <v>10842000</v>
      </c>
    </row>
    <row r="28" spans="1:18" x14ac:dyDescent="0.2">
      <c r="A28" s="29" t="s">
        <v>80</v>
      </c>
      <c r="B28" s="109">
        <f>SUM(B25:B27)</f>
        <v>1701500</v>
      </c>
      <c r="C28" s="109">
        <f>SUM(C25:C27)</f>
        <v>2528600</v>
      </c>
      <c r="D28" s="109">
        <f>SUM(D25:D27)</f>
        <v>3150000</v>
      </c>
      <c r="E28" s="109">
        <f>SUM(E25:E27)</f>
        <v>3650000</v>
      </c>
      <c r="F28" s="109">
        <f t="shared" ref="B28:H28" si="9">SUM(F25:F27)</f>
        <v>3850000</v>
      </c>
      <c r="G28" s="109">
        <f t="shared" si="9"/>
        <v>2295000</v>
      </c>
      <c r="H28" s="109">
        <f>SUM(H25:H27)</f>
        <v>17175100</v>
      </c>
    </row>
    <row r="29" spans="1:18" x14ac:dyDescent="0.2">
      <c r="A29" s="29" t="s">
        <v>75</v>
      </c>
      <c r="B29" s="32">
        <f>B28+B23</f>
        <v>1801500</v>
      </c>
      <c r="C29" s="32">
        <f t="shared" ref="B29:H29" si="10">C28+C23</f>
        <v>2628600</v>
      </c>
      <c r="D29" s="32">
        <f>D28+D23</f>
        <v>3250000</v>
      </c>
      <c r="E29" s="32">
        <f t="shared" si="10"/>
        <v>3750000</v>
      </c>
      <c r="F29" s="32">
        <f t="shared" si="10"/>
        <v>3950000</v>
      </c>
      <c r="G29" s="32">
        <f t="shared" si="10"/>
        <v>2395000</v>
      </c>
      <c r="H29" s="32">
        <f>H28</f>
        <v>17175100</v>
      </c>
    </row>
    <row r="30" spans="1:18" x14ac:dyDescent="0.2">
      <c r="A30" s="7" t="s">
        <v>100</v>
      </c>
      <c r="H30" s="26"/>
    </row>
    <row r="31" spans="1:18" x14ac:dyDescent="0.2">
      <c r="A31" s="7" t="s">
        <v>82</v>
      </c>
      <c r="B31" s="110">
        <f>-816000</f>
        <v>-816000</v>
      </c>
      <c r="C31" s="110">
        <f>-1056000</f>
        <v>-1056000</v>
      </c>
      <c r="D31" s="110">
        <f>-888000</f>
        <v>-888000</v>
      </c>
      <c r="E31" s="110">
        <f>-552000</f>
        <v>-552000</v>
      </c>
      <c r="F31" s="110">
        <f>-336000</f>
        <v>-336000</v>
      </c>
      <c r="G31" s="110">
        <f>-240000</f>
        <v>-240000</v>
      </c>
      <c r="H31" s="27">
        <f>SUM(B31:G31)</f>
        <v>-3888000</v>
      </c>
      <c r="J31" s="2" t="s">
        <v>142</v>
      </c>
      <c r="K31" s="2"/>
      <c r="L31" s="2"/>
      <c r="M31" s="2"/>
    </row>
    <row r="32" spans="1:18" x14ac:dyDescent="0.2">
      <c r="A32" s="7" t="s">
        <v>83</v>
      </c>
      <c r="B32" s="3">
        <f>-EXHIBITS!M8</f>
        <v>-54000</v>
      </c>
      <c r="C32" s="3">
        <f>-EXHIBITS!N8</f>
        <v>-264000</v>
      </c>
      <c r="D32" s="3">
        <f>-EXHIBITS!O8</f>
        <v>-222000</v>
      </c>
      <c r="E32" s="28">
        <f>-EXHIBITS!M18</f>
        <v>-138000</v>
      </c>
      <c r="F32" s="28">
        <f>-EXHIBITS!N18</f>
        <v>-84000</v>
      </c>
      <c r="G32" s="28">
        <f>-EXHIBITS!O18</f>
        <v>-90000</v>
      </c>
      <c r="H32" s="27">
        <f t="shared" ref="H32:H37" si="11">SUM(B32:G32)</f>
        <v>-852000</v>
      </c>
    </row>
    <row r="33" spans="1:20" x14ac:dyDescent="0.2">
      <c r="A33" s="7" t="s">
        <v>84</v>
      </c>
      <c r="B33" s="3">
        <f>-EXHIBITS!M9</f>
        <v>-624000</v>
      </c>
      <c r="C33" s="3">
        <f>-EXHIBITS!N9</f>
        <v>-1008000</v>
      </c>
      <c r="D33" s="3">
        <f>-EXHIBITS!O9</f>
        <v>-1104000</v>
      </c>
      <c r="E33" s="28">
        <f>-EXHIBITS!M19</f>
        <v>-672000</v>
      </c>
      <c r="F33" s="28">
        <f>-EXHIBITS!N19</f>
        <v>-432000</v>
      </c>
      <c r="G33" s="28">
        <f>-EXHIBITS!O19</f>
        <v>-240000</v>
      </c>
      <c r="H33" s="27">
        <f t="shared" si="11"/>
        <v>-4080000</v>
      </c>
    </row>
    <row r="34" spans="1:20" s="2" customFormat="1" x14ac:dyDescent="0.2">
      <c r="A34" s="7" t="s">
        <v>101</v>
      </c>
      <c r="B34" s="28">
        <f>-EXHIBITS!M10</f>
        <v>-130000</v>
      </c>
      <c r="C34" s="28">
        <f>-EXHIBITS!N10</f>
        <v>-195000</v>
      </c>
      <c r="D34" s="28">
        <f>-EXHIBITS!O10</f>
        <v>-220000</v>
      </c>
      <c r="E34" s="28">
        <f>-EXHIBITS!M20</f>
        <v>-135000</v>
      </c>
      <c r="F34" s="28">
        <f>-EXHIBITS!N20</f>
        <v>-110000</v>
      </c>
      <c r="G34" s="28">
        <f>-EXHIBITS!O20</f>
        <v>-110000</v>
      </c>
      <c r="H34" s="27">
        <f t="shared" si="11"/>
        <v>-900000</v>
      </c>
    </row>
    <row r="35" spans="1:20" x14ac:dyDescent="0.2">
      <c r="A35" s="7" t="s">
        <v>85</v>
      </c>
      <c r="B35" s="28">
        <f>-EXHIBITS!M11</f>
        <v>-390000</v>
      </c>
      <c r="C35" s="28">
        <f>-EXHIBITS!N11</f>
        <v>-390000</v>
      </c>
      <c r="D35" s="28">
        <f>-EXHIBITS!O11</f>
        <v>-390000</v>
      </c>
      <c r="E35" s="28">
        <f>-EXHIBITS!M21</f>
        <v>-340000</v>
      </c>
      <c r="F35" s="28">
        <f>-EXHIBITS!N21</f>
        <v>-340000</v>
      </c>
      <c r="G35" s="28">
        <f>-EXHIBITS!O21</f>
        <v>-340000</v>
      </c>
      <c r="H35" s="27">
        <f t="shared" si="11"/>
        <v>-2190000</v>
      </c>
    </row>
    <row r="36" spans="1:20" x14ac:dyDescent="0.2">
      <c r="A36" s="7" t="s">
        <v>86</v>
      </c>
      <c r="B36" s="28">
        <f>-EXHIBITS!M12</f>
        <v>-300000</v>
      </c>
      <c r="C36" s="28">
        <f>-EXHIBITS!N12</f>
        <v>-300000</v>
      </c>
      <c r="D36" s="28">
        <f>-EXHIBITS!O12</f>
        <v>-300000</v>
      </c>
      <c r="E36" s="28">
        <f>-EXHIBITS!M22</f>
        <v>-300000</v>
      </c>
      <c r="F36" s="28">
        <f>-EXHIBITS!N22</f>
        <v>-300000</v>
      </c>
      <c r="G36" s="28">
        <f>-EXHIBITS!O22</f>
        <v>-300000</v>
      </c>
      <c r="H36" s="27">
        <f t="shared" si="11"/>
        <v>-1800000</v>
      </c>
      <c r="T36" t="s">
        <v>140</v>
      </c>
    </row>
    <row r="37" spans="1:20" x14ac:dyDescent="0.2">
      <c r="A37" s="10" t="s">
        <v>87</v>
      </c>
      <c r="B37" s="21">
        <f>-EXHIBITS!M14</f>
        <v>-400000</v>
      </c>
      <c r="C37" s="21">
        <f>-EXHIBITS!N14</f>
        <v>-400000</v>
      </c>
      <c r="D37" s="21">
        <f>-EXHIBITS!O14</f>
        <v>-400000</v>
      </c>
      <c r="E37" s="21">
        <f>-EXHIBITS!M24</f>
        <v>-400000</v>
      </c>
      <c r="F37" s="21">
        <f>-EXHIBITS!N24</f>
        <v>-400000</v>
      </c>
      <c r="G37" s="21">
        <f>-EXHIBITS!O24</f>
        <v>-400000</v>
      </c>
      <c r="H37" s="27">
        <f t="shared" si="11"/>
        <v>-2400000</v>
      </c>
    </row>
    <row r="38" spans="1:20" x14ac:dyDescent="0.2">
      <c r="A38" s="29" t="s">
        <v>76</v>
      </c>
      <c r="B38" s="109">
        <f t="shared" ref="B38:H38" si="12">SUM(B31:B37)</f>
        <v>-2714000</v>
      </c>
      <c r="C38" s="109">
        <f t="shared" si="12"/>
        <v>-3613000</v>
      </c>
      <c r="D38" s="109">
        <f t="shared" si="12"/>
        <v>-3524000</v>
      </c>
      <c r="E38" s="109">
        <f t="shared" si="12"/>
        <v>-2537000</v>
      </c>
      <c r="F38" s="109">
        <f t="shared" si="12"/>
        <v>-2002000</v>
      </c>
      <c r="G38" s="109">
        <f t="shared" si="12"/>
        <v>-1720000</v>
      </c>
      <c r="H38" s="30">
        <f>SUM(H31:H37)</f>
        <v>-16110000</v>
      </c>
    </row>
    <row r="39" spans="1:20" x14ac:dyDescent="0.2">
      <c r="A39" s="31" t="s">
        <v>77</v>
      </c>
      <c r="B39" s="32">
        <f>B29+B38</f>
        <v>-912500</v>
      </c>
      <c r="C39" s="32">
        <f>C29+C38</f>
        <v>-984400</v>
      </c>
      <c r="D39" s="32">
        <f>D29+D38</f>
        <v>-274000</v>
      </c>
      <c r="E39" s="32">
        <f>E29+E38</f>
        <v>1213000</v>
      </c>
      <c r="F39" s="32">
        <f>F29+F38</f>
        <v>1948000</v>
      </c>
      <c r="G39" s="32">
        <f>G29+G38</f>
        <v>675000</v>
      </c>
      <c r="H39" s="32">
        <f>H29+H38</f>
        <v>1065100</v>
      </c>
    </row>
    <row r="40" spans="1:20" s="2" customFormat="1" x14ac:dyDescent="0.2">
      <c r="A40" s="7" t="s">
        <v>88</v>
      </c>
      <c r="B40" s="24"/>
      <c r="C40" s="24"/>
      <c r="D40" s="24"/>
      <c r="E40" s="24"/>
      <c r="F40" s="24"/>
      <c r="G40" s="24"/>
      <c r="H40" s="26"/>
    </row>
    <row r="41" spans="1:20" s="2" customFormat="1" x14ac:dyDescent="0.2">
      <c r="A41" s="7" t="s">
        <v>107</v>
      </c>
      <c r="B41" s="24">
        <f>EXHIBITS!O36</f>
        <v>800000</v>
      </c>
      <c r="C41" s="24"/>
      <c r="D41" s="24"/>
      <c r="E41" s="24"/>
      <c r="F41" s="24"/>
      <c r="G41" s="24"/>
      <c r="H41" s="27">
        <f>SUM(B41:G41)</f>
        <v>800000</v>
      </c>
      <c r="J41" s="107" t="s">
        <v>141</v>
      </c>
      <c r="K41" s="107"/>
      <c r="L41" s="107"/>
      <c r="M41" s="107"/>
      <c r="N41" s="107"/>
    </row>
    <row r="42" spans="1:20" x14ac:dyDescent="0.2">
      <c r="A42" s="7" t="s">
        <v>108</v>
      </c>
      <c r="B42" s="24">
        <v>212500</v>
      </c>
      <c r="C42" s="24">
        <f>1084400</f>
        <v>1084400</v>
      </c>
      <c r="D42" s="24">
        <v>374000</v>
      </c>
      <c r="E42" s="24">
        <v>0</v>
      </c>
      <c r="F42" s="24"/>
      <c r="G42" s="24"/>
      <c r="H42" s="27">
        <f>SUM(B42:G42)</f>
        <v>1670900</v>
      </c>
      <c r="J42" s="107"/>
      <c r="K42" s="107"/>
      <c r="L42" s="107"/>
      <c r="M42" s="107"/>
      <c r="N42" s="107"/>
    </row>
    <row r="43" spans="1:20" x14ac:dyDescent="0.2">
      <c r="A43" s="7" t="s">
        <v>102</v>
      </c>
      <c r="B43" s="24"/>
      <c r="C43" s="24"/>
      <c r="D43" s="24"/>
      <c r="E43" s="24">
        <v>-1113000</v>
      </c>
      <c r="F43" s="24">
        <v>-1848000</v>
      </c>
      <c r="G43" s="24">
        <v>-575000</v>
      </c>
      <c r="H43" s="27">
        <f>SUM(E43+F43+G43)</f>
        <v>-3536000</v>
      </c>
      <c r="I43" s="34"/>
      <c r="J43" s="107"/>
      <c r="K43" s="107"/>
      <c r="L43" s="107"/>
      <c r="M43" s="107"/>
      <c r="N43" s="107"/>
    </row>
    <row r="44" spans="1:20" x14ac:dyDescent="0.2">
      <c r="A44" s="7" t="s">
        <v>103</v>
      </c>
      <c r="B44" s="24"/>
      <c r="C44" s="24"/>
      <c r="D44" s="24"/>
      <c r="E44" s="24"/>
      <c r="F44" s="24"/>
      <c r="G44" s="24"/>
      <c r="H44" s="27"/>
      <c r="I44" s="4"/>
      <c r="J44" s="107"/>
      <c r="K44" s="107"/>
      <c r="L44" s="107"/>
      <c r="M44" s="107"/>
      <c r="N44" s="107"/>
    </row>
    <row r="45" spans="1:20" x14ac:dyDescent="0.2">
      <c r="A45" s="10" t="s">
        <v>81</v>
      </c>
      <c r="B45" s="22"/>
      <c r="C45" s="22"/>
      <c r="D45" s="22"/>
      <c r="E45" s="22"/>
      <c r="F45" s="22"/>
      <c r="G45" s="22"/>
      <c r="H45" s="16"/>
    </row>
    <row r="46" spans="1:20" x14ac:dyDescent="0.2">
      <c r="A46" s="29" t="s">
        <v>78</v>
      </c>
      <c r="B46" s="30">
        <f>B42+B41</f>
        <v>1012500</v>
      </c>
      <c r="C46" s="30">
        <f>C42+C41</f>
        <v>1084400</v>
      </c>
      <c r="D46" s="30">
        <f>D42+D41</f>
        <v>374000</v>
      </c>
      <c r="E46" s="30">
        <f>E42+E41+E43</f>
        <v>-1113000</v>
      </c>
      <c r="F46" s="30">
        <f>F42+F41+F43</f>
        <v>-1848000</v>
      </c>
      <c r="G46" s="30">
        <f>G42+G41+G43</f>
        <v>-575000</v>
      </c>
      <c r="H46" s="30">
        <f>H42+H41+H43</f>
        <v>-1065100</v>
      </c>
    </row>
    <row r="47" spans="1:20" x14ac:dyDescent="0.2">
      <c r="A47" s="6" t="s">
        <v>79</v>
      </c>
      <c r="B47" s="33">
        <f>B46+B39</f>
        <v>100000</v>
      </c>
      <c r="C47" s="33">
        <f>C46+C39</f>
        <v>100000</v>
      </c>
      <c r="D47" s="33">
        <f>D46+D39</f>
        <v>100000</v>
      </c>
      <c r="E47" s="33">
        <f>E46+E39</f>
        <v>100000</v>
      </c>
      <c r="F47" s="33">
        <f t="shared" ref="F47:H47" si="13">F46+F39</f>
        <v>100000</v>
      </c>
      <c r="G47" s="33">
        <f t="shared" si="13"/>
        <v>100000</v>
      </c>
      <c r="H47" s="33">
        <f>H46+H39</f>
        <v>0</v>
      </c>
      <c r="J47" s="108" t="s">
        <v>138</v>
      </c>
      <c r="K47" s="108"/>
      <c r="L47" s="108"/>
      <c r="M47" s="108"/>
      <c r="N47" s="69">
        <v>100000</v>
      </c>
      <c r="O47" s="106"/>
    </row>
    <row r="48" spans="1:20" x14ac:dyDescent="0.2">
      <c r="A48" s="34"/>
    </row>
    <row r="49" spans="1:1" x14ac:dyDescent="0.2">
      <c r="A49" s="34"/>
    </row>
    <row r="50" spans="1:1" x14ac:dyDescent="0.2">
      <c r="A50" s="34"/>
    </row>
    <row r="51" spans="1:1" x14ac:dyDescent="0.2">
      <c r="A51" s="34"/>
    </row>
  </sheetData>
  <mergeCells count="4">
    <mergeCell ref="A1:H1"/>
    <mergeCell ref="A9:H9"/>
    <mergeCell ref="A21:H21"/>
    <mergeCell ref="J41:N44"/>
  </mergeCells>
  <pageMargins left="0.7" right="0.7" top="0.75" bottom="0.75" header="0.3" footer="0.3"/>
  <pageSetup orientation="portrait" r:id="rId1"/>
  <ignoredErrors>
    <ignoredError sqref="G6 C6:F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EXHIBITS</vt:lpstr>
      <vt:lpstr>Budget</vt:lpstr>
      <vt:lpstr>EXHIBITS!Print_Area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2020-04-20T18:33:30Z</dcterms:created>
  <dcterms:modified xsi:type="dcterms:W3CDTF">2024-07-15T15:12:22Z</dcterms:modified>
</cp:coreProperties>
</file>