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25D0BB36-6D68-4AD5-8A9D-EC50F7514FB6}" xr6:coauthVersionLast="47" xr6:coauthVersionMax="47" xr10:uidLastSave="{00000000-0000-0000-0000-000000000000}"/>
  <bookViews>
    <workbookView xWindow="7455" yWindow="555" windowWidth="12900" windowHeight="10170" firstSheet="16" activeTab="16" xr2:uid="{B8C3BC84-F74D-4FDE-9E65-CEFE52BE686D}"/>
  </bookViews>
  <sheets>
    <sheet name="BEDMAS" sheetId="1" r:id="rId1"/>
    <sheet name="WithoutFunctions" sheetId="2" r:id="rId2"/>
    <sheet name="IF" sheetId="6" r:id="rId3"/>
    <sheet name="Count&amp;CountIF" sheetId="7" r:id="rId4"/>
    <sheet name="SUM" sheetId="9" r:id="rId5"/>
    <sheet name="Average" sheetId="11" r:id="rId6"/>
    <sheet name="Average IFS" sheetId="12" r:id="rId7"/>
    <sheet name="MAX" sheetId="13" r:id="rId8"/>
    <sheet name="MIN IFS" sheetId="14" r:id="rId9"/>
    <sheet name="Proportion&amp;UpdatingCalculation" sheetId="15" r:id="rId10"/>
    <sheet name="ConditionalFormatting" sheetId="16" r:id="rId11"/>
    <sheet name="WorkingWithTables" sheetId="17" r:id="rId12"/>
    <sheet name="FormattingTable" sheetId="18" r:id="rId13"/>
    <sheet name="Filtering&amp;Sorting" sheetId="21" r:id="rId14"/>
    <sheet name="Filtering&amp;Sorting(2ndTable)" sheetId="22" r:id="rId15"/>
    <sheet name="Freeze&amp;Split" sheetId="24" r:id="rId16"/>
    <sheet name="Printing&amp;Layouts" sheetId="26" r:id="rId17"/>
  </sheets>
  <definedNames>
    <definedName name="_xlnm._FilterDatabase" localSheetId="13" hidden="1">'Filtering&amp;Sorting'!$A$2:$H$27</definedName>
    <definedName name="_xlnm._FilterDatabase" localSheetId="15" hidden="1">'Freeze&amp;Split'!$A$2:$H$27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6" l="1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7" i="24"/>
  <c r="G26" i="24"/>
  <c r="G25" i="24"/>
  <c r="G24" i="24"/>
  <c r="G12" i="24"/>
  <c r="G7" i="24"/>
  <c r="G23" i="24"/>
  <c r="G22" i="24"/>
  <c r="G21" i="24"/>
  <c r="G20" i="24"/>
  <c r="G19" i="24"/>
  <c r="G18" i="24"/>
  <c r="G11" i="24"/>
  <c r="G6" i="24"/>
  <c r="G17" i="24"/>
  <c r="G16" i="24"/>
  <c r="G10" i="24"/>
  <c r="G5" i="24"/>
  <c r="G15" i="24"/>
  <c r="G9" i="24"/>
  <c r="G4" i="24"/>
  <c r="G14" i="24"/>
  <c r="G13" i="24"/>
  <c r="G8" i="24"/>
  <c r="G3" i="24"/>
  <c r="H21" i="22"/>
  <c r="F21" i="22"/>
  <c r="H17" i="22"/>
  <c r="F17" i="22"/>
  <c r="H9" i="22"/>
  <c r="F9" i="22"/>
  <c r="H5" i="22"/>
  <c r="G5" i="22"/>
  <c r="F5" i="22"/>
  <c r="E5" i="22"/>
  <c r="D5" i="22"/>
  <c r="C5" i="22"/>
  <c r="H4" i="22"/>
  <c r="G4" i="22"/>
  <c r="F4" i="22"/>
  <c r="E4" i="22"/>
  <c r="D4" i="22"/>
  <c r="C4" i="22"/>
  <c r="H3" i="22"/>
  <c r="G3" i="22"/>
  <c r="F3" i="22"/>
  <c r="E3" i="22"/>
  <c r="D3" i="22"/>
  <c r="C3" i="22"/>
  <c r="G27" i="21"/>
  <c r="G26" i="21"/>
  <c r="G8" i="21"/>
  <c r="G23" i="21"/>
  <c r="G21" i="21"/>
  <c r="G9" i="21"/>
  <c r="G18" i="21"/>
  <c r="G13" i="21"/>
  <c r="G16" i="21"/>
  <c r="G7" i="21"/>
  <c r="G12" i="21"/>
  <c r="G11" i="21"/>
  <c r="G20" i="21"/>
  <c r="G17" i="21"/>
  <c r="G25" i="21"/>
  <c r="G5" i="21"/>
  <c r="G24" i="21"/>
  <c r="G6" i="21"/>
  <c r="G22" i="21"/>
  <c r="G4" i="21"/>
  <c r="G19" i="21"/>
  <c r="G15" i="21"/>
  <c r="G3" i="21"/>
  <c r="G10" i="21"/>
  <c r="G14" i="21"/>
  <c r="G27" i="18"/>
  <c r="G26" i="18"/>
  <c r="G25" i="18"/>
  <c r="G24" i="18"/>
  <c r="G23" i="18"/>
  <c r="G22" i="18"/>
  <c r="P21" i="18"/>
  <c r="N21" i="18"/>
  <c r="G21" i="18"/>
  <c r="G20" i="18"/>
  <c r="G19" i="18"/>
  <c r="G18" i="18"/>
  <c r="P17" i="18"/>
  <c r="N17" i="18"/>
  <c r="G17" i="18"/>
  <c r="P16" i="18"/>
  <c r="G16" i="18"/>
  <c r="P15" i="18"/>
  <c r="G15" i="18"/>
  <c r="G14" i="18"/>
  <c r="M13" i="18"/>
  <c r="G13" i="18"/>
  <c r="P12" i="18"/>
  <c r="G12" i="18"/>
  <c r="P11" i="18"/>
  <c r="G11" i="18"/>
  <c r="G10" i="18"/>
  <c r="P9" i="18"/>
  <c r="O9" i="18"/>
  <c r="N9" i="18"/>
  <c r="M9" i="18"/>
  <c r="G9" i="18"/>
  <c r="P8" i="18"/>
  <c r="O8" i="18"/>
  <c r="G8" i="18"/>
  <c r="P7" i="18"/>
  <c r="O7" i="18"/>
  <c r="G7" i="18"/>
  <c r="G6" i="18"/>
  <c r="P5" i="18"/>
  <c r="O5" i="18"/>
  <c r="N5" i="18"/>
  <c r="M5" i="18"/>
  <c r="L5" i="18"/>
  <c r="K5" i="18"/>
  <c r="G5" i="18"/>
  <c r="P4" i="18"/>
  <c r="O4" i="18"/>
  <c r="N4" i="18"/>
  <c r="M4" i="18"/>
  <c r="L4" i="18"/>
  <c r="K4" i="18"/>
  <c r="G4" i="18"/>
  <c r="P3" i="18"/>
  <c r="O3" i="18"/>
  <c r="N3" i="18"/>
  <c r="M3" i="18"/>
  <c r="L3" i="18"/>
  <c r="K3" i="18"/>
  <c r="G3" i="18"/>
  <c r="P21" i="17"/>
  <c r="N21" i="17"/>
  <c r="P17" i="17"/>
  <c r="N17" i="17"/>
  <c r="P9" i="17"/>
  <c r="N9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7" i="16"/>
  <c r="G26" i="16"/>
  <c r="G25" i="16"/>
  <c r="G24" i="16"/>
  <c r="G23" i="16"/>
  <c r="G22" i="16"/>
  <c r="P21" i="16"/>
  <c r="N21" i="16"/>
  <c r="G21" i="16"/>
  <c r="G20" i="16"/>
  <c r="G19" i="16"/>
  <c r="G18" i="16"/>
  <c r="P17" i="16"/>
  <c r="N17" i="16"/>
  <c r="G17" i="16"/>
  <c r="P16" i="16"/>
  <c r="G16" i="16"/>
  <c r="P15" i="16"/>
  <c r="G15" i="16"/>
  <c r="G14" i="16"/>
  <c r="M13" i="16"/>
  <c r="G13" i="16"/>
  <c r="P12" i="16"/>
  <c r="G12" i="16"/>
  <c r="P11" i="16"/>
  <c r="G11" i="16"/>
  <c r="G10" i="16"/>
  <c r="P9" i="16"/>
  <c r="O9" i="16"/>
  <c r="N9" i="16"/>
  <c r="M9" i="16"/>
  <c r="G9" i="16"/>
  <c r="P8" i="16"/>
  <c r="O8" i="16"/>
  <c r="G8" i="16"/>
  <c r="P7" i="16"/>
  <c r="O7" i="16"/>
  <c r="G7" i="16"/>
  <c r="G6" i="16"/>
  <c r="P5" i="16"/>
  <c r="O5" i="16"/>
  <c r="N5" i="16"/>
  <c r="M5" i="16"/>
  <c r="L5" i="16"/>
  <c r="K5" i="16"/>
  <c r="G5" i="16"/>
  <c r="P4" i="16"/>
  <c r="O4" i="16"/>
  <c r="N4" i="16"/>
  <c r="M4" i="16"/>
  <c r="L4" i="16"/>
  <c r="K4" i="16"/>
  <c r="G4" i="16"/>
  <c r="P3" i="16"/>
  <c r="O3" i="16"/>
  <c r="N3" i="16"/>
  <c r="M3" i="16"/>
  <c r="L3" i="16"/>
  <c r="K3" i="16"/>
  <c r="G3" i="16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6" i="15"/>
  <c r="H5" i="15"/>
  <c r="H4" i="15"/>
  <c r="H3" i="15"/>
  <c r="G28" i="15"/>
  <c r="G27" i="15"/>
  <c r="G26" i="15"/>
  <c r="G25" i="15"/>
  <c r="G24" i="15"/>
  <c r="G23" i="15"/>
  <c r="G22" i="15"/>
  <c r="P21" i="15"/>
  <c r="N21" i="15"/>
  <c r="G21" i="15"/>
  <c r="G20" i="15"/>
  <c r="G19" i="15"/>
  <c r="G18" i="15"/>
  <c r="P17" i="15"/>
  <c r="N17" i="15"/>
  <c r="G17" i="15"/>
  <c r="P16" i="15"/>
  <c r="G16" i="15"/>
  <c r="P15" i="15"/>
  <c r="G15" i="15"/>
  <c r="G14" i="15"/>
  <c r="M13" i="15"/>
  <c r="G13" i="15"/>
  <c r="P12" i="15"/>
  <c r="G12" i="15"/>
  <c r="P11" i="15"/>
  <c r="G11" i="15"/>
  <c r="G10" i="15"/>
  <c r="P9" i="15"/>
  <c r="O9" i="15"/>
  <c r="N9" i="15"/>
  <c r="M9" i="15"/>
  <c r="G9" i="15"/>
  <c r="P8" i="15"/>
  <c r="O8" i="15"/>
  <c r="G8" i="15"/>
  <c r="P7" i="15"/>
  <c r="O7" i="15"/>
  <c r="G7" i="15"/>
  <c r="G6" i="15"/>
  <c r="P5" i="15"/>
  <c r="O5" i="15"/>
  <c r="N5" i="15"/>
  <c r="M5" i="15"/>
  <c r="L5" i="15"/>
  <c r="K5" i="15"/>
  <c r="G5" i="15"/>
  <c r="P4" i="15"/>
  <c r="O4" i="15"/>
  <c r="N4" i="15"/>
  <c r="M4" i="15"/>
  <c r="L4" i="15"/>
  <c r="K4" i="15"/>
  <c r="G4" i="15"/>
  <c r="P3" i="15"/>
  <c r="O3" i="15"/>
  <c r="N3" i="15"/>
  <c r="M3" i="15"/>
  <c r="L3" i="15"/>
  <c r="K3" i="15"/>
  <c r="G3" i="15"/>
  <c r="K21" i="14"/>
  <c r="L21" i="14"/>
  <c r="M21" i="14"/>
  <c r="N21" i="14"/>
  <c r="O21" i="14"/>
  <c r="L20" i="14"/>
  <c r="M20" i="14"/>
  <c r="N20" i="14"/>
  <c r="O20" i="14"/>
  <c r="K20" i="14"/>
  <c r="L19" i="14"/>
  <c r="M19" i="14"/>
  <c r="N19" i="14"/>
  <c r="O19" i="14"/>
  <c r="K19" i="14"/>
  <c r="K15" i="14"/>
  <c r="J21" i="14"/>
  <c r="K16" i="14"/>
  <c r="J20" i="14"/>
  <c r="J19" i="14"/>
  <c r="G27" i="14"/>
  <c r="G26" i="14"/>
  <c r="G25" i="14"/>
  <c r="G24" i="14"/>
  <c r="G23" i="14"/>
  <c r="G22" i="14"/>
  <c r="G21" i="14"/>
  <c r="G20" i="14"/>
  <c r="G19" i="14"/>
  <c r="G18" i="14"/>
  <c r="O17" i="14"/>
  <c r="M17" i="14"/>
  <c r="G17" i="14"/>
  <c r="L17" i="14" s="1"/>
  <c r="O16" i="14"/>
  <c r="G16" i="14"/>
  <c r="O15" i="14"/>
  <c r="G15" i="14"/>
  <c r="G14" i="14"/>
  <c r="L13" i="14"/>
  <c r="G13" i="14"/>
  <c r="O12" i="14"/>
  <c r="G12" i="14"/>
  <c r="O11" i="14"/>
  <c r="G11" i="14"/>
  <c r="G10" i="14"/>
  <c r="O9" i="14"/>
  <c r="N9" i="14"/>
  <c r="M9" i="14"/>
  <c r="L9" i="14"/>
  <c r="G9" i="14"/>
  <c r="O8" i="14"/>
  <c r="N8" i="14"/>
  <c r="G8" i="14"/>
  <c r="O7" i="14"/>
  <c r="N7" i="14"/>
  <c r="G7" i="14"/>
  <c r="G6" i="14"/>
  <c r="O5" i="14"/>
  <c r="N5" i="14"/>
  <c r="M5" i="14"/>
  <c r="L5" i="14"/>
  <c r="K5" i="14"/>
  <c r="J5" i="14"/>
  <c r="G5" i="14"/>
  <c r="O4" i="14"/>
  <c r="N4" i="14"/>
  <c r="M4" i="14"/>
  <c r="L4" i="14"/>
  <c r="K4" i="14"/>
  <c r="J4" i="14"/>
  <c r="G4" i="14"/>
  <c r="O3" i="14"/>
  <c r="N3" i="14"/>
  <c r="M3" i="14"/>
  <c r="L3" i="14"/>
  <c r="K3" i="14"/>
  <c r="J3" i="14"/>
  <c r="G3" i="14"/>
  <c r="L17" i="13"/>
  <c r="M17" i="13"/>
  <c r="N17" i="13"/>
  <c r="O17" i="13"/>
  <c r="K17" i="13"/>
  <c r="L16" i="13"/>
  <c r="K16" i="13"/>
  <c r="M16" i="13"/>
  <c r="N16" i="13"/>
  <c r="O16" i="13"/>
  <c r="L15" i="13"/>
  <c r="M15" i="13"/>
  <c r="N15" i="13"/>
  <c r="O15" i="13"/>
  <c r="K15" i="13"/>
  <c r="J17" i="13"/>
  <c r="J16" i="13"/>
  <c r="J15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L13" i="13"/>
  <c r="G13" i="13"/>
  <c r="O12" i="13"/>
  <c r="G12" i="13"/>
  <c r="O11" i="13"/>
  <c r="G11" i="13"/>
  <c r="N13" i="13" s="1"/>
  <c r="G10" i="13"/>
  <c r="O9" i="13"/>
  <c r="N9" i="13"/>
  <c r="M9" i="13"/>
  <c r="L9" i="13"/>
  <c r="G9" i="13"/>
  <c r="O8" i="13"/>
  <c r="N8" i="13"/>
  <c r="G8" i="13"/>
  <c r="O7" i="13"/>
  <c r="N7" i="13"/>
  <c r="G7" i="13"/>
  <c r="G6" i="13"/>
  <c r="O5" i="13"/>
  <c r="N5" i="13"/>
  <c r="M5" i="13"/>
  <c r="L5" i="13"/>
  <c r="K5" i="13"/>
  <c r="J5" i="13"/>
  <c r="G5" i="13"/>
  <c r="O4" i="13"/>
  <c r="N4" i="13"/>
  <c r="M4" i="13"/>
  <c r="L4" i="13"/>
  <c r="K4" i="13"/>
  <c r="J4" i="13"/>
  <c r="G4" i="13"/>
  <c r="O3" i="13"/>
  <c r="N3" i="13"/>
  <c r="M3" i="13"/>
  <c r="L3" i="13"/>
  <c r="K3" i="13"/>
  <c r="J3" i="13"/>
  <c r="G3" i="13"/>
  <c r="K13" i="12"/>
  <c r="L13" i="12"/>
  <c r="N13" i="12"/>
  <c r="L12" i="12"/>
  <c r="M12" i="12"/>
  <c r="N12" i="12"/>
  <c r="O12" i="12"/>
  <c r="K12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O11" i="12"/>
  <c r="G11" i="12"/>
  <c r="G10" i="12"/>
  <c r="O9" i="12"/>
  <c r="N9" i="12"/>
  <c r="M9" i="12"/>
  <c r="L9" i="12"/>
  <c r="G9" i="12"/>
  <c r="N11" i="12" s="1"/>
  <c r="O8" i="12"/>
  <c r="N8" i="12"/>
  <c r="G8" i="12"/>
  <c r="O7" i="12"/>
  <c r="N7" i="12"/>
  <c r="G7" i="12"/>
  <c r="G6" i="12"/>
  <c r="O5" i="12"/>
  <c r="N5" i="12"/>
  <c r="M5" i="12"/>
  <c r="L5" i="12"/>
  <c r="K5" i="12"/>
  <c r="J5" i="12"/>
  <c r="G5" i="12"/>
  <c r="O4" i="12"/>
  <c r="N4" i="12"/>
  <c r="M4" i="12"/>
  <c r="L4" i="12"/>
  <c r="K4" i="12"/>
  <c r="J4" i="12"/>
  <c r="G4" i="12"/>
  <c r="O3" i="12"/>
  <c r="N3" i="12"/>
  <c r="M3" i="12"/>
  <c r="L3" i="12"/>
  <c r="K3" i="12"/>
  <c r="J3" i="12"/>
  <c r="G3" i="12"/>
  <c r="L11" i="11"/>
  <c r="M11" i="11"/>
  <c r="N11" i="11"/>
  <c r="O11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O9" i="11"/>
  <c r="N9" i="11"/>
  <c r="M9" i="11"/>
  <c r="L9" i="11"/>
  <c r="G9" i="11"/>
  <c r="O8" i="11"/>
  <c r="N8" i="11"/>
  <c r="G8" i="11"/>
  <c r="O7" i="11"/>
  <c r="N7" i="11"/>
  <c r="G7" i="11"/>
  <c r="J13" i="11" s="1"/>
  <c r="G6" i="11"/>
  <c r="O5" i="11"/>
  <c r="N5" i="11"/>
  <c r="M5" i="11"/>
  <c r="L5" i="11"/>
  <c r="K5" i="11"/>
  <c r="J5" i="11"/>
  <c r="G5" i="11"/>
  <c r="O4" i="11"/>
  <c r="N4" i="11"/>
  <c r="M4" i="11"/>
  <c r="L4" i="11"/>
  <c r="K4" i="11"/>
  <c r="J4" i="11"/>
  <c r="G4" i="11"/>
  <c r="O3" i="11"/>
  <c r="N3" i="11"/>
  <c r="M3" i="11"/>
  <c r="L3" i="11"/>
  <c r="K3" i="11"/>
  <c r="J3" i="11"/>
  <c r="G3" i="11"/>
  <c r="K8" i="9"/>
  <c r="K9" i="9"/>
  <c r="L9" i="9"/>
  <c r="L8" i="9"/>
  <c r="M8" i="9"/>
  <c r="N8" i="9"/>
  <c r="O8" i="9"/>
  <c r="M9" i="9"/>
  <c r="N9" i="9"/>
  <c r="O9" i="9"/>
  <c r="L7" i="9"/>
  <c r="M7" i="9"/>
  <c r="N7" i="9"/>
  <c r="O7" i="9"/>
  <c r="K7" i="9"/>
  <c r="K4" i="9"/>
  <c r="L4" i="9"/>
  <c r="K5" i="9"/>
  <c r="M4" i="9"/>
  <c r="N4" i="9"/>
  <c r="O4" i="9"/>
  <c r="L5" i="9"/>
  <c r="J8" i="9"/>
  <c r="J9" i="9"/>
  <c r="J7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O5" i="9"/>
  <c r="N5" i="9"/>
  <c r="M5" i="9"/>
  <c r="J5" i="9"/>
  <c r="G5" i="9"/>
  <c r="J4" i="9"/>
  <c r="G4" i="9"/>
  <c r="O3" i="9"/>
  <c r="N3" i="9"/>
  <c r="M3" i="9"/>
  <c r="L3" i="9"/>
  <c r="K3" i="9"/>
  <c r="J3" i="9"/>
  <c r="G3" i="9"/>
  <c r="J3" i="7"/>
  <c r="L4" i="7"/>
  <c r="M4" i="7"/>
  <c r="N4" i="7"/>
  <c r="O4" i="7"/>
  <c r="L5" i="7"/>
  <c r="M5" i="7"/>
  <c r="N5" i="7"/>
  <c r="O5" i="7"/>
  <c r="K5" i="7"/>
  <c r="K4" i="7"/>
  <c r="L3" i="7"/>
  <c r="M3" i="7"/>
  <c r="N3" i="7"/>
  <c r="O3" i="7"/>
  <c r="K3" i="7"/>
  <c r="J5" i="7"/>
  <c r="J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3" i="7"/>
  <c r="H5" i="6"/>
  <c r="H4" i="6"/>
  <c r="H3" i="6"/>
  <c r="F11" i="6"/>
  <c r="F10" i="6"/>
  <c r="G5" i="6"/>
  <c r="G4" i="6"/>
  <c r="G3" i="6"/>
  <c r="H21" i="2"/>
  <c r="H20" i="2"/>
  <c r="G5" i="2"/>
  <c r="G4" i="2"/>
  <c r="G10" i="2"/>
  <c r="G3" i="2"/>
  <c r="G18" i="2"/>
  <c r="G17" i="2"/>
  <c r="G16" i="2"/>
  <c r="G14" i="2"/>
  <c r="G13" i="2"/>
  <c r="G12" i="2"/>
  <c r="G11" i="2"/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G29" i="24"/>
  <c r="H3" i="24"/>
  <c r="H8" i="24"/>
  <c r="H13" i="24"/>
  <c r="H14" i="24"/>
  <c r="H4" i="24"/>
  <c r="H9" i="24"/>
  <c r="H15" i="24"/>
  <c r="H5" i="24"/>
  <c r="H10" i="24"/>
  <c r="H16" i="24"/>
  <c r="H17" i="24"/>
  <c r="H6" i="24"/>
  <c r="H11" i="24"/>
  <c r="H18" i="24"/>
  <c r="H19" i="24"/>
  <c r="H20" i="24"/>
  <c r="H21" i="24"/>
  <c r="H22" i="24"/>
  <c r="H23" i="24"/>
  <c r="H7" i="24"/>
  <c r="H12" i="24"/>
  <c r="H24" i="24"/>
  <c r="H25" i="24"/>
  <c r="H26" i="24"/>
  <c r="H27" i="24"/>
  <c r="D20" i="22"/>
  <c r="D19" i="22"/>
  <c r="D16" i="22"/>
  <c r="D15" i="22"/>
  <c r="D12" i="22"/>
  <c r="D11" i="22"/>
  <c r="D8" i="22"/>
  <c r="D7" i="22"/>
  <c r="E20" i="22"/>
  <c r="E19" i="22"/>
  <c r="E16" i="22"/>
  <c r="E15" i="22"/>
  <c r="E12" i="22"/>
  <c r="E11" i="22"/>
  <c r="E8" i="22"/>
  <c r="E7" i="22"/>
  <c r="F20" i="22"/>
  <c r="C20" i="22"/>
  <c r="F19" i="22"/>
  <c r="C19" i="22"/>
  <c r="F16" i="22"/>
  <c r="C16" i="22"/>
  <c r="F15" i="22"/>
  <c r="C15" i="22"/>
  <c r="F12" i="22"/>
  <c r="C12" i="22"/>
  <c r="F11" i="22"/>
  <c r="C11" i="22"/>
  <c r="F8" i="22"/>
  <c r="C8" i="22"/>
  <c r="F7" i="22"/>
  <c r="C7" i="22"/>
  <c r="D21" i="22"/>
  <c r="D17" i="22"/>
  <c r="D13" i="22"/>
  <c r="D9" i="22"/>
  <c r="G20" i="22"/>
  <c r="G19" i="22"/>
  <c r="G16" i="22"/>
  <c r="G15" i="22"/>
  <c r="G12" i="22"/>
  <c r="G11" i="22"/>
  <c r="G8" i="22"/>
  <c r="G7" i="22"/>
  <c r="G21" i="22"/>
  <c r="G17" i="22"/>
  <c r="G13" i="22"/>
  <c r="G9" i="22"/>
  <c r="E21" i="22"/>
  <c r="C21" i="22"/>
  <c r="E17" i="22"/>
  <c r="C17" i="22"/>
  <c r="E13" i="22"/>
  <c r="C13" i="22"/>
  <c r="E9" i="22"/>
  <c r="C9" i="22"/>
  <c r="H20" i="22"/>
  <c r="H19" i="22"/>
  <c r="H16" i="22"/>
  <c r="H15" i="22"/>
  <c r="H12" i="22"/>
  <c r="H11" i="22"/>
  <c r="H8" i="22"/>
  <c r="H7" i="22"/>
  <c r="G29" i="21"/>
  <c r="H14" i="21"/>
  <c r="H10" i="21"/>
  <c r="H3" i="21"/>
  <c r="H15" i="21"/>
  <c r="H19" i="21"/>
  <c r="H4" i="21"/>
  <c r="H22" i="21"/>
  <c r="H6" i="21"/>
  <c r="H24" i="21"/>
  <c r="H5" i="21"/>
  <c r="H25" i="21"/>
  <c r="H17" i="21"/>
  <c r="H20" i="21"/>
  <c r="H11" i="21"/>
  <c r="H12" i="21"/>
  <c r="H7" i="21"/>
  <c r="H16" i="21"/>
  <c r="H13" i="21"/>
  <c r="H18" i="21"/>
  <c r="H9" i="21"/>
  <c r="H21" i="21"/>
  <c r="H23" i="21"/>
  <c r="H8" i="21"/>
  <c r="H26" i="21"/>
  <c r="H27" i="21"/>
  <c r="L20" i="17"/>
  <c r="K20" i="17"/>
  <c r="L19" i="17"/>
  <c r="L16" i="17"/>
  <c r="K16" i="17"/>
  <c r="L15" i="17"/>
  <c r="L12" i="17"/>
  <c r="K12" i="17"/>
  <c r="L11" i="17"/>
  <c r="L8" i="17"/>
  <c r="K8" i="17"/>
  <c r="L7" i="17"/>
  <c r="M20" i="17"/>
  <c r="M19" i="17"/>
  <c r="M16" i="17"/>
  <c r="M15" i="17"/>
  <c r="M12" i="17"/>
  <c r="M11" i="17"/>
  <c r="M8" i="17"/>
  <c r="M7" i="17"/>
  <c r="N20" i="17"/>
  <c r="N19" i="17"/>
  <c r="N16" i="17"/>
  <c r="N15" i="17"/>
  <c r="N12" i="17"/>
  <c r="N11" i="17"/>
  <c r="N8" i="17"/>
  <c r="N7" i="17"/>
  <c r="L21" i="17"/>
  <c r="K21" i="17"/>
  <c r="L17" i="17"/>
  <c r="K17" i="17"/>
  <c r="L13" i="17"/>
  <c r="K13" i="17"/>
  <c r="L9" i="17"/>
  <c r="K9" i="17"/>
  <c r="O8" i="17"/>
  <c r="O7" i="17"/>
  <c r="O20" i="17"/>
  <c r="O19" i="17"/>
  <c r="O16" i="17"/>
  <c r="O15" i="17"/>
  <c r="O12" i="17"/>
  <c r="O11" i="17"/>
  <c r="O9" i="17"/>
  <c r="O21" i="17"/>
  <c r="O17" i="17"/>
  <c r="O13" i="17"/>
  <c r="M13" i="17"/>
  <c r="M9" i="17"/>
  <c r="M21" i="17"/>
  <c r="M17" i="17"/>
  <c r="P16" i="17"/>
  <c r="P15" i="17"/>
  <c r="P12" i="17"/>
  <c r="P11" i="17"/>
  <c r="P8" i="17"/>
  <c r="P7" i="17"/>
  <c r="P20" i="17"/>
  <c r="P19" i="17"/>
  <c r="G29" i="18"/>
  <c r="L20" i="18"/>
  <c r="K20" i="18"/>
  <c r="L19" i="18"/>
  <c r="K19" i="18"/>
  <c r="L16" i="18"/>
  <c r="K16" i="18"/>
  <c r="L15" i="18"/>
  <c r="K15" i="18"/>
  <c r="L12" i="18"/>
  <c r="K12" i="18"/>
  <c r="L11" i="18"/>
  <c r="K11" i="18"/>
  <c r="L8" i="18"/>
  <c r="K8" i="18"/>
  <c r="L7" i="18"/>
  <c r="K7" i="18"/>
  <c r="H3" i="18"/>
  <c r="M20" i="18"/>
  <c r="M19" i="18"/>
  <c r="M16" i="18"/>
  <c r="M15" i="18"/>
  <c r="M12" i="18"/>
  <c r="M11" i="18"/>
  <c r="M8" i="18"/>
  <c r="M7" i="18"/>
  <c r="H4" i="18"/>
  <c r="N20" i="18"/>
  <c r="N19" i="18"/>
  <c r="N16" i="18"/>
  <c r="N15" i="18"/>
  <c r="N12" i="18"/>
  <c r="N11" i="18"/>
  <c r="N8" i="18"/>
  <c r="N7" i="18"/>
  <c r="H5" i="18"/>
  <c r="H6" i="18"/>
  <c r="L21" i="18"/>
  <c r="K21" i="18"/>
  <c r="L17" i="18"/>
  <c r="K17" i="18"/>
  <c r="L13" i="18"/>
  <c r="K13" i="18"/>
  <c r="L9" i="18"/>
  <c r="K9" i="18"/>
  <c r="H7" i="18"/>
  <c r="H8" i="18"/>
  <c r="O20" i="18"/>
  <c r="O19" i="18"/>
  <c r="O16" i="18"/>
  <c r="O15" i="18"/>
  <c r="O12" i="18"/>
  <c r="O11" i="18"/>
  <c r="H9" i="18"/>
  <c r="H10" i="18"/>
  <c r="O21" i="18"/>
  <c r="O17" i="18"/>
  <c r="O13" i="18"/>
  <c r="H11" i="18"/>
  <c r="H12" i="18"/>
  <c r="H13" i="18"/>
  <c r="H14" i="18"/>
  <c r="H15" i="18"/>
  <c r="H16" i="18"/>
  <c r="M21" i="18"/>
  <c r="M17" i="18"/>
  <c r="H17" i="18"/>
  <c r="P20" i="18"/>
  <c r="P19" i="18"/>
  <c r="H18" i="18"/>
  <c r="H19" i="18"/>
  <c r="H20" i="18"/>
  <c r="H21" i="18"/>
  <c r="H22" i="18"/>
  <c r="H23" i="18"/>
  <c r="H24" i="18"/>
  <c r="H25" i="18"/>
  <c r="H26" i="18"/>
  <c r="H27" i="18"/>
  <c r="G29" i="17"/>
  <c r="K19" i="17"/>
  <c r="K15" i="17"/>
  <c r="K11" i="17"/>
  <c r="K7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G28" i="16"/>
  <c r="L20" i="16"/>
  <c r="K20" i="16"/>
  <c r="L19" i="16"/>
  <c r="K19" i="16"/>
  <c r="L16" i="16"/>
  <c r="K16" i="16"/>
  <c r="L15" i="16"/>
  <c r="K15" i="16"/>
  <c r="L12" i="16"/>
  <c r="K12" i="16"/>
  <c r="L11" i="16"/>
  <c r="K11" i="16"/>
  <c r="L8" i="16"/>
  <c r="K8" i="16"/>
  <c r="L7" i="16"/>
  <c r="K7" i="16"/>
  <c r="H3" i="16"/>
  <c r="M20" i="16"/>
  <c r="M19" i="16"/>
  <c r="M16" i="16"/>
  <c r="M15" i="16"/>
  <c r="M12" i="16"/>
  <c r="M11" i="16"/>
  <c r="M8" i="16"/>
  <c r="M7" i="16"/>
  <c r="H4" i="16"/>
  <c r="N20" i="16"/>
  <c r="N19" i="16"/>
  <c r="N16" i="16"/>
  <c r="N15" i="16"/>
  <c r="N12" i="16"/>
  <c r="N11" i="16"/>
  <c r="N8" i="16"/>
  <c r="N7" i="16"/>
  <c r="H5" i="16"/>
  <c r="H6" i="16"/>
  <c r="L21" i="16"/>
  <c r="K21" i="16"/>
  <c r="L17" i="16"/>
  <c r="K17" i="16"/>
  <c r="L13" i="16"/>
  <c r="K13" i="16"/>
  <c r="L9" i="16"/>
  <c r="K9" i="16"/>
  <c r="H7" i="16"/>
  <c r="H8" i="16"/>
  <c r="O20" i="16"/>
  <c r="O19" i="16"/>
  <c r="O16" i="16"/>
  <c r="O15" i="16"/>
  <c r="O12" i="16"/>
  <c r="O11" i="16"/>
  <c r="H9" i="16"/>
  <c r="H10" i="16"/>
  <c r="O21" i="16"/>
  <c r="O17" i="16"/>
  <c r="O13" i="16"/>
  <c r="H11" i="16"/>
  <c r="H12" i="16"/>
  <c r="H13" i="16"/>
  <c r="H14" i="16"/>
  <c r="H15" i="16"/>
  <c r="H16" i="16"/>
  <c r="M21" i="16"/>
  <c r="M17" i="16"/>
  <c r="H17" i="16"/>
  <c r="P20" i="16"/>
  <c r="P19" i="16"/>
  <c r="H18" i="16"/>
  <c r="H19" i="16"/>
  <c r="H20" i="16"/>
  <c r="H21" i="16"/>
  <c r="H22" i="16"/>
  <c r="H23" i="16"/>
  <c r="H24" i="16"/>
  <c r="H25" i="16"/>
  <c r="H26" i="16"/>
  <c r="H27" i="16"/>
  <c r="L20" i="15"/>
  <c r="K20" i="15"/>
  <c r="L19" i="15"/>
  <c r="K19" i="15"/>
  <c r="L16" i="15"/>
  <c r="K16" i="15"/>
  <c r="L15" i="15"/>
  <c r="K15" i="15"/>
  <c r="L12" i="15"/>
  <c r="K12" i="15"/>
  <c r="L11" i="15"/>
  <c r="K11" i="15"/>
  <c r="L8" i="15"/>
  <c r="K8" i="15"/>
  <c r="L7" i="15"/>
  <c r="K7" i="15"/>
  <c r="M20" i="15"/>
  <c r="M19" i="15"/>
  <c r="M16" i="15"/>
  <c r="M15" i="15"/>
  <c r="M12" i="15"/>
  <c r="M11" i="15"/>
  <c r="M8" i="15"/>
  <c r="M7" i="15"/>
  <c r="N20" i="15"/>
  <c r="N19" i="15"/>
  <c r="N16" i="15"/>
  <c r="N15" i="15"/>
  <c r="N12" i="15"/>
  <c r="N11" i="15"/>
  <c r="N8" i="15"/>
  <c r="N7" i="15"/>
  <c r="L21" i="15"/>
  <c r="K21" i="15"/>
  <c r="L17" i="15"/>
  <c r="K17" i="15"/>
  <c r="L13" i="15"/>
  <c r="K13" i="15"/>
  <c r="L9" i="15"/>
  <c r="K9" i="15"/>
  <c r="O20" i="15"/>
  <c r="O19" i="15"/>
  <c r="O16" i="15"/>
  <c r="O15" i="15"/>
  <c r="O12" i="15"/>
  <c r="O11" i="15"/>
  <c r="O21" i="15"/>
  <c r="O17" i="15"/>
  <c r="O13" i="15"/>
  <c r="M21" i="15"/>
  <c r="M17" i="15"/>
  <c r="P20" i="15"/>
  <c r="P19" i="15"/>
  <c r="J16" i="14"/>
  <c r="J15" i="14"/>
  <c r="K12" i="14"/>
  <c r="J12" i="14"/>
  <c r="K11" i="14"/>
  <c r="J11" i="14"/>
  <c r="K8" i="14"/>
  <c r="J8" i="14"/>
  <c r="K7" i="14"/>
  <c r="J7" i="14"/>
  <c r="L16" i="14"/>
  <c r="L15" i="14"/>
  <c r="L12" i="14"/>
  <c r="L11" i="14"/>
  <c r="L8" i="14"/>
  <c r="L7" i="14"/>
  <c r="M16" i="14"/>
  <c r="M15" i="14"/>
  <c r="M12" i="14"/>
  <c r="M11" i="14"/>
  <c r="M8" i="14"/>
  <c r="M7" i="14"/>
  <c r="K17" i="14"/>
  <c r="J17" i="14"/>
  <c r="K13" i="14"/>
  <c r="J13" i="14"/>
  <c r="K9" i="14"/>
  <c r="J9" i="14"/>
  <c r="N16" i="14"/>
  <c r="N15" i="14"/>
  <c r="N12" i="14"/>
  <c r="N11" i="14"/>
  <c r="N17" i="14"/>
  <c r="N13" i="14"/>
  <c r="K12" i="13"/>
  <c r="J12" i="13"/>
  <c r="K11" i="13"/>
  <c r="J11" i="13"/>
  <c r="K8" i="13"/>
  <c r="J8" i="13"/>
  <c r="K7" i="13"/>
  <c r="J7" i="13"/>
  <c r="L12" i="13"/>
  <c r="L11" i="13"/>
  <c r="L8" i="13"/>
  <c r="L7" i="13"/>
  <c r="M12" i="13"/>
  <c r="M11" i="13"/>
  <c r="M8" i="13"/>
  <c r="M7" i="13"/>
  <c r="K13" i="13"/>
  <c r="J13" i="13"/>
  <c r="K9" i="13"/>
  <c r="J9" i="13"/>
  <c r="N12" i="13"/>
  <c r="N11" i="13"/>
  <c r="J12" i="12"/>
  <c r="K11" i="12"/>
  <c r="J11" i="12"/>
  <c r="K8" i="12"/>
  <c r="J8" i="12"/>
  <c r="K7" i="12"/>
  <c r="J7" i="12"/>
  <c r="L11" i="12"/>
  <c r="L8" i="12"/>
  <c r="L7" i="12"/>
  <c r="M11" i="12"/>
  <c r="M8" i="12"/>
  <c r="M7" i="12"/>
  <c r="J13" i="12"/>
  <c r="K9" i="12"/>
  <c r="J9" i="12"/>
  <c r="K11" i="11"/>
  <c r="J12" i="11"/>
  <c r="J11" i="11"/>
  <c r="K8" i="11"/>
  <c r="J8" i="11"/>
  <c r="K7" i="11"/>
  <c r="J7" i="11"/>
  <c r="L8" i="11"/>
  <c r="L7" i="11"/>
  <c r="M8" i="11"/>
  <c r="M7" i="11"/>
  <c r="K9" i="11"/>
  <c r="J9" i="11"/>
</calcChain>
</file>

<file path=xl/sharedStrings.xml><?xml version="1.0" encoding="utf-8"?>
<sst xmlns="http://schemas.openxmlformats.org/spreadsheetml/2006/main" count="1363" uniqueCount="108">
  <si>
    <t>BEDMAS Approach</t>
  </si>
  <si>
    <r>
      <rPr>
        <b/>
        <sz val="14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rackets</t>
    </r>
  </si>
  <si>
    <r>
      <rPr>
        <b/>
        <sz val="14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ubstraction</t>
    </r>
  </si>
  <si>
    <r>
      <rPr>
        <b/>
        <sz val="14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ddition</t>
    </r>
  </si>
  <si>
    <r>
      <rPr>
        <b/>
        <sz val="14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ultiplication</t>
    </r>
  </si>
  <si>
    <r>
      <rPr>
        <b/>
        <sz val="14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ivision</t>
    </r>
  </si>
  <si>
    <r>
      <rPr>
        <b/>
        <sz val="14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xponentials</t>
    </r>
  </si>
  <si>
    <t>8*10/4^2-10/(10-3*2)+5/5*1</t>
  </si>
  <si>
    <r>
      <t>8*10/4^2-10/(10-</t>
    </r>
    <r>
      <rPr>
        <b/>
        <sz val="14"/>
        <color theme="5" tint="-0.249977111117893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)+5/5*1</t>
    </r>
  </si>
  <si>
    <r>
      <t>8*10/4^2-10/</t>
    </r>
    <r>
      <rPr>
        <b/>
        <sz val="14"/>
        <color theme="5" tint="-0.249977111117893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+5/5*1</t>
    </r>
  </si>
  <si>
    <r>
      <t>8*10/</t>
    </r>
    <r>
      <rPr>
        <b/>
        <sz val="14"/>
        <color theme="5" tint="-0.249977111117893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-10/</t>
    </r>
    <r>
      <rPr>
        <sz val="1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+5/5*1</t>
    </r>
  </si>
  <si>
    <r>
      <t>8*</t>
    </r>
    <r>
      <rPr>
        <b/>
        <sz val="14"/>
        <color theme="5" tint="-0.249977111117893"/>
        <rFont val="Calibri"/>
        <family val="2"/>
        <scheme val="minor"/>
      </rPr>
      <t>0.625</t>
    </r>
    <r>
      <rPr>
        <sz val="11"/>
        <color theme="1"/>
        <rFont val="Calibri"/>
        <family val="2"/>
        <scheme val="minor"/>
      </rPr>
      <t>-</t>
    </r>
    <r>
      <rPr>
        <b/>
        <sz val="14"/>
        <color theme="8" tint="-0.249977111117893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>+</t>
    </r>
    <r>
      <rPr>
        <b/>
        <sz val="14"/>
        <color rgb="FF7030A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*1</t>
    </r>
  </si>
  <si>
    <r>
      <rPr>
        <b/>
        <sz val="14"/>
        <color theme="5" tint="-0.249977111117893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-2.5+</t>
    </r>
    <r>
      <rPr>
        <b/>
        <sz val="14"/>
        <color theme="8" tint="-0.249977111117893"/>
        <rFont val="Calibri"/>
        <family val="2"/>
        <scheme val="minor"/>
      </rPr>
      <t>1</t>
    </r>
  </si>
  <si>
    <r>
      <t>5-</t>
    </r>
    <r>
      <rPr>
        <b/>
        <sz val="14"/>
        <color theme="5" tint="-0.249977111117893"/>
        <rFont val="Calibri"/>
        <family val="2"/>
        <scheme val="minor"/>
      </rPr>
      <t>1.5</t>
    </r>
  </si>
  <si>
    <t>3.5</t>
  </si>
  <si>
    <t>Student Name</t>
  </si>
  <si>
    <t>Economics</t>
  </si>
  <si>
    <t>Statistics</t>
  </si>
  <si>
    <t>Accounting</t>
  </si>
  <si>
    <t>Jade Waters</t>
  </si>
  <si>
    <t>Sam Turner</t>
  </si>
  <si>
    <t>Steffi Fernando</t>
  </si>
  <si>
    <t>Passing Score</t>
  </si>
  <si>
    <t>Maximum Score</t>
  </si>
  <si>
    <t>How much did Jade Waters score overall?</t>
  </si>
  <si>
    <t>Did Sam Turner score more than Jade Waters in Economics?</t>
  </si>
  <si>
    <t>Did Sam Turner score more than Jade Waters in Accounting?</t>
  </si>
  <si>
    <t>Philosophy</t>
  </si>
  <si>
    <t>Did Sam Turner score more than Jade Waters in Philosophy?</t>
  </si>
  <si>
    <t>Did Sam Turner score atleast as much as Jade Waters in Philosophy?</t>
  </si>
  <si>
    <t>Did Sam Turner pass in Statistics?</t>
  </si>
  <si>
    <t>Did Jade Waters pass in Statistics?</t>
  </si>
  <si>
    <t>Did Sam Turner pass in Accounting?</t>
  </si>
  <si>
    <t>Overall difference between the highest scorer and the second highest scorer:</t>
  </si>
  <si>
    <t>Total</t>
  </si>
  <si>
    <t>How much is Sam short of as compared to Steffi's score?</t>
  </si>
  <si>
    <t>What is the status of Jade Waters in Statistics?</t>
  </si>
  <si>
    <t>What is the status of Sam Turner in Accounting?</t>
  </si>
  <si>
    <t>Nesting of Functions</t>
  </si>
  <si>
    <t>IF(F3&gt;=C7;"Pass";"Fail)</t>
  </si>
  <si>
    <t>IF(E3&gt;=C7;</t>
  </si>
  <si>
    <t>IF(D3&gt;=C7;</t>
  </si>
  <si>
    <t>IF(C3=C7;</t>
  </si>
  <si>
    <t>"Fail");</t>
  </si>
  <si>
    <t>"Fail")</t>
  </si>
  <si>
    <t xml:space="preserve"> </t>
  </si>
  <si>
    <t>if this one's true, move on to the next condition</t>
  </si>
  <si>
    <t>if this one's true, the result would be "Pass"</t>
  </si>
  <si>
    <t>if this first condition is false</t>
  </si>
  <si>
    <t>if this second condition is false</t>
  </si>
  <si>
    <t>if this third condition is false</t>
  </si>
  <si>
    <t>Example from cell H3:</t>
  </si>
  <si>
    <t>S. No</t>
  </si>
  <si>
    <t xml:space="preserve">Name </t>
  </si>
  <si>
    <t>Department</t>
  </si>
  <si>
    <t>Monthly Salary ($)</t>
  </si>
  <si>
    <t>McGill, Bruce</t>
  </si>
  <si>
    <t>Marketing</t>
  </si>
  <si>
    <t>Payroll</t>
  </si>
  <si>
    <t>Suarez, Jacob Michael</t>
  </si>
  <si>
    <t>IT</t>
  </si>
  <si>
    <t>Huffman, Melvin</t>
  </si>
  <si>
    <t>Finance</t>
  </si>
  <si>
    <t>Jordan, Alicia Mary</t>
  </si>
  <si>
    <t>West, Paul</t>
  </si>
  <si>
    <t>Taylor, Hannah</t>
  </si>
  <si>
    <t>Carlson, Sarah Olive</t>
  </si>
  <si>
    <t>Newman, Abbott</t>
  </si>
  <si>
    <t>Summers, Abel Everett</t>
  </si>
  <si>
    <t>Becker, Lucy Jude</t>
  </si>
  <si>
    <t>Reilly, Jack</t>
  </si>
  <si>
    <t>Hahn, Aaron</t>
  </si>
  <si>
    <t>Kent, Grace Suzan</t>
  </si>
  <si>
    <t>Kirby, Paxton</t>
  </si>
  <si>
    <t>Russo, Malcolm</t>
  </si>
  <si>
    <t>Frost, Alexandra</t>
  </si>
  <si>
    <t>Reid, Alice Elaine</t>
  </si>
  <si>
    <t>Day, Lydia Allison</t>
  </si>
  <si>
    <t>McNeil, Tony</t>
  </si>
  <si>
    <t>Ramos, James</t>
  </si>
  <si>
    <t>Tanner, Louis</t>
  </si>
  <si>
    <t>Byrne, Ayisha Jule</t>
  </si>
  <si>
    <t>Chase, Ruby Mae</t>
  </si>
  <si>
    <t>Craig, Raphael</t>
  </si>
  <si>
    <t>Stevens, Terri</t>
  </si>
  <si>
    <t>Support</t>
  </si>
  <si>
    <t>Human Resource</t>
  </si>
  <si>
    <t>Contract</t>
  </si>
  <si>
    <t>Engagement Type</t>
  </si>
  <si>
    <t>Date of Joining</t>
  </si>
  <si>
    <t>Annual Salary ($)</t>
  </si>
  <si>
    <t>Overall</t>
  </si>
  <si>
    <t>Employee Count</t>
  </si>
  <si>
    <t>COUNT can only count numbers</t>
  </si>
  <si>
    <t>COUNT A can count anything</t>
  </si>
  <si>
    <t>COUNTIF for only one criteria</t>
  </si>
  <si>
    <t>COUNTIFS for more than one criteria</t>
  </si>
  <si>
    <t>Salaries</t>
  </si>
  <si>
    <t>K$2 = LOCK THE ROW (Supaya tidak berubah saat drag vertikal)</t>
  </si>
  <si>
    <t>$I18 = LOCK THE COLUMN (Supaya tidak berubah saat drag horizontal)</t>
  </si>
  <si>
    <t>Average Salaries</t>
  </si>
  <si>
    <t>Max Salary</t>
  </si>
  <si>
    <t>Minimum Salary</t>
  </si>
  <si>
    <t>Maximum Salary</t>
  </si>
  <si>
    <t>% of Total Annual Salary</t>
  </si>
  <si>
    <t>use Fn+F2 to enter edit mode</t>
  </si>
  <si>
    <t>green = within the budget (very much affordable)</t>
  </si>
  <si>
    <t>color coding can help you with your company's salary 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</si>
</sst>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yy"/>
  </numFmts>
  <fonts count="15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0" tint="-0.149967955565050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2" fillId="0" borderId="0" xfId="0" applyFont="1"/>
    <xf numFmtId="0" fontId="9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3" fontId="0" fillId="0" borderId="1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/>
    <xf numFmtId="0" fontId="0" fillId="0" borderId="0" xfId="0" applyAlignment="1">
      <alignment horizontal="left" indent="2"/>
    </xf>
    <xf numFmtId="0" fontId="4" fillId="0" borderId="0" xfId="0" applyFont="1"/>
    <xf numFmtId="0" fontId="4" fillId="0" borderId="0" xfId="0" applyFont="1" applyAlignment="1">
      <alignment horizontal="left" indent="2"/>
    </xf>
    <xf numFmtId="0" fontId="11" fillId="0" borderId="0" xfId="0" applyFont="1"/>
    <xf numFmtId="3" fontId="4" fillId="0" borderId="0" xfId="0" applyNumberFormat="1" applyFont="1"/>
    <xf numFmtId="4" fontId="4" fillId="0" borderId="0" xfId="0" applyNumberFormat="1" applyFont="1"/>
    <xf numFmtId="4" fontId="11" fillId="0" borderId="0" xfId="0" applyNumberFormat="1" applyFont="1"/>
    <xf numFmtId="3" fontId="11" fillId="0" borderId="0" xfId="0" applyNumberFormat="1" applyFont="1"/>
    <xf numFmtId="0" fontId="7" fillId="0" borderId="0" xfId="0" applyFont="1" applyAlignment="1">
      <alignment horizontal="left" indent="2"/>
    </xf>
    <xf numFmtId="0" fontId="11" fillId="0" borderId="0" xfId="0" applyFont="1" applyAlignment="1">
      <alignment horizontal="left" indent="2"/>
    </xf>
    <xf numFmtId="0" fontId="11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left" indent="2"/>
    </xf>
    <xf numFmtId="4" fontId="4" fillId="2" borderId="0" xfId="0" applyNumberFormat="1" applyFont="1" applyFill="1"/>
    <xf numFmtId="0" fontId="4" fillId="2" borderId="0" xfId="0" applyFont="1" applyFill="1"/>
    <xf numFmtId="0" fontId="11" fillId="2" borderId="0" xfId="0" applyFont="1" applyFill="1" applyAlignment="1">
      <alignment horizontal="left" indent="2"/>
    </xf>
    <xf numFmtId="3" fontId="0" fillId="0" borderId="0" xfId="0" applyNumberFormat="1"/>
    <xf numFmtId="3" fontId="7" fillId="0" borderId="1" xfId="0" applyNumberFormat="1" applyFont="1" applyBorder="1"/>
    <xf numFmtId="10" fontId="0" fillId="0" borderId="0" xfId="0" applyNumberFormat="1"/>
    <xf numFmtId="10" fontId="10" fillId="0" borderId="0" xfId="0" applyNumberFormat="1" applyFont="1"/>
    <xf numFmtId="10" fontId="10" fillId="2" borderId="0" xfId="0" applyNumberFormat="1" applyFont="1" applyFill="1"/>
    <xf numFmtId="0" fontId="7" fillId="2" borderId="0" xfId="0" applyFont="1" applyFill="1"/>
    <xf numFmtId="10" fontId="0" fillId="2" borderId="0" xfId="0" applyNumberFormat="1" applyFill="1"/>
    <xf numFmtId="3" fontId="7" fillId="2" borderId="1" xfId="0" applyNumberFormat="1" applyFont="1" applyFill="1" applyBorder="1"/>
    <xf numFmtId="0" fontId="13" fillId="0" borderId="0" xfId="0" applyFont="1"/>
    <xf numFmtId="0" fontId="7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 indent="2"/>
    </xf>
    <xf numFmtId="4" fontId="4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1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11" fillId="4" borderId="1" xfId="0" applyFont="1" applyFill="1" applyBorder="1"/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3" fontId="0" fillId="4" borderId="1" xfId="0" applyNumberFormat="1" applyFill="1" applyBorder="1"/>
    <xf numFmtId="4" fontId="0" fillId="0" borderId="1" xfId="0" applyNumberFormat="1" applyBorder="1"/>
    <xf numFmtId="4" fontId="0" fillId="4" borderId="1" xfId="0" applyNumberFormat="1" applyFill="1" applyBorder="1"/>
    <xf numFmtId="0" fontId="14" fillId="5" borderId="5" xfId="0" applyFont="1" applyFill="1" applyBorder="1" applyAlignment="1">
      <alignment horizontal="left" wrapText="1"/>
    </xf>
    <xf numFmtId="0" fontId="14" fillId="5" borderId="6" xfId="0" applyFont="1" applyFill="1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64" fontId="0" fillId="4" borderId="5" xfId="0" applyNumberFormat="1" applyFill="1" applyBorder="1"/>
    <xf numFmtId="3" fontId="0" fillId="4" borderId="5" xfId="0" applyNumberFormat="1" applyFill="1" applyBorder="1"/>
    <xf numFmtId="10" fontId="0" fillId="4" borderId="6" xfId="0" applyNumberForma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3" fontId="0" fillId="0" borderId="5" xfId="0" applyNumberFormat="1" applyBorder="1"/>
    <xf numFmtId="10" fontId="0" fillId="0" borderId="6" xfId="0" applyNumberFormat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/>
    <xf numFmtId="3" fontId="0" fillId="4" borderId="2" xfId="0" applyNumberFormat="1" applyFill="1" applyBorder="1"/>
    <xf numFmtId="10" fontId="0" fillId="4" borderId="1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64" fontId="0" fillId="0" borderId="5" xfId="0" applyNumberFormat="1" applyFill="1" applyBorder="1"/>
    <xf numFmtId="3" fontId="0" fillId="0" borderId="5" xfId="0" applyNumberFormat="1" applyFill="1" applyBorder="1"/>
    <xf numFmtId="10" fontId="0" fillId="0" borderId="6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Fill="1" applyBorder="1"/>
    <xf numFmtId="3" fontId="0" fillId="0" borderId="2" xfId="0" applyNumberFormat="1" applyFill="1" applyBorder="1"/>
    <xf numFmtId="10" fontId="0" fillId="0" borderId="1" xfId="0" applyNumberFormat="1" applyFill="1" applyBorder="1"/>
    <xf numFmtId="0" fontId="0" fillId="6" borderId="5" xfId="0" applyFill="1" applyBorder="1"/>
    <xf numFmtId="164" fontId="0" fillId="6" borderId="5" xfId="0" applyNumberFormat="1" applyFill="1" applyBorder="1"/>
    <xf numFmtId="3" fontId="0" fillId="6" borderId="5" xfId="0" applyNumberFormat="1" applyFill="1" applyBorder="1"/>
    <xf numFmtId="10" fontId="0" fillId="6" borderId="6" xfId="0" applyNumberFormat="1" applyFill="1" applyBorder="1"/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164" fontId="0" fillId="7" borderId="5" xfId="0" applyNumberFormat="1" applyFill="1" applyBorder="1"/>
    <xf numFmtId="3" fontId="0" fillId="7" borderId="5" xfId="0" applyNumberFormat="1" applyFill="1" applyBorder="1"/>
    <xf numFmtId="10" fontId="0" fillId="7" borderId="6" xfId="0" applyNumberFormat="1" applyFill="1" applyBorder="1"/>
  </cellXfs>
  <cellStyles count="1">
    <cellStyle name="Normal" xfId="0" builtinId="0"/>
  </cellStyles>
  <dxfs count="20">
    <dxf>
      <font>
        <b/>
        <i val="0"/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 tint="-0.14996795556505021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numFmt numFmtId="14" formatCode="0.00%"/>
    </dxf>
    <dxf>
      <numFmt numFmtId="3" formatCode="#,##0"/>
    </dxf>
    <dxf>
      <numFmt numFmtId="3" formatCode="#,##0"/>
    </dxf>
    <dxf>
      <numFmt numFmtId="164" formatCode="dd\-mmm\-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MyTableStyle" pivot="0" count="4" xr9:uid="{3F2E0C0D-4E12-476A-9E49-2F2835D67BDB}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1E77F-08B8-4F59-9142-5C6E24B54C33}" name="Table2" displayName="Table2" ref="A2:H27" totalsRowShown="0" headerRowDxfId="19">
  <autoFilter ref="A2:H27" xr:uid="{4A71E77F-08B8-4F59-9142-5C6E24B54C33}"/>
  <tableColumns count="8">
    <tableColumn id="1" xr3:uid="{4BA1971D-0C51-482E-8FA5-9D74EC733B11}" name="S. No" dataDxfId="14"/>
    <tableColumn id="2" xr3:uid="{75AC8AFC-D1EF-4DC6-9815-341BBB1444A4}" name="Name "/>
    <tableColumn id="3" xr3:uid="{606349C6-5977-4148-A824-64AC280D46DC}" name="Department"/>
    <tableColumn id="4" xr3:uid="{9CA1F624-6910-451C-9BBF-C7BB6E21D99F}" name="Engagement Type"/>
    <tableColumn id="5" xr3:uid="{0A90E71E-4230-4D86-8BE2-B4D3E456B4D3}" name="Date of Joining" dataDxfId="18"/>
    <tableColumn id="6" xr3:uid="{A8A1F059-3AC0-4E3B-8FD8-76FDF05AE9E6}" name="Monthly Salary ($)" dataDxfId="17"/>
    <tableColumn id="7" xr3:uid="{949F1AE9-ED72-4FF4-92FB-05B80F8BF3BD}" name="Annual Salary ($)" dataDxfId="16">
      <calculatedColumnFormula>F3*12</calculatedColumnFormula>
    </tableColumn>
    <tableColumn id="8" xr3:uid="{AAF661F9-2F59-44E1-A4E6-43CB614EF70B}" name="% of Total Annual Salary" dataDxfId="15">
      <calculatedColumnFormula>G3/G$29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984E-5BF5-4896-9111-73A1109AEA72}">
  <dimension ref="A2:D10"/>
  <sheetViews>
    <sheetView showGridLines="0" workbookViewId="0">
      <selection activeCell="G8" sqref="G8"/>
    </sheetView>
  </sheetViews>
  <sheetFormatPr defaultRowHeight="15" x14ac:dyDescent="0.25"/>
  <sheetData>
    <row r="2" spans="1:4" x14ac:dyDescent="0.25">
      <c r="A2" s="1" t="s">
        <v>0</v>
      </c>
      <c r="B2" s="1"/>
      <c r="D2" t="s">
        <v>7</v>
      </c>
    </row>
    <row r="4" spans="1:4" ht="18.75" x14ac:dyDescent="0.3">
      <c r="A4" t="s">
        <v>1</v>
      </c>
      <c r="D4" t="s">
        <v>8</v>
      </c>
    </row>
    <row r="5" spans="1:4" ht="18.75" x14ac:dyDescent="0.3">
      <c r="A5" t="s">
        <v>6</v>
      </c>
      <c r="D5" t="s">
        <v>9</v>
      </c>
    </row>
    <row r="6" spans="1:4" ht="18.75" x14ac:dyDescent="0.3">
      <c r="A6" t="s">
        <v>5</v>
      </c>
      <c r="D6" t="s">
        <v>10</v>
      </c>
    </row>
    <row r="7" spans="1:4" ht="18.75" x14ac:dyDescent="0.3">
      <c r="A7" t="s">
        <v>4</v>
      </c>
      <c r="D7" t="s">
        <v>11</v>
      </c>
    </row>
    <row r="8" spans="1:4" ht="18.75" x14ac:dyDescent="0.3">
      <c r="A8" t="s">
        <v>3</v>
      </c>
      <c r="D8" t="s">
        <v>12</v>
      </c>
    </row>
    <row r="9" spans="1:4" ht="18.75" x14ac:dyDescent="0.3">
      <c r="A9" t="s">
        <v>2</v>
      </c>
      <c r="D9" t="s">
        <v>13</v>
      </c>
    </row>
    <row r="10" spans="1:4" ht="18.75" x14ac:dyDescent="0.3">
      <c r="D10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5AF0-7211-4C1D-9BDF-37E382168008}">
  <dimension ref="A1:R128"/>
  <sheetViews>
    <sheetView topLeftCell="G4" zoomScale="80" zoomScaleNormal="80" workbookViewId="0">
      <selection activeCell="J22" sqref="J22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8" max="8" width="23.42578125" bestFit="1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5" t="s">
        <v>105</v>
      </c>
      <c r="K1" s="12"/>
      <c r="L1" s="12"/>
      <c r="M1" s="12"/>
      <c r="N1" s="12"/>
      <c r="O1" s="12"/>
      <c r="P1" s="12"/>
    </row>
    <row r="2" spans="1:18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H2" s="36" t="s">
        <v>104</v>
      </c>
      <c r="K2" s="12" t="s">
        <v>91</v>
      </c>
      <c r="L2" s="12" t="s">
        <v>57</v>
      </c>
      <c r="M2" s="12" t="s">
        <v>60</v>
      </c>
      <c r="N2" s="12" t="s">
        <v>62</v>
      </c>
      <c r="O2" s="12" t="s">
        <v>85</v>
      </c>
      <c r="P2" s="13" t="s">
        <v>86</v>
      </c>
    </row>
    <row r="3" spans="1:18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H3" s="37">
        <f>G3/G$28</f>
        <v>6.1475409836065573E-2</v>
      </c>
      <c r="J3" s="8" t="s">
        <v>92</v>
      </c>
      <c r="K3">
        <f>COUNTA(B3:B27)</f>
        <v>25</v>
      </c>
      <c r="L3">
        <f>COUNTIF($C$3:$C$27,L2)</f>
        <v>8</v>
      </c>
      <c r="M3">
        <f t="shared" ref="M3:P3" si="0">COUNTIF($C$3:$C$27,M2)</f>
        <v>4</v>
      </c>
      <c r="N3">
        <f t="shared" si="0"/>
        <v>4</v>
      </c>
      <c r="O3">
        <f t="shared" si="0"/>
        <v>6</v>
      </c>
      <c r="P3">
        <f t="shared" si="0"/>
        <v>3</v>
      </c>
    </row>
    <row r="4" spans="1:18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H4" s="37">
        <f>G4/G$28</f>
        <v>5.737704918032787E-2</v>
      </c>
      <c r="J4" s="23" t="s">
        <v>58</v>
      </c>
      <c r="K4">
        <f>COUNTIF(D$3:D$27,J4)</f>
        <v>16</v>
      </c>
      <c r="L4">
        <f>COUNTIFS($C$3:$C$27,L$2,$D$3:$D$27,$J4)</f>
        <v>5</v>
      </c>
      <c r="M4">
        <f t="shared" ref="M4:P5" si="2">COUNTIFS($C$3:$C$27,M$2,$D$3:$D$27,$J4)</f>
        <v>2</v>
      </c>
      <c r="N4">
        <f t="shared" si="2"/>
        <v>4</v>
      </c>
      <c r="O4">
        <f t="shared" si="2"/>
        <v>2</v>
      </c>
      <c r="P4">
        <f t="shared" si="2"/>
        <v>3</v>
      </c>
    </row>
    <row r="5" spans="1:18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H5" s="37">
        <f>G5/G$28</f>
        <v>5.9718969555035126E-2</v>
      </c>
      <c r="J5" s="23" t="s">
        <v>87</v>
      </c>
      <c r="K5">
        <f>COUNTIF(D$3:D$27,J5)</f>
        <v>9</v>
      </c>
      <c r="L5">
        <f>COUNTIFS($C$3:$C$27,L$2,$D$3:$D$27,$J5)</f>
        <v>3</v>
      </c>
      <c r="M5">
        <f>COUNTIFS($C$3:$C$27,M$2,$D$3:$D$27,$J5)</f>
        <v>2</v>
      </c>
      <c r="N5">
        <f t="shared" si="2"/>
        <v>0</v>
      </c>
      <c r="O5">
        <f t="shared" si="2"/>
        <v>4</v>
      </c>
      <c r="P5">
        <f t="shared" si="2"/>
        <v>0</v>
      </c>
    </row>
    <row r="6" spans="1:18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  <c r="H6" s="37">
        <f>G6/G$28</f>
        <v>4.9765807962529274E-2</v>
      </c>
    </row>
    <row r="7" spans="1:18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H7" s="37">
        <f t="shared" ref="H7:H27" si="3">G7/G$28</f>
        <v>4.1569086651053862E-2</v>
      </c>
      <c r="J7" s="18" t="s">
        <v>97</v>
      </c>
      <c r="K7" s="22">
        <f>SUM(G3:G27)</f>
        <v>2049600</v>
      </c>
      <c r="L7" s="22">
        <f>SUMIF($C$3:$C$27,L2,$G$3:$G$27)</f>
        <v>675600</v>
      </c>
      <c r="M7" s="22">
        <f t="shared" ref="M7:P7" si="4">SUMIF($C$3:$C$27,M2,$G$3:$G$27)</f>
        <v>320400</v>
      </c>
      <c r="N7" s="22">
        <f t="shared" si="4"/>
        <v>393600</v>
      </c>
      <c r="O7" s="22">
        <f t="shared" si="4"/>
        <v>424800</v>
      </c>
      <c r="P7" s="22">
        <f t="shared" si="4"/>
        <v>235200</v>
      </c>
    </row>
    <row r="8" spans="1:18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H8" s="37">
        <f t="shared" si="3"/>
        <v>5.0936768149882905E-2</v>
      </c>
      <c r="J8" s="24" t="s">
        <v>58</v>
      </c>
      <c r="K8" s="19">
        <f>SUMIF($D$3:$D$27,J8,$G$3:$G$27)</f>
        <v>1414800</v>
      </c>
      <c r="L8" s="19">
        <f>SUMIFS($G$3:$G$27,$C$3:$C$27,L$2,$D$3:$D$27,$J8)</f>
        <v>456000</v>
      </c>
      <c r="M8" s="19">
        <f t="shared" ref="M8:P9" si="5">SUMIFS($G$3:$G$27,$C$3:$C$27,M$2,$D$3:$D$27,$J8)</f>
        <v>183600</v>
      </c>
      <c r="N8" s="19">
        <f t="shared" si="5"/>
        <v>393600</v>
      </c>
      <c r="O8" s="19">
        <f t="shared" si="5"/>
        <v>146400</v>
      </c>
      <c r="P8" s="19">
        <f t="shared" si="5"/>
        <v>235200</v>
      </c>
    </row>
    <row r="9" spans="1:18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H9" s="37">
        <f t="shared" si="3"/>
        <v>3.864168618266979E-2</v>
      </c>
      <c r="J9" s="24" t="s">
        <v>87</v>
      </c>
      <c r="K9" s="19">
        <f>SUMIF($D$3:$D$27,J9,$G$3:$G$27)</f>
        <v>634800</v>
      </c>
      <c r="L9" s="19">
        <f>SUMIFS($G$3:$G$27,$C$3:$C$27,L$2,$D$3:$D$27,$J9)</f>
        <v>219600</v>
      </c>
      <c r="M9" s="19">
        <f>SUMIFS($G$3:$G$27,$C$3:$C$27,M$2,$D$3:$D$27,$J9)</f>
        <v>136800</v>
      </c>
      <c r="N9" s="19">
        <f t="shared" si="5"/>
        <v>0</v>
      </c>
      <c r="O9" s="19">
        <f t="shared" si="5"/>
        <v>278400</v>
      </c>
      <c r="P9" s="19">
        <f t="shared" si="5"/>
        <v>0</v>
      </c>
    </row>
    <row r="10" spans="1:18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H10" s="37">
        <f t="shared" si="3"/>
        <v>3.864168618266979E-2</v>
      </c>
      <c r="J10" s="16"/>
      <c r="K10" s="16"/>
      <c r="L10" s="16"/>
      <c r="M10" s="16"/>
      <c r="N10" s="16"/>
      <c r="O10" s="16"/>
    </row>
    <row r="11" spans="1:18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37">
        <f t="shared" si="3"/>
        <v>3.7470725995316159E-2</v>
      </c>
      <c r="I11" s="16"/>
      <c r="J11" s="18" t="s">
        <v>100</v>
      </c>
      <c r="K11" s="21">
        <f>AVERAGE(G3:G27)</f>
        <v>81984</v>
      </c>
      <c r="L11" s="21">
        <f>AVERAGEIF($C3:$C27,L2,$G3:$G27)</f>
        <v>84450</v>
      </c>
      <c r="M11" s="21">
        <f t="shared" ref="M11:P11" si="6">AVERAGEIF($C3:$C27,M2,$G3:$G27)</f>
        <v>80100</v>
      </c>
      <c r="N11" s="21">
        <f t="shared" si="6"/>
        <v>98400</v>
      </c>
      <c r="O11" s="21">
        <f t="shared" si="6"/>
        <v>70800</v>
      </c>
      <c r="P11" s="21">
        <f t="shared" si="6"/>
        <v>78400</v>
      </c>
      <c r="Q11" s="16"/>
      <c r="R11" s="16"/>
    </row>
    <row r="12" spans="1:18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37">
        <f t="shared" si="3"/>
        <v>4.2740046838407493E-2</v>
      </c>
      <c r="I12" s="16"/>
      <c r="J12" s="24" t="s">
        <v>58</v>
      </c>
      <c r="K12" s="20">
        <f>AVERAGEIF(D$3:D$27,J12,G$3:G$27)</f>
        <v>88425</v>
      </c>
      <c r="L12" s="20">
        <f>AVERAGEIFS($G$3:$G$27,$C$3:$C$27,L$2,$D$3:$D$27,$J12)</f>
        <v>91200</v>
      </c>
      <c r="M12" s="20">
        <f t="shared" ref="M12:P13" si="7">AVERAGEIFS($G$3:$G$27,$C$3:$C$27,M$2,$D$3:$D$27,$J12)</f>
        <v>91800</v>
      </c>
      <c r="N12" s="20">
        <f t="shared" si="7"/>
        <v>98400</v>
      </c>
      <c r="O12" s="20">
        <f t="shared" si="7"/>
        <v>73200</v>
      </c>
      <c r="P12" s="20">
        <f t="shared" si="7"/>
        <v>78400</v>
      </c>
      <c r="Q12" s="16"/>
      <c r="R12" s="16"/>
    </row>
    <row r="13" spans="1:18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37">
        <f t="shared" si="3"/>
        <v>3.2786885245901641E-2</v>
      </c>
      <c r="I13" s="16"/>
      <c r="J13" s="24" t="s">
        <v>87</v>
      </c>
      <c r="K13" s="20">
        <f>AVERAGEIF(D$3:D$27,J13,G$3:G$27)</f>
        <v>70533.333333333328</v>
      </c>
      <c r="L13" s="20">
        <f>AVERAGEIFS($G$3:$G$27,$C$3:$C$27,L$2,$D$3:$D$27,$J13)</f>
        <v>73200</v>
      </c>
      <c r="M13" s="20">
        <f t="shared" si="7"/>
        <v>68400</v>
      </c>
      <c r="N13" s="20">
        <v>0</v>
      </c>
      <c r="O13" s="20">
        <f t="shared" si="7"/>
        <v>69600</v>
      </c>
      <c r="P13" s="20">
        <v>0</v>
      </c>
      <c r="Q13" s="16"/>
      <c r="R13" s="16"/>
    </row>
    <row r="14" spans="1:18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37">
        <f t="shared" si="3"/>
        <v>3.8056206088992975E-2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37">
        <f t="shared" si="3"/>
        <v>3.3957845433255272E-2</v>
      </c>
      <c r="I15" s="16"/>
      <c r="J15" s="18" t="s">
        <v>103</v>
      </c>
      <c r="K15" s="19">
        <f>MAX(G3:G27)</f>
        <v>126000</v>
      </c>
      <c r="L15" s="16">
        <f>_xlfn.MAXIFS($G3:$G27,$C3:$C27,L2)</f>
        <v>126000</v>
      </c>
      <c r="M15" s="16">
        <f t="shared" ref="M15:P15" si="8">_xlfn.MAXIFS($G3:$G27,$C3:$C27,M2)</f>
        <v>117600</v>
      </c>
      <c r="N15" s="16">
        <f t="shared" si="8"/>
        <v>122400</v>
      </c>
      <c r="O15" s="16">
        <f t="shared" si="8"/>
        <v>79200</v>
      </c>
      <c r="P15" s="16">
        <f t="shared" si="8"/>
        <v>87600</v>
      </c>
      <c r="Q15" s="16"/>
      <c r="R15" s="16"/>
    </row>
    <row r="16" spans="1:18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37">
        <f t="shared" si="3"/>
        <v>3.2201405152224825E-2</v>
      </c>
      <c r="I16" s="16"/>
      <c r="J16" s="24" t="s">
        <v>58</v>
      </c>
      <c r="K16" s="16">
        <f>_xlfn.MAXIFS(G$3:G$27,D$3:D$27,J16)</f>
        <v>126000</v>
      </c>
      <c r="L16" s="16">
        <f>_xlfn.MAXIFS($G$3:$G$27,$C$3:$C$27,L$2,$D$3:$D$27,$J16)</f>
        <v>126000</v>
      </c>
      <c r="M16" s="16">
        <f>_xlfn.MAXIFS($G$3:$G$27,$C$3:$C$27,M$2,$D$3:$D$27,$J16)</f>
        <v>117600</v>
      </c>
      <c r="N16" s="16">
        <f t="shared" ref="N16:P17" si="9">_xlfn.MAXIFS($G$3:$G$27,$C$3:$C$27,N$2,$D$3:$D$27,$J16)</f>
        <v>122400</v>
      </c>
      <c r="O16" s="16">
        <f t="shared" si="9"/>
        <v>79200</v>
      </c>
      <c r="P16" s="16">
        <f t="shared" si="9"/>
        <v>87600</v>
      </c>
      <c r="Q16" s="16"/>
      <c r="R16" s="16"/>
    </row>
    <row r="17" spans="1:18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37">
        <f t="shared" si="3"/>
        <v>3.6299765807962528E-2</v>
      </c>
      <c r="I17" s="16"/>
      <c r="J17" s="24" t="s">
        <v>87</v>
      </c>
      <c r="K17" s="16">
        <f>_xlfn.MAXIFS(G$3:G$27,D$3:D$27,J17)</f>
        <v>85200</v>
      </c>
      <c r="L17" s="16">
        <f>_xlfn.MAXIFS($G$3:$G$27,$C$3:$C$27,L$2,$D$3:$D$27,$J17)</f>
        <v>85200</v>
      </c>
      <c r="M17" s="16">
        <f t="shared" ref="M17" si="10">_xlfn.MAXIFS($G$3:$G$27,$C$3:$C$27,M$2,$D$3:$D$27,$J17)</f>
        <v>74400</v>
      </c>
      <c r="N17" s="16">
        <f t="shared" si="9"/>
        <v>0</v>
      </c>
      <c r="O17" s="16">
        <f t="shared" si="9"/>
        <v>76800</v>
      </c>
      <c r="P17" s="16">
        <f t="shared" si="9"/>
        <v>0</v>
      </c>
      <c r="Q17" s="16"/>
      <c r="R17" s="16"/>
    </row>
    <row r="18" spans="1:18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37">
        <f t="shared" si="3"/>
        <v>4.2740046838407493E-2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37">
        <f t="shared" si="3"/>
        <v>3.9227166276346606E-2</v>
      </c>
      <c r="I19" s="16"/>
      <c r="J19" s="18" t="s">
        <v>102</v>
      </c>
      <c r="K19" s="19">
        <f>MIN(G3:G27)</f>
        <v>62400</v>
      </c>
      <c r="L19" s="16">
        <f>_xlfn.MINIFS($G3:$G27,$C3:$C27,L2)</f>
        <v>64800</v>
      </c>
      <c r="M19" s="16">
        <f t="shared" ref="M19:P19" si="11">_xlfn.MINIFS($G3:$G27,$C3:$C27,M2)</f>
        <v>62400</v>
      </c>
      <c r="N19" s="16">
        <f t="shared" si="11"/>
        <v>79200</v>
      </c>
      <c r="O19" s="16">
        <f t="shared" si="11"/>
        <v>67200</v>
      </c>
      <c r="P19" s="16">
        <f t="shared" si="11"/>
        <v>70800</v>
      </c>
      <c r="Q19" s="16"/>
      <c r="R19" s="16"/>
    </row>
    <row r="20" spans="1:18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37">
        <f t="shared" si="3"/>
        <v>3.0444964871194378E-2</v>
      </c>
      <c r="I20" s="16"/>
      <c r="J20" s="24" t="s">
        <v>58</v>
      </c>
      <c r="K20" s="19">
        <f>_xlfn.MINIFS(G$3:G$27,D$3:D$27,J20)</f>
        <v>66000</v>
      </c>
      <c r="L20" s="16">
        <f>_xlfn.MINIFS($G$3:$G$27,$C$3:$C$27,L$2,$D$3:$D$27,$J20)</f>
        <v>69600</v>
      </c>
      <c r="M20" s="16">
        <f t="shared" ref="M20:P21" si="12">_xlfn.MINIFS($G$3:$G$27,$C$3:$C$27,M$2,$D$3:$D$27,$J20)</f>
        <v>66000</v>
      </c>
      <c r="N20" s="16">
        <f t="shared" si="12"/>
        <v>79200</v>
      </c>
      <c r="O20" s="16">
        <f t="shared" si="12"/>
        <v>67200</v>
      </c>
      <c r="P20" s="16">
        <f t="shared" si="12"/>
        <v>70800</v>
      </c>
      <c r="Q20" s="16"/>
      <c r="R20" s="16"/>
    </row>
    <row r="21" spans="1:18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37">
        <f t="shared" si="3"/>
        <v>3.3957845433255272E-2</v>
      </c>
      <c r="I21" s="16"/>
      <c r="J21" s="24" t="s">
        <v>87</v>
      </c>
      <c r="K21" s="19">
        <f>_xlfn.MINIFS(G$3:G$27,D$3:D$27,J21)</f>
        <v>62400</v>
      </c>
      <c r="L21" s="16">
        <f>_xlfn.MINIFS($G$3:$G$27,$C$3:$C$27,L$2,$D$3:$D$27,$J21)</f>
        <v>64800</v>
      </c>
      <c r="M21" s="16">
        <f t="shared" si="12"/>
        <v>62400</v>
      </c>
      <c r="N21" s="16">
        <f t="shared" si="12"/>
        <v>0</v>
      </c>
      <c r="O21" s="16">
        <f t="shared" si="12"/>
        <v>67200</v>
      </c>
      <c r="P21" s="16">
        <f t="shared" si="12"/>
        <v>0</v>
      </c>
      <c r="Q21" s="16"/>
      <c r="R21" s="16"/>
    </row>
    <row r="22" spans="1:18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37">
        <f t="shared" si="3"/>
        <v>3.4543325526932081E-2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37">
        <f t="shared" si="3"/>
        <v>3.161592505854801E-2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37">
        <f t="shared" si="3"/>
        <v>3.2786885245901641E-2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37">
        <f t="shared" si="3"/>
        <v>3.7470725995316159E-2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37">
        <f t="shared" si="3"/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37">
        <f t="shared" si="3"/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G28" s="38">
        <f>SUM(G3:G27)</f>
        <v>2049600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5E1E-5982-4DE7-8050-600B0A0ABC89}">
  <dimension ref="A1:R128"/>
  <sheetViews>
    <sheetView topLeftCell="F7" zoomScale="80" zoomScaleNormal="80" workbookViewId="0">
      <selection activeCell="I20" sqref="I20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8" max="8" width="23.42578125" bestFit="1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4"/>
      <c r="K1" s="12"/>
      <c r="L1" s="12"/>
      <c r="M1" s="12"/>
      <c r="N1" s="12"/>
      <c r="O1" s="12"/>
      <c r="P1" s="12"/>
    </row>
    <row r="2" spans="1:18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H2" s="8" t="s">
        <v>104</v>
      </c>
      <c r="K2" s="12" t="s">
        <v>91</v>
      </c>
      <c r="L2" s="12" t="s">
        <v>57</v>
      </c>
      <c r="M2" s="12" t="s">
        <v>60</v>
      </c>
      <c r="N2" s="12" t="s">
        <v>62</v>
      </c>
      <c r="O2" s="12" t="s">
        <v>85</v>
      </c>
      <c r="P2" s="13" t="s">
        <v>86</v>
      </c>
    </row>
    <row r="3" spans="1:18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H3" s="33">
        <f>G3/G$28</f>
        <v>6.1475409836065573E-2</v>
      </c>
      <c r="J3" s="8" t="s">
        <v>92</v>
      </c>
      <c r="K3">
        <f>COUNTA(B3:B27)</f>
        <v>25</v>
      </c>
      <c r="L3">
        <f>COUNTIF($C$3:$C$27,L2)</f>
        <v>8</v>
      </c>
      <c r="M3">
        <f t="shared" ref="M3:P3" si="0">COUNTIF($C$3:$C$27,M2)</f>
        <v>4</v>
      </c>
      <c r="N3">
        <f t="shared" si="0"/>
        <v>4</v>
      </c>
      <c r="O3">
        <f t="shared" si="0"/>
        <v>6</v>
      </c>
      <c r="P3">
        <f t="shared" si="0"/>
        <v>3</v>
      </c>
    </row>
    <row r="4" spans="1:18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H4" s="33">
        <f>G4/G$28</f>
        <v>5.737704918032787E-2</v>
      </c>
      <c r="J4" s="23" t="s">
        <v>58</v>
      </c>
      <c r="K4">
        <f>COUNTIF(D$3:D$27,J4)</f>
        <v>16</v>
      </c>
      <c r="L4">
        <f>COUNTIFS($C$3:$C$27,L$2,$D$3:$D$27,$J4)</f>
        <v>5</v>
      </c>
      <c r="M4">
        <f t="shared" ref="M4:P5" si="2">COUNTIFS($C$3:$C$27,M$2,$D$3:$D$27,$J4)</f>
        <v>2</v>
      </c>
      <c r="N4">
        <f t="shared" si="2"/>
        <v>4</v>
      </c>
      <c r="O4">
        <f t="shared" si="2"/>
        <v>2</v>
      </c>
      <c r="P4">
        <f t="shared" si="2"/>
        <v>3</v>
      </c>
    </row>
    <row r="5" spans="1:18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H5" s="33">
        <f>G5/G$28</f>
        <v>5.9718969555035126E-2</v>
      </c>
      <c r="J5" s="23" t="s">
        <v>87</v>
      </c>
      <c r="K5">
        <f>COUNTIF(D$3:D$27,J5)</f>
        <v>9</v>
      </c>
      <c r="L5">
        <f>COUNTIFS($C$3:$C$27,L$2,$D$3:$D$27,$J5)</f>
        <v>3</v>
      </c>
      <c r="M5">
        <f>COUNTIFS($C$3:$C$27,M$2,$D$3:$D$27,$J5)</f>
        <v>2</v>
      </c>
      <c r="N5">
        <f t="shared" si="2"/>
        <v>0</v>
      </c>
      <c r="O5">
        <f t="shared" si="2"/>
        <v>4</v>
      </c>
      <c r="P5">
        <f t="shared" si="2"/>
        <v>0</v>
      </c>
    </row>
    <row r="6" spans="1:18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  <c r="H6" s="33">
        <f>G6/G$28</f>
        <v>4.9765807962529274E-2</v>
      </c>
    </row>
    <row r="7" spans="1:18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H7" s="33">
        <f t="shared" ref="H7:H27" si="3">G7/G$28</f>
        <v>4.1569086651053862E-2</v>
      </c>
      <c r="J7" s="18" t="s">
        <v>97</v>
      </c>
      <c r="K7" s="22">
        <f>SUM(G3:G27)</f>
        <v>2049600</v>
      </c>
      <c r="L7" s="22">
        <f>SUMIF($C$3:$C$27,L2,$G$3:$G$27)</f>
        <v>675600</v>
      </c>
      <c r="M7" s="22">
        <f t="shared" ref="M7:P7" si="4">SUMIF($C$3:$C$27,M2,$G$3:$G$27)</f>
        <v>320400</v>
      </c>
      <c r="N7" s="22">
        <f t="shared" si="4"/>
        <v>393600</v>
      </c>
      <c r="O7" s="22">
        <f t="shared" si="4"/>
        <v>424800</v>
      </c>
      <c r="P7" s="22">
        <f t="shared" si="4"/>
        <v>235200</v>
      </c>
    </row>
    <row r="8" spans="1:18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H8" s="33">
        <f t="shared" si="3"/>
        <v>5.0936768149882905E-2</v>
      </c>
      <c r="J8" s="24" t="s">
        <v>58</v>
      </c>
      <c r="K8" s="19">
        <f>SUMIF($D$3:$D$27,J8,$G$3:$G$27)</f>
        <v>1414800</v>
      </c>
      <c r="L8" s="19">
        <f>SUMIFS($G$3:$G$27,$C$3:$C$27,L$2,$D$3:$D$27,$J8)</f>
        <v>456000</v>
      </c>
      <c r="M8" s="19">
        <f t="shared" ref="M8:P9" si="5">SUMIFS($G$3:$G$27,$C$3:$C$27,M$2,$D$3:$D$27,$J8)</f>
        <v>183600</v>
      </c>
      <c r="N8" s="19">
        <f t="shared" si="5"/>
        <v>393600</v>
      </c>
      <c r="O8" s="19">
        <f t="shared" si="5"/>
        <v>146400</v>
      </c>
      <c r="P8" s="19">
        <f t="shared" si="5"/>
        <v>235200</v>
      </c>
    </row>
    <row r="9" spans="1:18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H9" s="33">
        <f t="shared" si="3"/>
        <v>3.864168618266979E-2</v>
      </c>
      <c r="J9" s="24" t="s">
        <v>87</v>
      </c>
      <c r="K9" s="19">
        <f>SUMIF($D$3:$D$27,J9,$G$3:$G$27)</f>
        <v>634800</v>
      </c>
      <c r="L9" s="19">
        <f>SUMIFS($G$3:$G$27,$C$3:$C$27,L$2,$D$3:$D$27,$J9)</f>
        <v>219600</v>
      </c>
      <c r="M9" s="19">
        <f>SUMIFS($G$3:$G$27,$C$3:$C$27,M$2,$D$3:$D$27,$J9)</f>
        <v>136800</v>
      </c>
      <c r="N9" s="19">
        <f t="shared" si="5"/>
        <v>0</v>
      </c>
      <c r="O9" s="19">
        <f t="shared" si="5"/>
        <v>278400</v>
      </c>
      <c r="P9" s="19">
        <f t="shared" si="5"/>
        <v>0</v>
      </c>
    </row>
    <row r="10" spans="1:18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H10" s="33">
        <f t="shared" si="3"/>
        <v>3.864168618266979E-2</v>
      </c>
      <c r="J10" s="16"/>
      <c r="K10" s="16"/>
      <c r="L10" s="16"/>
      <c r="M10" s="16"/>
      <c r="N10" s="16"/>
      <c r="O10" s="16"/>
    </row>
    <row r="11" spans="1:18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33">
        <f t="shared" si="3"/>
        <v>3.7470725995316159E-2</v>
      </c>
      <c r="I11" s="16"/>
      <c r="J11" s="18" t="s">
        <v>100</v>
      </c>
      <c r="K11" s="21">
        <f>AVERAGE(G3:G27)</f>
        <v>81984</v>
      </c>
      <c r="L11" s="21">
        <f>AVERAGEIF($C3:$C27,L2,$G3:$G27)</f>
        <v>84450</v>
      </c>
      <c r="M11" s="21">
        <f t="shared" ref="M11:P11" si="6">AVERAGEIF($C3:$C27,M2,$G3:$G27)</f>
        <v>80100</v>
      </c>
      <c r="N11" s="21">
        <f t="shared" si="6"/>
        <v>98400</v>
      </c>
      <c r="O11" s="21">
        <f t="shared" si="6"/>
        <v>70800</v>
      </c>
      <c r="P11" s="21">
        <f t="shared" si="6"/>
        <v>78400</v>
      </c>
      <c r="Q11" s="16"/>
      <c r="R11" s="16"/>
    </row>
    <row r="12" spans="1:18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33">
        <f t="shared" si="3"/>
        <v>4.2740046838407493E-2</v>
      </c>
      <c r="I12" s="16"/>
      <c r="J12" s="24" t="s">
        <v>58</v>
      </c>
      <c r="K12" s="20">
        <f>AVERAGEIF(D$3:D$27,J12,G$3:G$27)</f>
        <v>88425</v>
      </c>
      <c r="L12" s="20">
        <f>AVERAGEIFS($G$3:$G$27,$C$3:$C$27,L$2,$D$3:$D$27,$J12)</f>
        <v>91200</v>
      </c>
      <c r="M12" s="20">
        <f t="shared" ref="M12:P13" si="7">AVERAGEIFS($G$3:$G$27,$C$3:$C$27,M$2,$D$3:$D$27,$J12)</f>
        <v>91800</v>
      </c>
      <c r="N12" s="20">
        <f t="shared" si="7"/>
        <v>98400</v>
      </c>
      <c r="O12" s="20">
        <f t="shared" si="7"/>
        <v>73200</v>
      </c>
      <c r="P12" s="20">
        <f t="shared" si="7"/>
        <v>78400</v>
      </c>
      <c r="Q12" s="16"/>
      <c r="R12" s="16"/>
    </row>
    <row r="13" spans="1:18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33">
        <f t="shared" si="3"/>
        <v>3.2786885245901641E-2</v>
      </c>
      <c r="I13" s="16"/>
      <c r="J13" s="24" t="s">
        <v>87</v>
      </c>
      <c r="K13" s="20">
        <f>AVERAGEIF(D$3:D$27,J13,G$3:G$27)</f>
        <v>70533.333333333328</v>
      </c>
      <c r="L13" s="20">
        <f>AVERAGEIFS($G$3:$G$27,$C$3:$C$27,L$2,$D$3:$D$27,$J13)</f>
        <v>73200</v>
      </c>
      <c r="M13" s="20">
        <f t="shared" si="7"/>
        <v>68400</v>
      </c>
      <c r="N13" s="20">
        <v>0</v>
      </c>
      <c r="O13" s="20">
        <f t="shared" si="7"/>
        <v>69600</v>
      </c>
      <c r="P13" s="20">
        <v>0</v>
      </c>
      <c r="Q13" s="16"/>
      <c r="R13" s="16"/>
    </row>
    <row r="14" spans="1:18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33">
        <f t="shared" si="3"/>
        <v>3.8056206088992975E-2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33">
        <f t="shared" si="3"/>
        <v>3.3957845433255272E-2</v>
      </c>
      <c r="I15" s="16"/>
      <c r="J15" s="18" t="s">
        <v>103</v>
      </c>
      <c r="K15" s="19">
        <f>MAX(G3:G27)</f>
        <v>126000</v>
      </c>
      <c r="L15" s="16">
        <f>_xlfn.MAXIFS($G3:$G27,$C3:$C27,L2)</f>
        <v>126000</v>
      </c>
      <c r="M15" s="16">
        <f t="shared" ref="M15:P15" si="8">_xlfn.MAXIFS($G3:$G27,$C3:$C27,M2)</f>
        <v>117600</v>
      </c>
      <c r="N15" s="16">
        <f t="shared" si="8"/>
        <v>122400</v>
      </c>
      <c r="O15" s="16">
        <f t="shared" si="8"/>
        <v>79200</v>
      </c>
      <c r="P15" s="16">
        <f t="shared" si="8"/>
        <v>87600</v>
      </c>
      <c r="Q15" s="16"/>
      <c r="R15" s="16"/>
    </row>
    <row r="16" spans="1:18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33">
        <f t="shared" si="3"/>
        <v>3.2201405152224825E-2</v>
      </c>
      <c r="I16" s="16"/>
      <c r="J16" s="24" t="s">
        <v>58</v>
      </c>
      <c r="K16" s="16">
        <f>_xlfn.MAXIFS(G$3:G$27,D$3:D$27,J16)</f>
        <v>126000</v>
      </c>
      <c r="L16" s="16">
        <f>_xlfn.MAXIFS($G$3:$G$27,$C$3:$C$27,L$2,$D$3:$D$27,$J16)</f>
        <v>126000</v>
      </c>
      <c r="M16" s="16">
        <f>_xlfn.MAXIFS($G$3:$G$27,$C$3:$C$27,M$2,$D$3:$D$27,$J16)</f>
        <v>117600</v>
      </c>
      <c r="N16" s="16">
        <f t="shared" ref="N16:P17" si="9">_xlfn.MAXIFS($G$3:$G$27,$C$3:$C$27,N$2,$D$3:$D$27,$J16)</f>
        <v>122400</v>
      </c>
      <c r="O16" s="16">
        <f t="shared" si="9"/>
        <v>79200</v>
      </c>
      <c r="P16" s="16">
        <f t="shared" si="9"/>
        <v>87600</v>
      </c>
      <c r="Q16" s="16"/>
      <c r="R16" s="16"/>
    </row>
    <row r="17" spans="1:18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33">
        <f t="shared" si="3"/>
        <v>3.6299765807962528E-2</v>
      </c>
      <c r="I17" s="16"/>
      <c r="J17" s="24" t="s">
        <v>87</v>
      </c>
      <c r="K17" s="16">
        <f>_xlfn.MAXIFS(G$3:G$27,D$3:D$27,J17)</f>
        <v>85200</v>
      </c>
      <c r="L17" s="16">
        <f>_xlfn.MAXIFS($G$3:$G$27,$C$3:$C$27,L$2,$D$3:$D$27,$J17)</f>
        <v>85200</v>
      </c>
      <c r="M17" s="16">
        <f t="shared" ref="M17" si="10">_xlfn.MAXIFS($G$3:$G$27,$C$3:$C$27,M$2,$D$3:$D$27,$J17)</f>
        <v>74400</v>
      </c>
      <c r="N17" s="16">
        <f t="shared" si="9"/>
        <v>0</v>
      </c>
      <c r="O17" s="16">
        <f t="shared" si="9"/>
        <v>76800</v>
      </c>
      <c r="P17" s="16">
        <f t="shared" si="9"/>
        <v>0</v>
      </c>
      <c r="Q17" s="16"/>
      <c r="R17" s="16"/>
    </row>
    <row r="18" spans="1:18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33">
        <f t="shared" si="3"/>
        <v>4.2740046838407493E-2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33">
        <f t="shared" si="3"/>
        <v>3.9227166276346606E-2</v>
      </c>
      <c r="I19" s="16"/>
      <c r="J19" s="18" t="s">
        <v>102</v>
      </c>
      <c r="K19" s="19">
        <f>MIN(G3:G27)</f>
        <v>62400</v>
      </c>
      <c r="L19" s="16">
        <f>_xlfn.MINIFS($G3:$G27,$C3:$C27,L2)</f>
        <v>64800</v>
      </c>
      <c r="M19" s="16">
        <f t="shared" ref="M19:P19" si="11">_xlfn.MINIFS($G3:$G27,$C3:$C27,M2)</f>
        <v>62400</v>
      </c>
      <c r="N19" s="16">
        <f t="shared" si="11"/>
        <v>79200</v>
      </c>
      <c r="O19" s="16">
        <f t="shared" si="11"/>
        <v>67200</v>
      </c>
      <c r="P19" s="16">
        <f t="shared" si="11"/>
        <v>70800</v>
      </c>
      <c r="Q19" s="16"/>
      <c r="R19" s="16"/>
    </row>
    <row r="20" spans="1:18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33">
        <f t="shared" si="3"/>
        <v>3.0444964871194378E-2</v>
      </c>
      <c r="I20" s="16"/>
      <c r="J20" s="24" t="s">
        <v>58</v>
      </c>
      <c r="K20" s="19">
        <f>_xlfn.MINIFS(G$3:G$27,D$3:D$27,J20)</f>
        <v>66000</v>
      </c>
      <c r="L20" s="16">
        <f>_xlfn.MINIFS($G$3:$G$27,$C$3:$C$27,L$2,$D$3:$D$27,$J20)</f>
        <v>69600</v>
      </c>
      <c r="M20" s="16">
        <f t="shared" ref="M20:P21" si="12">_xlfn.MINIFS($G$3:$G$27,$C$3:$C$27,M$2,$D$3:$D$27,$J20)</f>
        <v>66000</v>
      </c>
      <c r="N20" s="16">
        <f t="shared" si="12"/>
        <v>79200</v>
      </c>
      <c r="O20" s="16">
        <f t="shared" si="12"/>
        <v>67200</v>
      </c>
      <c r="P20" s="16">
        <f t="shared" si="12"/>
        <v>70800</v>
      </c>
      <c r="Q20" s="16"/>
      <c r="R20" s="16"/>
    </row>
    <row r="21" spans="1:18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33">
        <f t="shared" si="3"/>
        <v>3.3957845433255272E-2</v>
      </c>
      <c r="I21" s="16"/>
      <c r="J21" s="24" t="s">
        <v>87</v>
      </c>
      <c r="K21" s="19">
        <f>_xlfn.MINIFS(G$3:G$27,D$3:D$27,J21)</f>
        <v>62400</v>
      </c>
      <c r="L21" s="16">
        <f>_xlfn.MINIFS($G$3:$G$27,$C$3:$C$27,L$2,$D$3:$D$27,$J21)</f>
        <v>64800</v>
      </c>
      <c r="M21" s="16">
        <f t="shared" si="12"/>
        <v>62400</v>
      </c>
      <c r="N21" s="16">
        <f t="shared" si="12"/>
        <v>0</v>
      </c>
      <c r="O21" s="16">
        <f t="shared" si="12"/>
        <v>67200</v>
      </c>
      <c r="P21" s="16">
        <f t="shared" si="12"/>
        <v>0</v>
      </c>
      <c r="Q21" s="16"/>
      <c r="R21" s="16"/>
    </row>
    <row r="22" spans="1:18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33">
        <f t="shared" si="3"/>
        <v>3.4543325526932081E-2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33">
        <f t="shared" si="3"/>
        <v>3.161592505854801E-2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33">
        <f t="shared" si="3"/>
        <v>3.2786885245901641E-2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33">
        <f t="shared" si="3"/>
        <v>3.7470725995316159E-2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33">
        <f t="shared" si="3"/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33">
        <f t="shared" si="3"/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G28" s="32">
        <f>SUM(G3:G27)</f>
        <v>2049600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H30" s="39" t="s">
        <v>107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H31" s="14" t="s">
        <v>106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conditionalFormatting sqref="G3:G27">
    <cfRule type="cellIs" dxfId="9" priority="1" operator="lessThan">
      <formula>65000</formula>
    </cfRule>
    <cfRule type="cellIs" dxfId="8" priority="2" operator="greaterThan">
      <formula>100000</formula>
    </cfRule>
  </conditionalFormatting>
  <conditionalFormatting sqref="H3: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6C73-94BC-4859-A3A9-D0ED9ADC673E}">
  <dimension ref="A1:R128"/>
  <sheetViews>
    <sheetView showGridLines="0" zoomScale="80" zoomScaleNormal="80" workbookViewId="0">
      <selection activeCell="D9" sqref="D9"/>
    </sheetView>
  </sheetViews>
  <sheetFormatPr defaultRowHeight="15" x14ac:dyDescent="0.25"/>
  <cols>
    <col min="1" max="1" width="7.85546875" customWidth="1"/>
    <col min="2" max="3" width="21.7109375" bestFit="1" customWidth="1"/>
    <col min="4" max="4" width="19.140625" customWidth="1"/>
    <col min="5" max="5" width="16.42578125" customWidth="1"/>
    <col min="6" max="6" width="19.7109375" customWidth="1"/>
    <col min="7" max="7" width="18.42578125" customWidth="1"/>
    <col min="8" max="8" width="24.85546875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4"/>
      <c r="K1" s="12"/>
      <c r="L1" s="12"/>
      <c r="M1" s="12"/>
      <c r="N1" s="12"/>
      <c r="O1" s="12"/>
      <c r="P1" s="12"/>
    </row>
    <row r="2" spans="1:18" ht="30" x14ac:dyDescent="0.25">
      <c r="A2" s="55" t="s">
        <v>52</v>
      </c>
      <c r="B2" s="55" t="s">
        <v>53</v>
      </c>
      <c r="C2" s="55" t="s">
        <v>54</v>
      </c>
      <c r="D2" s="55" t="s">
        <v>88</v>
      </c>
      <c r="E2" s="55" t="s">
        <v>89</v>
      </c>
      <c r="F2" s="55" t="s">
        <v>55</v>
      </c>
      <c r="G2" s="55" t="s">
        <v>90</v>
      </c>
      <c r="H2" s="55" t="s">
        <v>104</v>
      </c>
      <c r="J2" s="51"/>
      <c r="K2" s="49" t="s">
        <v>91</v>
      </c>
      <c r="L2" s="49" t="s">
        <v>57</v>
      </c>
      <c r="M2" s="49" t="s">
        <v>60</v>
      </c>
      <c r="N2" s="49" t="s">
        <v>62</v>
      </c>
      <c r="O2" s="49" t="s">
        <v>85</v>
      </c>
      <c r="P2" s="50" t="s">
        <v>86</v>
      </c>
    </row>
    <row r="3" spans="1:18" x14ac:dyDescent="0.25">
      <c r="A3" s="56">
        <v>1</v>
      </c>
      <c r="B3" t="s">
        <v>56</v>
      </c>
      <c r="C3" t="s">
        <v>57</v>
      </c>
      <c r="D3" t="s">
        <v>58</v>
      </c>
      <c r="E3" s="57">
        <v>35977</v>
      </c>
      <c r="F3" s="31">
        <v>10500</v>
      </c>
      <c r="G3" s="31">
        <f>F3*12</f>
        <v>126000</v>
      </c>
      <c r="H3" s="33">
        <f>G3/G$29</f>
        <v>6.1475409836065573E-2</v>
      </c>
      <c r="J3" s="52" t="s">
        <v>92</v>
      </c>
      <c r="K3" s="53">
        <f>COUNTA(B3:B27)</f>
        <v>25</v>
      </c>
      <c r="L3" s="53">
        <f>COUNTIF($C$3:$C$27,L2)</f>
        <v>8</v>
      </c>
      <c r="M3" s="53">
        <f>COUNTIF($C$3:$C$27,M2)</f>
        <v>4</v>
      </c>
      <c r="N3" s="53">
        <f>COUNTIF($C$3:$C$27,N2)</f>
        <v>4</v>
      </c>
      <c r="O3" s="53">
        <f>COUNTIF($C$3:$C$27,O2)</f>
        <v>6</v>
      </c>
      <c r="P3" s="53">
        <f>COUNTIF($C$3:$C$27,P2)</f>
        <v>3</v>
      </c>
    </row>
    <row r="4" spans="1:18" x14ac:dyDescent="0.25">
      <c r="A4" s="56">
        <v>2</v>
      </c>
      <c r="B4" t="s">
        <v>59</v>
      </c>
      <c r="C4" t="s">
        <v>60</v>
      </c>
      <c r="D4" t="s">
        <v>58</v>
      </c>
      <c r="E4" s="57">
        <v>36069</v>
      </c>
      <c r="F4" s="31">
        <v>9800</v>
      </c>
      <c r="G4" s="31">
        <f t="shared" ref="G4:G27" si="0">F4*12</f>
        <v>117600</v>
      </c>
      <c r="H4" s="33">
        <f>G4/G$29</f>
        <v>5.737704918032787E-2</v>
      </c>
      <c r="J4" s="40" t="s">
        <v>58</v>
      </c>
      <c r="K4" s="4">
        <f>COUNTIF(D$3:D$27,J4)</f>
        <v>16</v>
      </c>
      <c r="L4" s="4">
        <f>COUNTIFS($C$3:$C$27,L$2,$D$3:$D$27,$J4)</f>
        <v>5</v>
      </c>
      <c r="M4" s="4">
        <f>COUNTIFS($C$3:$C$27,M$2,$D$3:$D$27,$J4)</f>
        <v>2</v>
      </c>
      <c r="N4" s="4">
        <f>COUNTIFS($C$3:$C$27,N$2,$D$3:$D$27,$J4)</f>
        <v>4</v>
      </c>
      <c r="O4" s="4">
        <f>COUNTIFS($C$3:$C$27,O$2,$D$3:$D$27,$J4)</f>
        <v>2</v>
      </c>
      <c r="P4" s="4">
        <f>COUNTIFS($C$3:$C$27,P$2,$D$3:$D$27,$J4)</f>
        <v>3</v>
      </c>
    </row>
    <row r="5" spans="1:18" x14ac:dyDescent="0.25">
      <c r="A5" s="56">
        <v>3</v>
      </c>
      <c r="B5" t="s">
        <v>61</v>
      </c>
      <c r="C5" t="s">
        <v>62</v>
      </c>
      <c r="D5" t="s">
        <v>58</v>
      </c>
      <c r="E5" s="57">
        <v>36628</v>
      </c>
      <c r="F5" s="31">
        <v>10200</v>
      </c>
      <c r="G5" s="31">
        <f t="shared" si="0"/>
        <v>122400</v>
      </c>
      <c r="H5" s="33">
        <f>G5/G$29</f>
        <v>5.9718969555035126E-2</v>
      </c>
      <c r="J5" s="40" t="s">
        <v>87</v>
      </c>
      <c r="K5" s="4">
        <f>COUNTIF(D$3:D$27,J5)</f>
        <v>9</v>
      </c>
      <c r="L5" s="4">
        <f>COUNTIFS($C$3:$C$27,L$2,$D$3:$D$27,$J5)</f>
        <v>3</v>
      </c>
      <c r="M5" s="4">
        <f>COUNTIFS($C$3:$C$27,M$2,$D$3:$D$27,$J5)</f>
        <v>2</v>
      </c>
      <c r="N5" s="4">
        <f>COUNTIFS($C$3:$C$27,N$2,$D$3:$D$27,$J5)</f>
        <v>0</v>
      </c>
      <c r="O5" s="4">
        <f>COUNTIFS($C$3:$C$27,O$2,$D$3:$D$27,$J5)</f>
        <v>4</v>
      </c>
      <c r="P5" s="4">
        <f>COUNTIFS($C$3:$C$27,P$2,$D$3:$D$27,$J5)</f>
        <v>0</v>
      </c>
    </row>
    <row r="6" spans="1:18" x14ac:dyDescent="0.25">
      <c r="A6" s="56">
        <v>4</v>
      </c>
      <c r="B6" t="s">
        <v>63</v>
      </c>
      <c r="C6" t="s">
        <v>57</v>
      </c>
      <c r="D6" t="s">
        <v>58</v>
      </c>
      <c r="E6" s="57">
        <v>36937</v>
      </c>
      <c r="F6" s="31">
        <v>8500</v>
      </c>
      <c r="G6" s="31">
        <f t="shared" si="0"/>
        <v>102000</v>
      </c>
      <c r="H6" s="33">
        <f>G6/G$29</f>
        <v>4.9765807962529274E-2</v>
      </c>
      <c r="J6" s="43"/>
      <c r="K6" s="44"/>
      <c r="L6" s="44"/>
      <c r="M6" s="44"/>
      <c r="N6" s="44"/>
      <c r="O6" s="44"/>
      <c r="P6" s="45"/>
    </row>
    <row r="7" spans="1:18" x14ac:dyDescent="0.25">
      <c r="A7" s="56">
        <v>5</v>
      </c>
      <c r="B7" t="s">
        <v>64</v>
      </c>
      <c r="C7" t="s">
        <v>57</v>
      </c>
      <c r="D7" t="s">
        <v>87</v>
      </c>
      <c r="E7" s="57">
        <v>36992</v>
      </c>
      <c r="F7" s="31">
        <v>7100</v>
      </c>
      <c r="G7" s="31">
        <f t="shared" si="0"/>
        <v>85200</v>
      </c>
      <c r="H7" s="33">
        <f>G7/G$29</f>
        <v>4.1569086651053862E-2</v>
      </c>
      <c r="J7" s="54" t="s">
        <v>97</v>
      </c>
      <c r="K7" s="58">
        <f>SUM(G3:G27)</f>
        <v>2049600</v>
      </c>
      <c r="L7" s="58">
        <f>SUMIF($C$3:$C$27,L2,$G$3:$G$27)</f>
        <v>675600</v>
      </c>
      <c r="M7" s="58">
        <f>SUMIF($C$3:$C$27,M2,$G$3:$G$27)</f>
        <v>320400</v>
      </c>
      <c r="N7" s="58">
        <f>SUMIF($C$3:$C$27,N2,$G$3:$G$27)</f>
        <v>393600</v>
      </c>
      <c r="O7" s="58">
        <f>SUMIF($C$3:$C$27,O2,$G$3:$G$27)</f>
        <v>424800</v>
      </c>
      <c r="P7" s="58">
        <f>SUMIF($C$3:$C$27,P2,$G$3:$G$27)</f>
        <v>235200</v>
      </c>
    </row>
    <row r="8" spans="1:18" x14ac:dyDescent="0.25">
      <c r="A8" s="56">
        <v>6</v>
      </c>
      <c r="B8" t="s">
        <v>65</v>
      </c>
      <c r="C8" t="s">
        <v>62</v>
      </c>
      <c r="D8" t="s">
        <v>58</v>
      </c>
      <c r="E8" s="57">
        <v>37323</v>
      </c>
      <c r="F8" s="31">
        <v>8700</v>
      </c>
      <c r="G8" s="31">
        <f t="shared" si="0"/>
        <v>104400</v>
      </c>
      <c r="H8" s="33">
        <f>G8/G$29</f>
        <v>5.0936768149882905E-2</v>
      </c>
      <c r="J8" s="41" t="s">
        <v>58</v>
      </c>
      <c r="K8" s="11">
        <f>SUMIF($D$3:$D$27,J8,$G$3:$G$27)</f>
        <v>1414800</v>
      </c>
      <c r="L8" s="11">
        <f>SUMIFS($G$3:$G$27,$C$3:$C$27,L$2,$D$3:$D$27,$J8)</f>
        <v>456000</v>
      </c>
      <c r="M8" s="11">
        <f>SUMIFS($G$3:$G$27,$C$3:$C$27,M$2,$D$3:$D$27,$J8)</f>
        <v>183600</v>
      </c>
      <c r="N8" s="11">
        <f>SUMIFS($G$3:$G$27,$C$3:$C$27,N$2,$D$3:$D$27,$J8)</f>
        <v>393600</v>
      </c>
      <c r="O8" s="11">
        <f>SUMIFS($G$3:$G$27,$C$3:$C$27,O$2,$D$3:$D$27,$J8)</f>
        <v>146400</v>
      </c>
      <c r="P8" s="11">
        <f>SUMIFS($G$3:$G$27,$C$3:$C$27,P$2,$D$3:$D$27,$J8)</f>
        <v>235200</v>
      </c>
    </row>
    <row r="9" spans="1:18" x14ac:dyDescent="0.25">
      <c r="A9" s="56">
        <v>7</v>
      </c>
      <c r="B9" t="s">
        <v>66</v>
      </c>
      <c r="C9" t="s">
        <v>85</v>
      </c>
      <c r="D9" t="s">
        <v>58</v>
      </c>
      <c r="E9" s="57">
        <v>38013</v>
      </c>
      <c r="F9" s="31">
        <v>6600</v>
      </c>
      <c r="G9" s="31">
        <f t="shared" si="0"/>
        <v>79200</v>
      </c>
      <c r="H9" s="33">
        <f>G9/G$29</f>
        <v>3.864168618266979E-2</v>
      </c>
      <c r="J9" s="41" t="s">
        <v>87</v>
      </c>
      <c r="K9" s="11">
        <f>SUMIF($D$3:$D$27,J9,$G$3:$G$27)</f>
        <v>634800</v>
      </c>
      <c r="L9" s="11">
        <f>SUMIFS($G$3:$G$27,$C$3:$C$27,L$2,$D$3:$D$27,$J9)</f>
        <v>219600</v>
      </c>
      <c r="M9" s="11">
        <f>SUMIFS($G$3:$G$27,$C$3:$C$27,M$2,$D$3:$D$27,$J9)</f>
        <v>136800</v>
      </c>
      <c r="N9" s="11">
        <f>SUMIFS($G$3:$G$27,$C$3:$C$27,N$2,$D$3:$D$27,$J9)</f>
        <v>0</v>
      </c>
      <c r="O9" s="11">
        <f>SUMIFS($G$3:$G$27,$C$3:$C$27,O$2,$D$3:$D$27,$J9)</f>
        <v>278400</v>
      </c>
      <c r="P9" s="11">
        <f>SUMIFS($G$3:$G$27,$C$3:$C$27,P$2,$D$3:$D$27,$J9)</f>
        <v>0</v>
      </c>
    </row>
    <row r="10" spans="1:18" x14ac:dyDescent="0.25">
      <c r="A10" s="56">
        <v>8</v>
      </c>
      <c r="B10" t="s">
        <v>67</v>
      </c>
      <c r="C10" t="s">
        <v>62</v>
      </c>
      <c r="D10" t="s">
        <v>58</v>
      </c>
      <c r="E10" s="57">
        <v>39451</v>
      </c>
      <c r="F10" s="31">
        <v>6600</v>
      </c>
      <c r="G10" s="31">
        <f t="shared" si="0"/>
        <v>79200</v>
      </c>
      <c r="H10" s="33">
        <f>G10/G$29</f>
        <v>3.864168618266979E-2</v>
      </c>
      <c r="J10" s="46"/>
      <c r="K10" s="47"/>
      <c r="L10" s="47"/>
      <c r="M10" s="47"/>
      <c r="N10" s="47"/>
      <c r="O10" s="47"/>
      <c r="P10" s="45"/>
    </row>
    <row r="11" spans="1:18" x14ac:dyDescent="0.25">
      <c r="A11" s="56">
        <v>9</v>
      </c>
      <c r="B11" t="s">
        <v>68</v>
      </c>
      <c r="C11" t="s">
        <v>85</v>
      </c>
      <c r="D11" t="s">
        <v>87</v>
      </c>
      <c r="E11" s="57">
        <v>39549</v>
      </c>
      <c r="F11" s="31">
        <v>6400</v>
      </c>
      <c r="G11" s="31">
        <f t="shared" si="0"/>
        <v>76800</v>
      </c>
      <c r="H11" s="33">
        <f>G11/G$29</f>
        <v>3.7470725995316159E-2</v>
      </c>
      <c r="I11" s="16"/>
      <c r="J11" s="54" t="s">
        <v>100</v>
      </c>
      <c r="K11" s="60">
        <f>AVERAGE(G3:G27)</f>
        <v>81984</v>
      </c>
      <c r="L11" s="60">
        <f>AVERAGEIF($C3:$C27,L2,$G3:$G27)</f>
        <v>84450</v>
      </c>
      <c r="M11" s="60">
        <f>AVERAGEIF($C3:$C27,M2,$G3:$G27)</f>
        <v>80100</v>
      </c>
      <c r="N11" s="60">
        <f>AVERAGEIF($C3:$C27,N2,$G3:$G27)</f>
        <v>98400</v>
      </c>
      <c r="O11" s="60">
        <f>AVERAGEIF($C3:$C27,O2,$G3:$G27)</f>
        <v>70800</v>
      </c>
      <c r="P11" s="60">
        <f>AVERAGEIF($C3:$C27,P2,$G3:$G27)</f>
        <v>78400</v>
      </c>
      <c r="Q11" s="16"/>
      <c r="R11" s="16"/>
    </row>
    <row r="12" spans="1:18" x14ac:dyDescent="0.25">
      <c r="A12" s="56">
        <v>10</v>
      </c>
      <c r="B12" t="s">
        <v>69</v>
      </c>
      <c r="C12" t="s">
        <v>62</v>
      </c>
      <c r="D12" t="s">
        <v>58</v>
      </c>
      <c r="E12" s="57">
        <v>39699</v>
      </c>
      <c r="F12" s="31">
        <v>7300</v>
      </c>
      <c r="G12" s="31">
        <f t="shared" si="0"/>
        <v>87600</v>
      </c>
      <c r="H12" s="33">
        <f>G12/G$29</f>
        <v>4.2740046838407493E-2</v>
      </c>
      <c r="I12" s="16"/>
      <c r="J12" s="41" t="s">
        <v>58</v>
      </c>
      <c r="K12" s="59">
        <f>AVERAGEIF(D$3:D$27,J12,G$3:G$27)</f>
        <v>88425</v>
      </c>
      <c r="L12" s="59">
        <f>AVERAGEIFS($G$3:$G$27,$C$3:$C$27,L$2,$D$3:$D$27,$J12)</f>
        <v>91200</v>
      </c>
      <c r="M12" s="59">
        <f>AVERAGEIFS($G$3:$G$27,$C$3:$C$27,M$2,$D$3:$D$27,$J12)</f>
        <v>91800</v>
      </c>
      <c r="N12" s="59">
        <f>AVERAGEIFS($G$3:$G$27,$C$3:$C$27,N$2,$D$3:$D$27,$J12)</f>
        <v>98400</v>
      </c>
      <c r="O12" s="59">
        <f>AVERAGEIFS($G$3:$G$27,$C$3:$C$27,O$2,$D$3:$D$27,$J12)</f>
        <v>73200</v>
      </c>
      <c r="P12" s="59">
        <f>AVERAGEIFS($G$3:$G$27,$C$3:$C$27,P$2,$D$3:$D$27,$J12)</f>
        <v>78400</v>
      </c>
      <c r="Q12" s="16"/>
      <c r="R12" s="16"/>
    </row>
    <row r="13" spans="1:18" x14ac:dyDescent="0.25">
      <c r="A13" s="56">
        <v>11</v>
      </c>
      <c r="B13" t="s">
        <v>70</v>
      </c>
      <c r="C13" t="s">
        <v>85</v>
      </c>
      <c r="D13" t="s">
        <v>87</v>
      </c>
      <c r="E13" s="57">
        <v>39934</v>
      </c>
      <c r="F13" s="31">
        <v>5600</v>
      </c>
      <c r="G13" s="31">
        <f t="shared" si="0"/>
        <v>67200</v>
      </c>
      <c r="H13" s="33">
        <f>G13/G$29</f>
        <v>3.2786885245901641E-2</v>
      </c>
      <c r="I13" s="16"/>
      <c r="J13" s="41" t="s">
        <v>87</v>
      </c>
      <c r="K13" s="59">
        <f>AVERAGEIF(D$3:D$27,J13,G$3:G$27)</f>
        <v>70533.333333333328</v>
      </c>
      <c r="L13" s="59">
        <f>AVERAGEIFS($G$3:$G$27,$C$3:$C$27,L$2,$D$3:$D$27,$J13)</f>
        <v>73200</v>
      </c>
      <c r="M13" s="59">
        <f>AVERAGEIFS($G$3:$G$27,$C$3:$C$27,M$2,$D$3:$D$27,$J13)</f>
        <v>68400</v>
      </c>
      <c r="N13" s="42">
        <v>0</v>
      </c>
      <c r="O13" s="59">
        <f>AVERAGEIFS($G$3:$G$27,$C$3:$C$27,O$2,$D$3:$D$27,$J13)</f>
        <v>69600</v>
      </c>
      <c r="P13" s="42">
        <v>0</v>
      </c>
      <c r="Q13" s="16"/>
      <c r="R13" s="16"/>
    </row>
    <row r="14" spans="1:18" x14ac:dyDescent="0.25">
      <c r="A14" s="56">
        <v>12</v>
      </c>
      <c r="B14" t="s">
        <v>71</v>
      </c>
      <c r="C14" t="s">
        <v>57</v>
      </c>
      <c r="D14" t="s">
        <v>58</v>
      </c>
      <c r="E14" s="57">
        <v>40171</v>
      </c>
      <c r="F14" s="31">
        <v>6500</v>
      </c>
      <c r="G14" s="31">
        <f t="shared" si="0"/>
        <v>78000</v>
      </c>
      <c r="H14" s="33">
        <f>G14/G$29</f>
        <v>3.8056206088992975E-2</v>
      </c>
      <c r="I14" s="16"/>
      <c r="J14" s="46"/>
      <c r="K14" s="47"/>
      <c r="L14" s="47"/>
      <c r="M14" s="47"/>
      <c r="N14" s="47"/>
      <c r="O14" s="47"/>
      <c r="P14" s="48"/>
      <c r="Q14" s="16"/>
      <c r="R14" s="16"/>
    </row>
    <row r="15" spans="1:18" x14ac:dyDescent="0.25">
      <c r="A15" s="56">
        <v>13</v>
      </c>
      <c r="B15" t="s">
        <v>72</v>
      </c>
      <c r="C15" t="s">
        <v>57</v>
      </c>
      <c r="D15" t="s">
        <v>87</v>
      </c>
      <c r="E15" s="57">
        <v>40203</v>
      </c>
      <c r="F15" s="31">
        <v>5800</v>
      </c>
      <c r="G15" s="31">
        <f t="shared" si="0"/>
        <v>69600</v>
      </c>
      <c r="H15" s="33">
        <f>G15/G$29</f>
        <v>3.3957845433255272E-2</v>
      </c>
      <c r="I15" s="16"/>
      <c r="J15" s="54" t="s">
        <v>103</v>
      </c>
      <c r="K15" s="58">
        <f>MAX(G3:G27)</f>
        <v>126000</v>
      </c>
      <c r="L15" s="58">
        <f>_xlfn.MAXIFS($G3:$G27,$C3:$C27,L2)</f>
        <v>126000</v>
      </c>
      <c r="M15" s="58">
        <f>_xlfn.MAXIFS($G3:$G27,$C3:$C27,M2)</f>
        <v>117600</v>
      </c>
      <c r="N15" s="58">
        <f>_xlfn.MAXIFS($G3:$G27,$C3:$C27,N2)</f>
        <v>122400</v>
      </c>
      <c r="O15" s="58">
        <f>_xlfn.MAXIFS($G3:$G27,$C3:$C27,O2)</f>
        <v>79200</v>
      </c>
      <c r="P15" s="58">
        <f>_xlfn.MAXIFS($G3:$G27,$C3:$C27,P2)</f>
        <v>87600</v>
      </c>
      <c r="Q15" s="16"/>
      <c r="R15" s="16"/>
    </row>
    <row r="16" spans="1:18" x14ac:dyDescent="0.25">
      <c r="A16" s="56">
        <v>14</v>
      </c>
      <c r="B16" t="s">
        <v>73</v>
      </c>
      <c r="C16" t="s">
        <v>60</v>
      </c>
      <c r="D16" t="s">
        <v>58</v>
      </c>
      <c r="E16" s="57">
        <v>40341</v>
      </c>
      <c r="F16" s="31">
        <v>5500</v>
      </c>
      <c r="G16" s="31">
        <f t="shared" si="0"/>
        <v>66000</v>
      </c>
      <c r="H16" s="33">
        <f>G16/G$29</f>
        <v>3.2201405152224825E-2</v>
      </c>
      <c r="I16" s="16"/>
      <c r="J16" s="41" t="s">
        <v>58</v>
      </c>
      <c r="K16" s="11">
        <f>_xlfn.MAXIFS(G$3:G$27,D$3:D$27,J16)</f>
        <v>126000</v>
      </c>
      <c r="L16" s="11">
        <f>_xlfn.MAXIFS($G$3:$G$27,$C$3:$C$27,L$2,$D$3:$D$27,$J16)</f>
        <v>126000</v>
      </c>
      <c r="M16" s="11">
        <f>_xlfn.MAXIFS($G$3:$G$27,$C$3:$C$27,M$2,$D$3:$D$27,$J16)</f>
        <v>117600</v>
      </c>
      <c r="N16" s="11">
        <f>_xlfn.MAXIFS($G$3:$G$27,$C$3:$C$27,N$2,$D$3:$D$27,$J16)</f>
        <v>122400</v>
      </c>
      <c r="O16" s="11">
        <f>_xlfn.MAXIFS($G$3:$G$27,$C$3:$C$27,O$2,$D$3:$D$27,$J16)</f>
        <v>79200</v>
      </c>
      <c r="P16" s="11">
        <f>_xlfn.MAXIFS($G$3:$G$27,$C$3:$C$27,P$2,$D$3:$D$27,$J16)</f>
        <v>87600</v>
      </c>
      <c r="Q16" s="16"/>
      <c r="R16" s="16"/>
    </row>
    <row r="17" spans="1:18" x14ac:dyDescent="0.25">
      <c r="A17" s="56">
        <v>15</v>
      </c>
      <c r="B17" t="s">
        <v>74</v>
      </c>
      <c r="C17" t="s">
        <v>60</v>
      </c>
      <c r="D17" t="s">
        <v>87</v>
      </c>
      <c r="E17" s="57">
        <v>40377</v>
      </c>
      <c r="F17" s="31">
        <v>6200</v>
      </c>
      <c r="G17" s="31">
        <f t="shared" si="0"/>
        <v>74400</v>
      </c>
      <c r="H17" s="33">
        <f>G17/G$29</f>
        <v>3.6299765807962528E-2</v>
      </c>
      <c r="I17" s="16"/>
      <c r="J17" s="41" t="s">
        <v>87</v>
      </c>
      <c r="K17" s="11">
        <f>_xlfn.MAXIFS(G$3:G$27,D$3:D$27,J17)</f>
        <v>85200</v>
      </c>
      <c r="L17" s="11">
        <f>_xlfn.MAXIFS($G$3:$G$27,$C$3:$C$27,L$2,$D$3:$D$27,$J17)</f>
        <v>85200</v>
      </c>
      <c r="M17" s="11">
        <f>_xlfn.MAXIFS($G$3:$G$27,$C$3:$C$27,M$2,$D$3:$D$27,$J17)</f>
        <v>74400</v>
      </c>
      <c r="N17" s="11">
        <f>_xlfn.MAXIFS($G$3:$G$27,$C$3:$C$27,N$2,$D$3:$D$27,$J17)</f>
        <v>0</v>
      </c>
      <c r="O17" s="11">
        <f>_xlfn.MAXIFS($G$3:$G$27,$C$3:$C$27,O$2,$D$3:$D$27,$J17)</f>
        <v>76800</v>
      </c>
      <c r="P17" s="11">
        <f>_xlfn.MAXIFS($G$3:$G$27,$C$3:$C$27,P$2,$D$3:$D$27,$J17)</f>
        <v>0</v>
      </c>
      <c r="Q17" s="16"/>
      <c r="R17" s="16"/>
    </row>
    <row r="18" spans="1:18" x14ac:dyDescent="0.25">
      <c r="A18" s="56">
        <v>16</v>
      </c>
      <c r="B18" t="s">
        <v>75</v>
      </c>
      <c r="C18" t="s">
        <v>86</v>
      </c>
      <c r="D18" t="s">
        <v>58</v>
      </c>
      <c r="E18" s="57">
        <v>40474</v>
      </c>
      <c r="F18" s="31">
        <v>7300</v>
      </c>
      <c r="G18" s="31">
        <f t="shared" si="0"/>
        <v>87600</v>
      </c>
      <c r="H18" s="33">
        <f>G18/G$29</f>
        <v>4.2740046838407493E-2</v>
      </c>
      <c r="I18" s="16"/>
      <c r="J18" s="46"/>
      <c r="K18" s="47"/>
      <c r="L18" s="47"/>
      <c r="M18" s="47"/>
      <c r="N18" s="47"/>
      <c r="O18" s="47"/>
      <c r="P18" s="48"/>
      <c r="Q18" s="16"/>
      <c r="R18" s="16"/>
    </row>
    <row r="19" spans="1:18" x14ac:dyDescent="0.25">
      <c r="A19" s="56">
        <v>17</v>
      </c>
      <c r="B19" t="s">
        <v>76</v>
      </c>
      <c r="C19" t="s">
        <v>57</v>
      </c>
      <c r="D19" t="s">
        <v>58</v>
      </c>
      <c r="E19" s="57">
        <v>41027</v>
      </c>
      <c r="F19" s="31">
        <v>6700</v>
      </c>
      <c r="G19" s="31">
        <f t="shared" si="0"/>
        <v>80400</v>
      </c>
      <c r="H19" s="33">
        <f>G19/G$29</f>
        <v>3.9227166276346606E-2</v>
      </c>
      <c r="I19" s="16"/>
      <c r="J19" s="54" t="s">
        <v>102</v>
      </c>
      <c r="K19" s="58">
        <f>MIN(G3:G27)</f>
        <v>62400</v>
      </c>
      <c r="L19" s="58">
        <f>_xlfn.MINIFS($G3:$G27,$C3:$C27,L2)</f>
        <v>64800</v>
      </c>
      <c r="M19" s="58">
        <f>_xlfn.MINIFS($G3:$G27,$C3:$C27,M2)</f>
        <v>62400</v>
      </c>
      <c r="N19" s="58">
        <f>_xlfn.MINIFS($G3:$G27,$C3:$C27,N2)</f>
        <v>79200</v>
      </c>
      <c r="O19" s="58">
        <f>_xlfn.MINIFS($G3:$G27,$C3:$C27,O2)</f>
        <v>67200</v>
      </c>
      <c r="P19" s="58">
        <f>_xlfn.MINIFS($G3:$G27,$C3:$C27,P2)</f>
        <v>70800</v>
      </c>
      <c r="Q19" s="16"/>
      <c r="R19" s="16"/>
    </row>
    <row r="20" spans="1:18" x14ac:dyDescent="0.25">
      <c r="A20" s="56">
        <v>18</v>
      </c>
      <c r="B20" t="s">
        <v>77</v>
      </c>
      <c r="C20" t="s">
        <v>60</v>
      </c>
      <c r="D20" t="s">
        <v>87</v>
      </c>
      <c r="E20" s="57">
        <v>41058</v>
      </c>
      <c r="F20" s="31">
        <v>5200</v>
      </c>
      <c r="G20" s="31">
        <f t="shared" si="0"/>
        <v>62400</v>
      </c>
      <c r="H20" s="33">
        <f>G20/G$29</f>
        <v>3.0444964871194378E-2</v>
      </c>
      <c r="I20" s="16"/>
      <c r="J20" s="41" t="s">
        <v>58</v>
      </c>
      <c r="K20" s="11">
        <f>_xlfn.MINIFS(G$3:G$27,D$3:D$27,J20)</f>
        <v>66000</v>
      </c>
      <c r="L20" s="11">
        <f>_xlfn.MINIFS($G$3:$G$27,$C$3:$C$27,L$2,$D$3:$D$27,$J20)</f>
        <v>69600</v>
      </c>
      <c r="M20" s="11">
        <f>_xlfn.MINIFS($G$3:$G$27,$C$3:$C$27,M$2,$D$3:$D$27,$J20)</f>
        <v>66000</v>
      </c>
      <c r="N20" s="11">
        <f>_xlfn.MINIFS($G$3:$G$27,$C$3:$C$27,N$2,$D$3:$D$27,$J20)</f>
        <v>79200</v>
      </c>
      <c r="O20" s="11">
        <f>_xlfn.MINIFS($G$3:$G$27,$C$3:$C$27,O$2,$D$3:$D$27,$J20)</f>
        <v>67200</v>
      </c>
      <c r="P20" s="11">
        <f>_xlfn.MINIFS($G$3:$G$27,$C$3:$C$27,P$2,$D$3:$D$27,$J20)</f>
        <v>70800</v>
      </c>
      <c r="Q20" s="16"/>
      <c r="R20" s="16"/>
    </row>
    <row r="21" spans="1:18" x14ac:dyDescent="0.25">
      <c r="A21" s="56">
        <v>19</v>
      </c>
      <c r="B21" t="s">
        <v>78</v>
      </c>
      <c r="C21" t="s">
        <v>57</v>
      </c>
      <c r="D21" t="s">
        <v>58</v>
      </c>
      <c r="E21" s="57">
        <v>41071</v>
      </c>
      <c r="F21" s="31">
        <v>5800</v>
      </c>
      <c r="G21" s="31">
        <f t="shared" si="0"/>
        <v>69600</v>
      </c>
      <c r="H21" s="33">
        <f>G21/G$29</f>
        <v>3.3957845433255272E-2</v>
      </c>
      <c r="I21" s="16"/>
      <c r="J21" s="41" t="s">
        <v>87</v>
      </c>
      <c r="K21" s="11">
        <f>_xlfn.MINIFS(G$3:G$27,D$3:D$27,J21)</f>
        <v>62400</v>
      </c>
      <c r="L21" s="11">
        <f>_xlfn.MINIFS($G$3:$G$27,$C$3:$C$27,L$2,$D$3:$D$27,$J21)</f>
        <v>64800</v>
      </c>
      <c r="M21" s="11">
        <f>_xlfn.MINIFS($G$3:$G$27,$C$3:$C$27,M$2,$D$3:$D$27,$J21)</f>
        <v>62400</v>
      </c>
      <c r="N21" s="11">
        <f>_xlfn.MINIFS($G$3:$G$27,$C$3:$C$27,N$2,$D$3:$D$27,$J21)</f>
        <v>0</v>
      </c>
      <c r="O21" s="11">
        <f>_xlfn.MINIFS($G$3:$G$27,$C$3:$C$27,O$2,$D$3:$D$27,$J21)</f>
        <v>67200</v>
      </c>
      <c r="P21" s="11">
        <f>_xlfn.MINIFS($G$3:$G$27,$C$3:$C$27,P$2,$D$3:$D$27,$J21)</f>
        <v>0</v>
      </c>
      <c r="Q21" s="16"/>
      <c r="R21" s="16"/>
    </row>
    <row r="22" spans="1:18" x14ac:dyDescent="0.25">
      <c r="A22" s="56">
        <v>20</v>
      </c>
      <c r="B22" t="s">
        <v>79</v>
      </c>
      <c r="C22" t="s">
        <v>86</v>
      </c>
      <c r="D22" t="s">
        <v>58</v>
      </c>
      <c r="E22" s="57">
        <v>41460</v>
      </c>
      <c r="F22" s="31">
        <v>5900</v>
      </c>
      <c r="G22" s="31">
        <f t="shared" si="0"/>
        <v>70800</v>
      </c>
      <c r="H22" s="33">
        <f>G22/G$29</f>
        <v>3.4543325526932081E-2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56">
        <v>21</v>
      </c>
      <c r="B23" t="s">
        <v>80</v>
      </c>
      <c r="C23" t="s">
        <v>57</v>
      </c>
      <c r="D23" t="s">
        <v>87</v>
      </c>
      <c r="E23" s="57">
        <v>41734</v>
      </c>
      <c r="F23" s="31">
        <v>5400</v>
      </c>
      <c r="G23" s="31">
        <f t="shared" si="0"/>
        <v>64800</v>
      </c>
      <c r="H23" s="33">
        <f>G23/G$29</f>
        <v>3.161592505854801E-2</v>
      </c>
      <c r="I23" s="16"/>
      <c r="J23" s="14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56">
        <v>22</v>
      </c>
      <c r="B24" t="s">
        <v>81</v>
      </c>
      <c r="C24" t="s">
        <v>85</v>
      </c>
      <c r="D24" t="s">
        <v>58</v>
      </c>
      <c r="E24" s="57">
        <v>41853</v>
      </c>
      <c r="F24" s="31">
        <v>5600</v>
      </c>
      <c r="G24" s="31">
        <f t="shared" si="0"/>
        <v>67200</v>
      </c>
      <c r="H24" s="33">
        <f>G24/G$29</f>
        <v>3.2786885245901641E-2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56">
        <v>23</v>
      </c>
      <c r="B25" t="s">
        <v>82</v>
      </c>
      <c r="C25" t="s">
        <v>86</v>
      </c>
      <c r="D25" t="s">
        <v>58</v>
      </c>
      <c r="E25" s="57">
        <v>43142</v>
      </c>
      <c r="F25" s="31">
        <v>6400</v>
      </c>
      <c r="G25" s="31">
        <f t="shared" si="0"/>
        <v>76800</v>
      </c>
      <c r="H25" s="33">
        <f>G25/G$29</f>
        <v>3.7470725995316159E-2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56">
        <v>24</v>
      </c>
      <c r="B26" t="s">
        <v>83</v>
      </c>
      <c r="C26" t="s">
        <v>85</v>
      </c>
      <c r="D26" t="s">
        <v>87</v>
      </c>
      <c r="E26" s="57">
        <v>43364</v>
      </c>
      <c r="F26" s="31">
        <v>5600</v>
      </c>
      <c r="G26" s="31">
        <f t="shared" si="0"/>
        <v>67200</v>
      </c>
      <c r="H26" s="33">
        <f>G26/G$29</f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56">
        <v>25</v>
      </c>
      <c r="B27" t="s">
        <v>84</v>
      </c>
      <c r="C27" t="s">
        <v>85</v>
      </c>
      <c r="D27" t="s">
        <v>87</v>
      </c>
      <c r="E27" s="57">
        <v>44104</v>
      </c>
      <c r="F27" s="31">
        <v>5600</v>
      </c>
      <c r="G27" s="31">
        <f t="shared" si="0"/>
        <v>67200</v>
      </c>
      <c r="H27" s="33">
        <f>G27/G$29</f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H28" s="39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G29" s="31">
        <f>SUM(G3:G27)</f>
        <v>2049600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conditionalFormatting sqref="G3:G27">
    <cfRule type="cellIs" dxfId="7" priority="1" operator="lessThan">
      <formula>65000</formula>
    </cfRule>
    <cfRule type="cellIs" dxfId="6" priority="2" operator="greaterThan">
      <formula>100000</formula>
    </cfRule>
  </conditionalFormatting>
  <conditionalFormatting sqref="H3:H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270-AB00-4BC0-A359-2E032B075843}">
  <dimension ref="A1:R128"/>
  <sheetViews>
    <sheetView showGridLines="0" zoomScale="80" zoomScaleNormal="80" workbookViewId="0">
      <selection activeCell="F14" sqref="F14"/>
    </sheetView>
  </sheetViews>
  <sheetFormatPr defaultRowHeight="15" x14ac:dyDescent="0.25"/>
  <cols>
    <col min="1" max="1" width="7.85546875" customWidth="1"/>
    <col min="2" max="3" width="21.7109375" bestFit="1" customWidth="1"/>
    <col min="4" max="4" width="19.140625" customWidth="1"/>
    <col min="5" max="5" width="16.42578125" customWidth="1"/>
    <col min="6" max="6" width="19.7109375" customWidth="1"/>
    <col min="7" max="7" width="18.42578125" customWidth="1"/>
    <col min="8" max="8" width="24.85546875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4"/>
      <c r="K1" s="12"/>
      <c r="L1" s="12"/>
      <c r="M1" s="12"/>
      <c r="N1" s="12"/>
      <c r="O1" s="12"/>
      <c r="P1" s="12"/>
    </row>
    <row r="2" spans="1:18" ht="30" x14ac:dyDescent="0.25">
      <c r="A2" s="61" t="s">
        <v>52</v>
      </c>
      <c r="B2" s="61" t="s">
        <v>53</v>
      </c>
      <c r="C2" s="61" t="s">
        <v>54</v>
      </c>
      <c r="D2" s="61" t="s">
        <v>88</v>
      </c>
      <c r="E2" s="61" t="s">
        <v>89</v>
      </c>
      <c r="F2" s="61" t="s">
        <v>55</v>
      </c>
      <c r="G2" s="61" t="s">
        <v>90</v>
      </c>
      <c r="H2" s="62" t="s">
        <v>104</v>
      </c>
      <c r="J2" s="51"/>
      <c r="K2" s="49" t="s">
        <v>91</v>
      </c>
      <c r="L2" s="49" t="s">
        <v>57</v>
      </c>
      <c r="M2" s="49" t="s">
        <v>60</v>
      </c>
      <c r="N2" s="49" t="s">
        <v>62</v>
      </c>
      <c r="O2" s="49" t="s">
        <v>85</v>
      </c>
      <c r="P2" s="50" t="s">
        <v>86</v>
      </c>
    </row>
    <row r="3" spans="1:18" x14ac:dyDescent="0.25">
      <c r="A3" s="63">
        <v>1</v>
      </c>
      <c r="B3" s="64" t="s">
        <v>56</v>
      </c>
      <c r="C3" s="64" t="s">
        <v>57</v>
      </c>
      <c r="D3" s="64" t="s">
        <v>58</v>
      </c>
      <c r="E3" s="65">
        <v>35977</v>
      </c>
      <c r="F3" s="66">
        <v>10500</v>
      </c>
      <c r="G3" s="66">
        <f>F3*12</f>
        <v>126000</v>
      </c>
      <c r="H3" s="67">
        <f>G3/G$29</f>
        <v>6.1475409836065573E-2</v>
      </c>
      <c r="J3" s="52" t="s">
        <v>92</v>
      </c>
      <c r="K3" s="53">
        <f>COUNTA(B3:B27)</f>
        <v>25</v>
      </c>
      <c r="L3" s="53">
        <f>COUNTIF($C$3:$C$27,L2)</f>
        <v>8</v>
      </c>
      <c r="M3" s="53">
        <f>COUNTIF($C$3:$C$27,M2)</f>
        <v>4</v>
      </c>
      <c r="N3" s="53">
        <f>COUNTIF($C$3:$C$27,N2)</f>
        <v>4</v>
      </c>
      <c r="O3" s="53">
        <f>COUNTIF($C$3:$C$27,O2)</f>
        <v>6</v>
      </c>
      <c r="P3" s="53">
        <f>COUNTIF($C$3:$C$27,P2)</f>
        <v>3</v>
      </c>
    </row>
    <row r="4" spans="1:18" x14ac:dyDescent="0.25">
      <c r="A4" s="68">
        <v>2</v>
      </c>
      <c r="B4" s="69" t="s">
        <v>59</v>
      </c>
      <c r="C4" s="69" t="s">
        <v>60</v>
      </c>
      <c r="D4" s="69" t="s">
        <v>58</v>
      </c>
      <c r="E4" s="70">
        <v>36069</v>
      </c>
      <c r="F4" s="71">
        <v>9800</v>
      </c>
      <c r="G4" s="71">
        <f t="shared" ref="G4:G27" si="0">F4*12</f>
        <v>117600</v>
      </c>
      <c r="H4" s="72">
        <f>G4/G$29</f>
        <v>5.737704918032787E-2</v>
      </c>
      <c r="J4" s="40" t="s">
        <v>58</v>
      </c>
      <c r="K4" s="4">
        <f>COUNTIF(D$3:D$27,J4)</f>
        <v>16</v>
      </c>
      <c r="L4" s="4">
        <f>COUNTIFS($C$3:$C$27,L$2,$D$3:$D$27,$J4)</f>
        <v>5</v>
      </c>
      <c r="M4" s="4">
        <f>COUNTIFS($C$3:$C$27,M$2,$D$3:$D$27,$J4)</f>
        <v>2</v>
      </c>
      <c r="N4" s="4">
        <f>COUNTIFS($C$3:$C$27,N$2,$D$3:$D$27,$J4)</f>
        <v>4</v>
      </c>
      <c r="O4" s="4">
        <f>COUNTIFS($C$3:$C$27,O$2,$D$3:$D$27,$J4)</f>
        <v>2</v>
      </c>
      <c r="P4" s="4">
        <f>COUNTIFS($C$3:$C$27,P$2,$D$3:$D$27,$J4)</f>
        <v>3</v>
      </c>
    </row>
    <row r="5" spans="1:18" x14ac:dyDescent="0.25">
      <c r="A5" s="63">
        <v>3</v>
      </c>
      <c r="B5" s="64" t="s">
        <v>61</v>
      </c>
      <c r="C5" s="64" t="s">
        <v>62</v>
      </c>
      <c r="D5" s="64" t="s">
        <v>58</v>
      </c>
      <c r="E5" s="65">
        <v>36628</v>
      </c>
      <c r="F5" s="66">
        <v>10200</v>
      </c>
      <c r="G5" s="66">
        <f t="shared" si="0"/>
        <v>122400</v>
      </c>
      <c r="H5" s="67">
        <f>G5/G$29</f>
        <v>5.9718969555035126E-2</v>
      </c>
      <c r="J5" s="40" t="s">
        <v>87</v>
      </c>
      <c r="K5" s="4">
        <f>COUNTIF(D$3:D$27,J5)</f>
        <v>9</v>
      </c>
      <c r="L5" s="4">
        <f>COUNTIFS($C$3:$C$27,L$2,$D$3:$D$27,$J5)</f>
        <v>3</v>
      </c>
      <c r="M5" s="4">
        <f>COUNTIFS($C$3:$C$27,M$2,$D$3:$D$27,$J5)</f>
        <v>2</v>
      </c>
      <c r="N5" s="4">
        <f>COUNTIFS($C$3:$C$27,N$2,$D$3:$D$27,$J5)</f>
        <v>0</v>
      </c>
      <c r="O5" s="4">
        <f>COUNTIFS($C$3:$C$27,O$2,$D$3:$D$27,$J5)</f>
        <v>4</v>
      </c>
      <c r="P5" s="4">
        <f>COUNTIFS($C$3:$C$27,P$2,$D$3:$D$27,$J5)</f>
        <v>0</v>
      </c>
    </row>
    <row r="6" spans="1:18" x14ac:dyDescent="0.25">
      <c r="A6" s="68">
        <v>4</v>
      </c>
      <c r="B6" s="69" t="s">
        <v>63</v>
      </c>
      <c r="C6" s="69" t="s">
        <v>57</v>
      </c>
      <c r="D6" s="69" t="s">
        <v>58</v>
      </c>
      <c r="E6" s="70">
        <v>36937</v>
      </c>
      <c r="F6" s="71">
        <v>8500</v>
      </c>
      <c r="G6" s="71">
        <f t="shared" si="0"/>
        <v>102000</v>
      </c>
      <c r="H6" s="72">
        <f>G6/G$29</f>
        <v>4.9765807962529274E-2</v>
      </c>
      <c r="J6" s="43"/>
      <c r="K6" s="44"/>
      <c r="L6" s="44"/>
      <c r="M6" s="44"/>
      <c r="N6" s="44"/>
      <c r="O6" s="44"/>
      <c r="P6" s="45"/>
    </row>
    <row r="7" spans="1:18" x14ac:dyDescent="0.25">
      <c r="A7" s="63">
        <v>5</v>
      </c>
      <c r="B7" s="64" t="s">
        <v>64</v>
      </c>
      <c r="C7" s="64" t="s">
        <v>57</v>
      </c>
      <c r="D7" s="64" t="s">
        <v>87</v>
      </c>
      <c r="E7" s="65">
        <v>36992</v>
      </c>
      <c r="F7" s="66">
        <v>7100</v>
      </c>
      <c r="G7" s="66">
        <f t="shared" si="0"/>
        <v>85200</v>
      </c>
      <c r="H7" s="67">
        <f>G7/G$29</f>
        <v>4.1569086651053862E-2</v>
      </c>
      <c r="J7" s="54" t="s">
        <v>97</v>
      </c>
      <c r="K7" s="58">
        <f>SUM(G3:G27)</f>
        <v>2049600</v>
      </c>
      <c r="L7" s="58">
        <f>SUMIF($C$3:$C$27,L2,$G$3:$G$27)</f>
        <v>675600</v>
      </c>
      <c r="M7" s="58">
        <f>SUMIF($C$3:$C$27,M2,$G$3:$G$27)</f>
        <v>320400</v>
      </c>
      <c r="N7" s="58">
        <f>SUMIF($C$3:$C$27,N2,$G$3:$G$27)</f>
        <v>393600</v>
      </c>
      <c r="O7" s="58">
        <f>SUMIF($C$3:$C$27,O2,$G$3:$G$27)</f>
        <v>424800</v>
      </c>
      <c r="P7" s="58">
        <f>SUMIF($C$3:$C$27,P2,$G$3:$G$27)</f>
        <v>235200</v>
      </c>
    </row>
    <row r="8" spans="1:18" x14ac:dyDescent="0.25">
      <c r="A8" s="68">
        <v>6</v>
      </c>
      <c r="B8" s="69" t="s">
        <v>65</v>
      </c>
      <c r="C8" s="69" t="s">
        <v>62</v>
      </c>
      <c r="D8" s="69" t="s">
        <v>58</v>
      </c>
      <c r="E8" s="70">
        <v>37323</v>
      </c>
      <c r="F8" s="71">
        <v>8700</v>
      </c>
      <c r="G8" s="71">
        <f t="shared" si="0"/>
        <v>104400</v>
      </c>
      <c r="H8" s="72">
        <f>G8/G$29</f>
        <v>5.0936768149882905E-2</v>
      </c>
      <c r="J8" s="41" t="s">
        <v>58</v>
      </c>
      <c r="K8" s="11">
        <f>SUMIF($D$3:$D$27,J8,$G$3:$G$27)</f>
        <v>1414800</v>
      </c>
      <c r="L8" s="11">
        <f>SUMIFS($G$3:$G$27,$C$3:$C$27,L$2,$D$3:$D$27,$J8)</f>
        <v>456000</v>
      </c>
      <c r="M8" s="11">
        <f>SUMIFS($G$3:$G$27,$C$3:$C$27,M$2,$D$3:$D$27,$J8)</f>
        <v>183600</v>
      </c>
      <c r="N8" s="11">
        <f>SUMIFS($G$3:$G$27,$C$3:$C$27,N$2,$D$3:$D$27,$J8)</f>
        <v>393600</v>
      </c>
      <c r="O8" s="11">
        <f>SUMIFS($G$3:$G$27,$C$3:$C$27,O$2,$D$3:$D$27,$J8)</f>
        <v>146400</v>
      </c>
      <c r="P8" s="11">
        <f>SUMIFS($G$3:$G$27,$C$3:$C$27,P$2,$D$3:$D$27,$J8)</f>
        <v>235200</v>
      </c>
    </row>
    <row r="9" spans="1:18" x14ac:dyDescent="0.25">
      <c r="A9" s="63">
        <v>7</v>
      </c>
      <c r="B9" s="64" t="s">
        <v>66</v>
      </c>
      <c r="C9" s="64" t="s">
        <v>85</v>
      </c>
      <c r="D9" s="64" t="s">
        <v>58</v>
      </c>
      <c r="E9" s="65">
        <v>38013</v>
      </c>
      <c r="F9" s="66">
        <v>6600</v>
      </c>
      <c r="G9" s="66">
        <f t="shared" si="0"/>
        <v>79200</v>
      </c>
      <c r="H9" s="67">
        <f>G9/G$29</f>
        <v>3.864168618266979E-2</v>
      </c>
      <c r="J9" s="41" t="s">
        <v>87</v>
      </c>
      <c r="K9" s="11">
        <f>SUMIF($D$3:$D$27,J9,$G$3:$G$27)</f>
        <v>634800</v>
      </c>
      <c r="L9" s="11">
        <f>SUMIFS($G$3:$G$27,$C$3:$C$27,L$2,$D$3:$D$27,$J9)</f>
        <v>219600</v>
      </c>
      <c r="M9" s="11">
        <f>SUMIFS($G$3:$G$27,$C$3:$C$27,M$2,$D$3:$D$27,$J9)</f>
        <v>136800</v>
      </c>
      <c r="N9" s="11">
        <f>SUMIFS($G$3:$G$27,$C$3:$C$27,N$2,$D$3:$D$27,$J9)</f>
        <v>0</v>
      </c>
      <c r="O9" s="11">
        <f>SUMIFS($G$3:$G$27,$C$3:$C$27,O$2,$D$3:$D$27,$J9)</f>
        <v>278400</v>
      </c>
      <c r="P9" s="11">
        <f>SUMIFS($G$3:$G$27,$C$3:$C$27,P$2,$D$3:$D$27,$J9)</f>
        <v>0</v>
      </c>
    </row>
    <row r="10" spans="1:18" x14ac:dyDescent="0.25">
      <c r="A10" s="68">
        <v>8</v>
      </c>
      <c r="B10" s="69" t="s">
        <v>67</v>
      </c>
      <c r="C10" s="69" t="s">
        <v>62</v>
      </c>
      <c r="D10" s="69" t="s">
        <v>58</v>
      </c>
      <c r="E10" s="70">
        <v>39451</v>
      </c>
      <c r="F10" s="71">
        <v>6600</v>
      </c>
      <c r="G10" s="71">
        <f t="shared" si="0"/>
        <v>79200</v>
      </c>
      <c r="H10" s="72">
        <f>G10/G$29</f>
        <v>3.864168618266979E-2</v>
      </c>
      <c r="J10" s="46"/>
      <c r="K10" s="47"/>
      <c r="L10" s="47"/>
      <c r="M10" s="47"/>
      <c r="N10" s="47"/>
      <c r="O10" s="47"/>
      <c r="P10" s="45"/>
    </row>
    <row r="11" spans="1:18" x14ac:dyDescent="0.25">
      <c r="A11" s="63">
        <v>9</v>
      </c>
      <c r="B11" s="64" t="s">
        <v>68</v>
      </c>
      <c r="C11" s="64" t="s">
        <v>85</v>
      </c>
      <c r="D11" s="64" t="s">
        <v>87</v>
      </c>
      <c r="E11" s="65">
        <v>39549</v>
      </c>
      <c r="F11" s="66">
        <v>6400</v>
      </c>
      <c r="G11" s="66">
        <f t="shared" si="0"/>
        <v>76800</v>
      </c>
      <c r="H11" s="67">
        <f>G11/G$29</f>
        <v>3.7470725995316159E-2</v>
      </c>
      <c r="I11" s="16"/>
      <c r="J11" s="54" t="s">
        <v>100</v>
      </c>
      <c r="K11" s="60">
        <f>AVERAGE(G3:G27)</f>
        <v>81984</v>
      </c>
      <c r="L11" s="60">
        <f>AVERAGEIF($C3:$C27,L2,$G3:$G27)</f>
        <v>84450</v>
      </c>
      <c r="M11" s="60">
        <f>AVERAGEIF($C3:$C27,M2,$G3:$G27)</f>
        <v>80100</v>
      </c>
      <c r="N11" s="60">
        <f>AVERAGEIF($C3:$C27,N2,$G3:$G27)</f>
        <v>98400</v>
      </c>
      <c r="O11" s="60">
        <f>AVERAGEIF($C3:$C27,O2,$G3:$G27)</f>
        <v>70800</v>
      </c>
      <c r="P11" s="60">
        <f>AVERAGEIF($C3:$C27,P2,$G3:$G27)</f>
        <v>78400</v>
      </c>
      <c r="Q11" s="16"/>
      <c r="R11" s="16"/>
    </row>
    <row r="12" spans="1:18" x14ac:dyDescent="0.25">
      <c r="A12" s="68">
        <v>10</v>
      </c>
      <c r="B12" s="69" t="s">
        <v>69</v>
      </c>
      <c r="C12" s="69" t="s">
        <v>62</v>
      </c>
      <c r="D12" s="69" t="s">
        <v>58</v>
      </c>
      <c r="E12" s="70">
        <v>39699</v>
      </c>
      <c r="F12" s="71">
        <v>7300</v>
      </c>
      <c r="G12" s="71">
        <f t="shared" si="0"/>
        <v>87600</v>
      </c>
      <c r="H12" s="72">
        <f>G12/G$29</f>
        <v>4.2740046838407493E-2</v>
      </c>
      <c r="I12" s="16"/>
      <c r="J12" s="41" t="s">
        <v>58</v>
      </c>
      <c r="K12" s="59">
        <f>AVERAGEIF(D$3:D$27,J12,G$3:G$27)</f>
        <v>88425</v>
      </c>
      <c r="L12" s="59">
        <f>AVERAGEIFS($G$3:$G$27,$C$3:$C$27,L$2,$D$3:$D$27,$J12)</f>
        <v>91200</v>
      </c>
      <c r="M12" s="59">
        <f>AVERAGEIFS($G$3:$G$27,$C$3:$C$27,M$2,$D$3:$D$27,$J12)</f>
        <v>91800</v>
      </c>
      <c r="N12" s="59">
        <f>AVERAGEIFS($G$3:$G$27,$C$3:$C$27,N$2,$D$3:$D$27,$J12)</f>
        <v>98400</v>
      </c>
      <c r="O12" s="59">
        <f>AVERAGEIFS($G$3:$G$27,$C$3:$C$27,O$2,$D$3:$D$27,$J12)</f>
        <v>73200</v>
      </c>
      <c r="P12" s="59">
        <f>AVERAGEIFS($G$3:$G$27,$C$3:$C$27,P$2,$D$3:$D$27,$J12)</f>
        <v>78400</v>
      </c>
      <c r="Q12" s="16"/>
      <c r="R12" s="16"/>
    </row>
    <row r="13" spans="1:18" x14ac:dyDescent="0.25">
      <c r="A13" s="63">
        <v>11</v>
      </c>
      <c r="B13" s="64" t="s">
        <v>70</v>
      </c>
      <c r="C13" s="64" t="s">
        <v>85</v>
      </c>
      <c r="D13" s="64" t="s">
        <v>87</v>
      </c>
      <c r="E13" s="65">
        <v>39934</v>
      </c>
      <c r="F13" s="66">
        <v>5600</v>
      </c>
      <c r="G13" s="66">
        <f t="shared" si="0"/>
        <v>67200</v>
      </c>
      <c r="H13" s="67">
        <f>G13/G$29</f>
        <v>3.2786885245901641E-2</v>
      </c>
      <c r="I13" s="16"/>
      <c r="J13" s="41" t="s">
        <v>87</v>
      </c>
      <c r="K13" s="59">
        <f>AVERAGEIF(D$3:D$27,J13,G$3:G$27)</f>
        <v>70533.333333333328</v>
      </c>
      <c r="L13" s="59">
        <f>AVERAGEIFS($G$3:$G$27,$C$3:$C$27,L$2,$D$3:$D$27,$J13)</f>
        <v>73200</v>
      </c>
      <c r="M13" s="59">
        <f>AVERAGEIFS($G$3:$G$27,$C$3:$C$27,M$2,$D$3:$D$27,$J13)</f>
        <v>68400</v>
      </c>
      <c r="N13" s="42">
        <v>0</v>
      </c>
      <c r="O13" s="59">
        <f>AVERAGEIFS($G$3:$G$27,$C$3:$C$27,O$2,$D$3:$D$27,$J13)</f>
        <v>69600</v>
      </c>
      <c r="P13" s="42">
        <v>0</v>
      </c>
      <c r="Q13" s="16"/>
      <c r="R13" s="16"/>
    </row>
    <row r="14" spans="1:18" x14ac:dyDescent="0.25">
      <c r="A14" s="68">
        <v>12</v>
      </c>
      <c r="B14" s="69" t="s">
        <v>71</v>
      </c>
      <c r="C14" s="69" t="s">
        <v>57</v>
      </c>
      <c r="D14" s="69" t="s">
        <v>58</v>
      </c>
      <c r="E14" s="70">
        <v>40171</v>
      </c>
      <c r="F14" s="71">
        <v>6500</v>
      </c>
      <c r="G14" s="71">
        <f t="shared" si="0"/>
        <v>78000</v>
      </c>
      <c r="H14" s="72">
        <f>G14/G$29</f>
        <v>3.8056206088992975E-2</v>
      </c>
      <c r="I14" s="16"/>
      <c r="J14" s="46"/>
      <c r="K14" s="47"/>
      <c r="L14" s="47"/>
      <c r="M14" s="47"/>
      <c r="N14" s="47"/>
      <c r="O14" s="47"/>
      <c r="P14" s="48"/>
      <c r="Q14" s="16"/>
      <c r="R14" s="16"/>
    </row>
    <row r="15" spans="1:18" x14ac:dyDescent="0.25">
      <c r="A15" s="63">
        <v>13</v>
      </c>
      <c r="B15" s="64" t="s">
        <v>72</v>
      </c>
      <c r="C15" s="64" t="s">
        <v>57</v>
      </c>
      <c r="D15" s="64" t="s">
        <v>87</v>
      </c>
      <c r="E15" s="65">
        <v>40203</v>
      </c>
      <c r="F15" s="66">
        <v>5800</v>
      </c>
      <c r="G15" s="66">
        <f t="shared" si="0"/>
        <v>69600</v>
      </c>
      <c r="H15" s="67">
        <f>G15/G$29</f>
        <v>3.3957845433255272E-2</v>
      </c>
      <c r="I15" s="16"/>
      <c r="J15" s="54" t="s">
        <v>103</v>
      </c>
      <c r="K15" s="58">
        <f>MAX(G3:G27)</f>
        <v>126000</v>
      </c>
      <c r="L15" s="58">
        <f>_xlfn.MAXIFS($G3:$G27,$C3:$C27,L2)</f>
        <v>126000</v>
      </c>
      <c r="M15" s="58">
        <f>_xlfn.MAXIFS($G3:$G27,$C3:$C27,M2)</f>
        <v>117600</v>
      </c>
      <c r="N15" s="58">
        <f>_xlfn.MAXIFS($G3:$G27,$C3:$C27,N2)</f>
        <v>122400</v>
      </c>
      <c r="O15" s="58">
        <f>_xlfn.MAXIFS($G3:$G27,$C3:$C27,O2)</f>
        <v>79200</v>
      </c>
      <c r="P15" s="58">
        <f>_xlfn.MAXIFS($G3:$G27,$C3:$C27,P2)</f>
        <v>87600</v>
      </c>
      <c r="Q15" s="16"/>
      <c r="R15" s="16"/>
    </row>
    <row r="16" spans="1:18" x14ac:dyDescent="0.25">
      <c r="A16" s="68">
        <v>14</v>
      </c>
      <c r="B16" s="69" t="s">
        <v>73</v>
      </c>
      <c r="C16" s="69" t="s">
        <v>60</v>
      </c>
      <c r="D16" s="69" t="s">
        <v>58</v>
      </c>
      <c r="E16" s="70">
        <v>40341</v>
      </c>
      <c r="F16" s="71">
        <v>5500</v>
      </c>
      <c r="G16" s="71">
        <f t="shared" si="0"/>
        <v>66000</v>
      </c>
      <c r="H16" s="72">
        <f>G16/G$29</f>
        <v>3.2201405152224825E-2</v>
      </c>
      <c r="I16" s="16"/>
      <c r="J16" s="41" t="s">
        <v>58</v>
      </c>
      <c r="K16" s="11">
        <f>_xlfn.MAXIFS(G$3:G$27,D$3:D$27,J16)</f>
        <v>126000</v>
      </c>
      <c r="L16" s="11">
        <f>_xlfn.MAXIFS($G$3:$G$27,$C$3:$C$27,L$2,$D$3:$D$27,$J16)</f>
        <v>126000</v>
      </c>
      <c r="M16" s="11">
        <f>_xlfn.MAXIFS($G$3:$G$27,$C$3:$C$27,M$2,$D$3:$D$27,$J16)</f>
        <v>117600</v>
      </c>
      <c r="N16" s="11">
        <f>_xlfn.MAXIFS($G$3:$G$27,$C$3:$C$27,N$2,$D$3:$D$27,$J16)</f>
        <v>122400</v>
      </c>
      <c r="O16" s="11">
        <f>_xlfn.MAXIFS($G$3:$G$27,$C$3:$C$27,O$2,$D$3:$D$27,$J16)</f>
        <v>79200</v>
      </c>
      <c r="P16" s="11">
        <f>_xlfn.MAXIFS($G$3:$G$27,$C$3:$C$27,P$2,$D$3:$D$27,$J16)</f>
        <v>87600</v>
      </c>
      <c r="Q16" s="16"/>
      <c r="R16" s="16"/>
    </row>
    <row r="17" spans="1:18" x14ac:dyDescent="0.25">
      <c r="A17" s="63">
        <v>15</v>
      </c>
      <c r="B17" s="64" t="s">
        <v>74</v>
      </c>
      <c r="C17" s="64" t="s">
        <v>60</v>
      </c>
      <c r="D17" s="64" t="s">
        <v>87</v>
      </c>
      <c r="E17" s="65">
        <v>40377</v>
      </c>
      <c r="F17" s="66">
        <v>6200</v>
      </c>
      <c r="G17" s="66">
        <f t="shared" si="0"/>
        <v>74400</v>
      </c>
      <c r="H17" s="67">
        <f>G17/G$29</f>
        <v>3.6299765807962528E-2</v>
      </c>
      <c r="I17" s="16"/>
      <c r="J17" s="41" t="s">
        <v>87</v>
      </c>
      <c r="K17" s="11">
        <f>_xlfn.MAXIFS(G$3:G$27,D$3:D$27,J17)</f>
        <v>85200</v>
      </c>
      <c r="L17" s="11">
        <f>_xlfn.MAXIFS($G$3:$G$27,$C$3:$C$27,L$2,$D$3:$D$27,$J17)</f>
        <v>85200</v>
      </c>
      <c r="M17" s="11">
        <f>_xlfn.MAXIFS($G$3:$G$27,$C$3:$C$27,M$2,$D$3:$D$27,$J17)</f>
        <v>74400</v>
      </c>
      <c r="N17" s="11">
        <f>_xlfn.MAXIFS($G$3:$G$27,$C$3:$C$27,N$2,$D$3:$D$27,$J17)</f>
        <v>0</v>
      </c>
      <c r="O17" s="11">
        <f>_xlfn.MAXIFS($G$3:$G$27,$C$3:$C$27,O$2,$D$3:$D$27,$J17)</f>
        <v>76800</v>
      </c>
      <c r="P17" s="11">
        <f>_xlfn.MAXIFS($G$3:$G$27,$C$3:$C$27,P$2,$D$3:$D$27,$J17)</f>
        <v>0</v>
      </c>
      <c r="Q17" s="16"/>
      <c r="R17" s="16"/>
    </row>
    <row r="18" spans="1:18" x14ac:dyDescent="0.25">
      <c r="A18" s="68">
        <v>16</v>
      </c>
      <c r="B18" s="69" t="s">
        <v>75</v>
      </c>
      <c r="C18" s="69" t="s">
        <v>86</v>
      </c>
      <c r="D18" s="69" t="s">
        <v>58</v>
      </c>
      <c r="E18" s="70">
        <v>40474</v>
      </c>
      <c r="F18" s="71">
        <v>7300</v>
      </c>
      <c r="G18" s="71">
        <f t="shared" si="0"/>
        <v>87600</v>
      </c>
      <c r="H18" s="72">
        <f>G18/G$29</f>
        <v>4.2740046838407493E-2</v>
      </c>
      <c r="I18" s="16"/>
      <c r="J18" s="46"/>
      <c r="K18" s="47"/>
      <c r="L18" s="47"/>
      <c r="M18" s="47"/>
      <c r="N18" s="47"/>
      <c r="O18" s="47"/>
      <c r="P18" s="48"/>
      <c r="Q18" s="16"/>
      <c r="R18" s="16"/>
    </row>
    <row r="19" spans="1:18" x14ac:dyDescent="0.25">
      <c r="A19" s="63">
        <v>17</v>
      </c>
      <c r="B19" s="64" t="s">
        <v>76</v>
      </c>
      <c r="C19" s="64" t="s">
        <v>57</v>
      </c>
      <c r="D19" s="64" t="s">
        <v>58</v>
      </c>
      <c r="E19" s="65">
        <v>41027</v>
      </c>
      <c r="F19" s="66">
        <v>6700</v>
      </c>
      <c r="G19" s="66">
        <f t="shared" si="0"/>
        <v>80400</v>
      </c>
      <c r="H19" s="67">
        <f>G19/G$29</f>
        <v>3.9227166276346606E-2</v>
      </c>
      <c r="I19" s="16"/>
      <c r="J19" s="54" t="s">
        <v>102</v>
      </c>
      <c r="K19" s="58">
        <f>MIN(G3:G27)</f>
        <v>62400</v>
      </c>
      <c r="L19" s="58">
        <f>_xlfn.MINIFS($G3:$G27,$C3:$C27,L2)</f>
        <v>64800</v>
      </c>
      <c r="M19" s="58">
        <f>_xlfn.MINIFS($G3:$G27,$C3:$C27,M2)</f>
        <v>62400</v>
      </c>
      <c r="N19" s="58">
        <f>_xlfn.MINIFS($G3:$G27,$C3:$C27,N2)</f>
        <v>79200</v>
      </c>
      <c r="O19" s="58">
        <f>_xlfn.MINIFS($G3:$G27,$C3:$C27,O2)</f>
        <v>67200</v>
      </c>
      <c r="P19" s="58">
        <f>_xlfn.MINIFS($G3:$G27,$C3:$C27,P2)</f>
        <v>70800</v>
      </c>
      <c r="Q19" s="16"/>
      <c r="R19" s="16"/>
    </row>
    <row r="20" spans="1:18" x14ac:dyDescent="0.25">
      <c r="A20" s="68">
        <v>18</v>
      </c>
      <c r="B20" s="69" t="s">
        <v>77</v>
      </c>
      <c r="C20" s="69" t="s">
        <v>60</v>
      </c>
      <c r="D20" s="69" t="s">
        <v>87</v>
      </c>
      <c r="E20" s="70">
        <v>41058</v>
      </c>
      <c r="F20" s="71">
        <v>5200</v>
      </c>
      <c r="G20" s="71">
        <f t="shared" si="0"/>
        <v>62400</v>
      </c>
      <c r="H20" s="72">
        <f>G20/G$29</f>
        <v>3.0444964871194378E-2</v>
      </c>
      <c r="I20" s="16"/>
      <c r="J20" s="41" t="s">
        <v>58</v>
      </c>
      <c r="K20" s="11">
        <f>_xlfn.MINIFS(G$3:G$27,D$3:D$27,J20)</f>
        <v>66000</v>
      </c>
      <c r="L20" s="11">
        <f>_xlfn.MINIFS($G$3:$G$27,$C$3:$C$27,L$2,$D$3:$D$27,$J20)</f>
        <v>69600</v>
      </c>
      <c r="M20" s="11">
        <f>_xlfn.MINIFS($G$3:$G$27,$C$3:$C$27,M$2,$D$3:$D$27,$J20)</f>
        <v>66000</v>
      </c>
      <c r="N20" s="11">
        <f>_xlfn.MINIFS($G$3:$G$27,$C$3:$C$27,N$2,$D$3:$D$27,$J20)</f>
        <v>79200</v>
      </c>
      <c r="O20" s="11">
        <f>_xlfn.MINIFS($G$3:$G$27,$C$3:$C$27,O$2,$D$3:$D$27,$J20)</f>
        <v>67200</v>
      </c>
      <c r="P20" s="11">
        <f>_xlfn.MINIFS($G$3:$G$27,$C$3:$C$27,P$2,$D$3:$D$27,$J20)</f>
        <v>70800</v>
      </c>
      <c r="Q20" s="16"/>
      <c r="R20" s="16"/>
    </row>
    <row r="21" spans="1:18" x14ac:dyDescent="0.25">
      <c r="A21" s="63">
        <v>19</v>
      </c>
      <c r="B21" s="64" t="s">
        <v>78</v>
      </c>
      <c r="C21" s="64" t="s">
        <v>57</v>
      </c>
      <c r="D21" s="64" t="s">
        <v>58</v>
      </c>
      <c r="E21" s="65">
        <v>41071</v>
      </c>
      <c r="F21" s="66">
        <v>5800</v>
      </c>
      <c r="G21" s="66">
        <f t="shared" si="0"/>
        <v>69600</v>
      </c>
      <c r="H21" s="67">
        <f>G21/G$29</f>
        <v>3.3957845433255272E-2</v>
      </c>
      <c r="I21" s="16"/>
      <c r="J21" s="41" t="s">
        <v>87</v>
      </c>
      <c r="K21" s="11">
        <f>_xlfn.MINIFS(G$3:G$27,D$3:D$27,J21)</f>
        <v>62400</v>
      </c>
      <c r="L21" s="11">
        <f>_xlfn.MINIFS($G$3:$G$27,$C$3:$C$27,L$2,$D$3:$D$27,$J21)</f>
        <v>64800</v>
      </c>
      <c r="M21" s="11">
        <f>_xlfn.MINIFS($G$3:$G$27,$C$3:$C$27,M$2,$D$3:$D$27,$J21)</f>
        <v>62400</v>
      </c>
      <c r="N21" s="11">
        <f>_xlfn.MINIFS($G$3:$G$27,$C$3:$C$27,N$2,$D$3:$D$27,$J21)</f>
        <v>0</v>
      </c>
      <c r="O21" s="11">
        <f>_xlfn.MINIFS($G$3:$G$27,$C$3:$C$27,O$2,$D$3:$D$27,$J21)</f>
        <v>67200</v>
      </c>
      <c r="P21" s="11">
        <f>_xlfn.MINIFS($G$3:$G$27,$C$3:$C$27,P$2,$D$3:$D$27,$J21)</f>
        <v>0</v>
      </c>
      <c r="Q21" s="16"/>
      <c r="R21" s="16"/>
    </row>
    <row r="22" spans="1:18" x14ac:dyDescent="0.25">
      <c r="A22" s="68">
        <v>20</v>
      </c>
      <c r="B22" s="69" t="s">
        <v>79</v>
      </c>
      <c r="C22" s="69" t="s">
        <v>86</v>
      </c>
      <c r="D22" s="69" t="s">
        <v>58</v>
      </c>
      <c r="E22" s="70">
        <v>41460</v>
      </c>
      <c r="F22" s="71">
        <v>5900</v>
      </c>
      <c r="G22" s="71">
        <f t="shared" si="0"/>
        <v>70800</v>
      </c>
      <c r="H22" s="72">
        <f>G22/G$29</f>
        <v>3.4543325526932081E-2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63">
        <v>21</v>
      </c>
      <c r="B23" s="64" t="s">
        <v>80</v>
      </c>
      <c r="C23" s="64" t="s">
        <v>57</v>
      </c>
      <c r="D23" s="64" t="s">
        <v>87</v>
      </c>
      <c r="E23" s="65">
        <v>41734</v>
      </c>
      <c r="F23" s="66">
        <v>5400</v>
      </c>
      <c r="G23" s="66">
        <f t="shared" si="0"/>
        <v>64800</v>
      </c>
      <c r="H23" s="67">
        <f>G23/G$29</f>
        <v>3.161592505854801E-2</v>
      </c>
      <c r="I23" s="16"/>
      <c r="J23" s="14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68">
        <v>22</v>
      </c>
      <c r="B24" s="69" t="s">
        <v>81</v>
      </c>
      <c r="C24" s="69" t="s">
        <v>85</v>
      </c>
      <c r="D24" s="69" t="s">
        <v>58</v>
      </c>
      <c r="E24" s="70">
        <v>41853</v>
      </c>
      <c r="F24" s="71">
        <v>5600</v>
      </c>
      <c r="G24" s="71">
        <f t="shared" si="0"/>
        <v>67200</v>
      </c>
      <c r="H24" s="72">
        <f>G24/G$29</f>
        <v>3.2786885245901641E-2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63">
        <v>23</v>
      </c>
      <c r="B25" s="64" t="s">
        <v>82</v>
      </c>
      <c r="C25" s="64" t="s">
        <v>86</v>
      </c>
      <c r="D25" s="64" t="s">
        <v>58</v>
      </c>
      <c r="E25" s="65">
        <v>43142</v>
      </c>
      <c r="F25" s="66">
        <v>6400</v>
      </c>
      <c r="G25" s="66">
        <f t="shared" si="0"/>
        <v>76800</v>
      </c>
      <c r="H25" s="67">
        <f>G25/G$29</f>
        <v>3.7470725995316159E-2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68">
        <v>24</v>
      </c>
      <c r="B26" s="69" t="s">
        <v>83</v>
      </c>
      <c r="C26" s="69" t="s">
        <v>85</v>
      </c>
      <c r="D26" s="69" t="s">
        <v>87</v>
      </c>
      <c r="E26" s="70">
        <v>43364</v>
      </c>
      <c r="F26" s="71">
        <v>5600</v>
      </c>
      <c r="G26" s="71">
        <f t="shared" si="0"/>
        <v>67200</v>
      </c>
      <c r="H26" s="72">
        <f>G26/G$29</f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73">
        <v>25</v>
      </c>
      <c r="B27" s="74" t="s">
        <v>84</v>
      </c>
      <c r="C27" s="74" t="s">
        <v>85</v>
      </c>
      <c r="D27" s="74" t="s">
        <v>87</v>
      </c>
      <c r="E27" s="75">
        <v>44104</v>
      </c>
      <c r="F27" s="76">
        <v>5600</v>
      </c>
      <c r="G27" s="76">
        <f t="shared" si="0"/>
        <v>67200</v>
      </c>
      <c r="H27" s="77">
        <f>G27/G$29</f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H28" s="39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G29" s="31">
        <f>SUM(G3:G27)</f>
        <v>2049600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conditionalFormatting sqref="G3:G27">
    <cfRule type="cellIs" dxfId="5" priority="1" operator="lessThan">
      <formula>65000</formula>
    </cfRule>
    <cfRule type="cellIs" dxfId="4" priority="2" operator="greaterThan">
      <formula>100000</formula>
    </cfRule>
  </conditionalFormatting>
  <conditionalFormatting sqref="H3:H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9617-FE9B-4CC4-99EF-7623234C9B25}">
  <dimension ref="A1:R128"/>
  <sheetViews>
    <sheetView showGridLines="0" zoomScale="80" zoomScaleNormal="80" workbookViewId="0">
      <selection activeCell="C14" sqref="C14"/>
    </sheetView>
  </sheetViews>
  <sheetFormatPr defaultRowHeight="15" x14ac:dyDescent="0.25"/>
  <cols>
    <col min="1" max="1" width="7.85546875" customWidth="1"/>
    <col min="2" max="3" width="21.7109375" bestFit="1" customWidth="1"/>
    <col min="4" max="4" width="19.140625" customWidth="1"/>
    <col min="5" max="5" width="16.42578125" customWidth="1"/>
    <col min="6" max="6" width="19.7109375" customWidth="1"/>
    <col min="7" max="7" width="18.42578125" customWidth="1"/>
    <col min="8" max="8" width="24.85546875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4"/>
      <c r="K1" s="12"/>
      <c r="L1" s="12"/>
      <c r="M1" s="12"/>
      <c r="N1" s="12"/>
      <c r="O1" s="12"/>
      <c r="P1" s="12"/>
    </row>
    <row r="2" spans="1:18" x14ac:dyDescent="0.25">
      <c r="A2" s="61" t="s">
        <v>52</v>
      </c>
      <c r="B2" s="61" t="s">
        <v>53</v>
      </c>
      <c r="C2" s="61" t="s">
        <v>54</v>
      </c>
      <c r="D2" s="61" t="s">
        <v>88</v>
      </c>
      <c r="E2" s="61" t="s">
        <v>89</v>
      </c>
      <c r="F2" s="61" t="s">
        <v>55</v>
      </c>
      <c r="G2" s="61" t="s">
        <v>90</v>
      </c>
      <c r="H2" s="62" t="s">
        <v>104</v>
      </c>
    </row>
    <row r="3" spans="1:18" x14ac:dyDescent="0.25">
      <c r="A3" s="78">
        <v>3</v>
      </c>
      <c r="B3" s="79" t="s">
        <v>61</v>
      </c>
      <c r="C3" s="79" t="s">
        <v>62</v>
      </c>
      <c r="D3" s="79" t="s">
        <v>58</v>
      </c>
      <c r="E3" s="80">
        <v>36628</v>
      </c>
      <c r="F3" s="81">
        <v>10200</v>
      </c>
      <c r="G3" s="81">
        <f>F3*12</f>
        <v>122400</v>
      </c>
      <c r="H3" s="82">
        <f>G3/G$29</f>
        <v>5.9718969555035126E-2</v>
      </c>
    </row>
    <row r="4" spans="1:18" x14ac:dyDescent="0.25">
      <c r="A4" s="78">
        <v>6</v>
      </c>
      <c r="B4" s="79" t="s">
        <v>65</v>
      </c>
      <c r="C4" s="79" t="s">
        <v>62</v>
      </c>
      <c r="D4" s="79" t="s">
        <v>58</v>
      </c>
      <c r="E4" s="80">
        <v>37323</v>
      </c>
      <c r="F4" s="81">
        <v>8700</v>
      </c>
      <c r="G4" s="81">
        <f>F4*12</f>
        <v>104400</v>
      </c>
      <c r="H4" s="82">
        <f>G4/G$29</f>
        <v>5.0936768149882905E-2</v>
      </c>
    </row>
    <row r="5" spans="1:18" x14ac:dyDescent="0.25">
      <c r="A5" s="78">
        <v>10</v>
      </c>
      <c r="B5" s="79" t="s">
        <v>69</v>
      </c>
      <c r="C5" s="79" t="s">
        <v>62</v>
      </c>
      <c r="D5" s="79" t="s">
        <v>58</v>
      </c>
      <c r="E5" s="80">
        <v>39699</v>
      </c>
      <c r="F5" s="81">
        <v>7300</v>
      </c>
      <c r="G5" s="81">
        <f>F5*12</f>
        <v>87600</v>
      </c>
      <c r="H5" s="82">
        <f>G5/G$29</f>
        <v>4.2740046838407493E-2</v>
      </c>
    </row>
    <row r="6" spans="1:18" x14ac:dyDescent="0.25">
      <c r="A6" s="78">
        <v>8</v>
      </c>
      <c r="B6" s="79" t="s">
        <v>67</v>
      </c>
      <c r="C6" s="79" t="s">
        <v>62</v>
      </c>
      <c r="D6" s="79" t="s">
        <v>58</v>
      </c>
      <c r="E6" s="80">
        <v>39451</v>
      </c>
      <c r="F6" s="81">
        <v>6600</v>
      </c>
      <c r="G6" s="81">
        <f>F6*12</f>
        <v>79200</v>
      </c>
      <c r="H6" s="82">
        <f>G6/G$29</f>
        <v>3.864168618266979E-2</v>
      </c>
      <c r="K6" t="s">
        <v>57</v>
      </c>
      <c r="L6" t="s">
        <v>58</v>
      </c>
      <c r="M6">
        <v>126000</v>
      </c>
    </row>
    <row r="7" spans="1:18" x14ac:dyDescent="0.25">
      <c r="A7" s="78">
        <v>16</v>
      </c>
      <c r="B7" s="79" t="s">
        <v>75</v>
      </c>
      <c r="C7" s="79" t="s">
        <v>86</v>
      </c>
      <c r="D7" s="79" t="s">
        <v>58</v>
      </c>
      <c r="E7" s="80">
        <v>40474</v>
      </c>
      <c r="F7" s="81">
        <v>7300</v>
      </c>
      <c r="G7" s="81">
        <f>F7*12</f>
        <v>87600</v>
      </c>
      <c r="H7" s="82">
        <f>G7/G$29</f>
        <v>4.2740046838407493E-2</v>
      </c>
      <c r="K7" t="s">
        <v>57</v>
      </c>
      <c r="L7" t="s">
        <v>58</v>
      </c>
      <c r="M7">
        <v>85000</v>
      </c>
    </row>
    <row r="8" spans="1:18" x14ac:dyDescent="0.25">
      <c r="A8" s="78">
        <v>23</v>
      </c>
      <c r="B8" s="79" t="s">
        <v>82</v>
      </c>
      <c r="C8" s="79" t="s">
        <v>86</v>
      </c>
      <c r="D8" s="79" t="s">
        <v>58</v>
      </c>
      <c r="E8" s="80">
        <v>43142</v>
      </c>
      <c r="F8" s="81">
        <v>6400</v>
      </c>
      <c r="G8" s="81">
        <f>F8*12</f>
        <v>76800</v>
      </c>
      <c r="H8" s="82">
        <f>G8/G$29</f>
        <v>3.7470725995316159E-2</v>
      </c>
      <c r="K8" t="s">
        <v>57</v>
      </c>
      <c r="L8" t="s">
        <v>58</v>
      </c>
      <c r="M8">
        <v>70000</v>
      </c>
    </row>
    <row r="9" spans="1:18" x14ac:dyDescent="0.25">
      <c r="A9" s="78">
        <v>20</v>
      </c>
      <c r="B9" s="79" t="s">
        <v>79</v>
      </c>
      <c r="C9" s="79" t="s">
        <v>86</v>
      </c>
      <c r="D9" s="79" t="s">
        <v>58</v>
      </c>
      <c r="E9" s="80">
        <v>41460</v>
      </c>
      <c r="F9" s="81">
        <v>5900</v>
      </c>
      <c r="G9" s="81">
        <f>F9*12</f>
        <v>70800</v>
      </c>
      <c r="H9" s="82">
        <f>G9/G$29</f>
        <v>3.4543325526932081E-2</v>
      </c>
      <c r="K9" t="s">
        <v>57</v>
      </c>
      <c r="L9" t="s">
        <v>87</v>
      </c>
      <c r="M9">
        <v>90000</v>
      </c>
    </row>
    <row r="10" spans="1:18" x14ac:dyDescent="0.25">
      <c r="A10" s="78">
        <v>2</v>
      </c>
      <c r="B10" s="79" t="s">
        <v>59</v>
      </c>
      <c r="C10" s="79" t="s">
        <v>60</v>
      </c>
      <c r="D10" s="79" t="s">
        <v>58</v>
      </c>
      <c r="E10" s="80">
        <v>36069</v>
      </c>
      <c r="F10" s="81">
        <v>9800</v>
      </c>
      <c r="G10" s="81">
        <f>F10*12</f>
        <v>117600</v>
      </c>
      <c r="H10" s="82">
        <f>G10/G$29</f>
        <v>5.737704918032787E-2</v>
      </c>
      <c r="K10" t="s">
        <v>57</v>
      </c>
      <c r="L10" t="s">
        <v>87</v>
      </c>
      <c r="M10">
        <v>75000</v>
      </c>
    </row>
    <row r="11" spans="1:18" x14ac:dyDescent="0.25">
      <c r="A11" s="78">
        <v>14</v>
      </c>
      <c r="B11" s="79" t="s">
        <v>73</v>
      </c>
      <c r="C11" s="79" t="s">
        <v>60</v>
      </c>
      <c r="D11" s="79" t="s">
        <v>58</v>
      </c>
      <c r="E11" s="80">
        <v>40341</v>
      </c>
      <c r="F11" s="81">
        <v>5500</v>
      </c>
      <c r="G11" s="81">
        <f>F11*12</f>
        <v>66000</v>
      </c>
      <c r="H11" s="82">
        <f>G11/G$29</f>
        <v>3.2201405152224825E-2</v>
      </c>
      <c r="I11" s="16"/>
      <c r="Q11" s="16"/>
      <c r="R11" s="16"/>
    </row>
    <row r="12" spans="1:18" x14ac:dyDescent="0.25">
      <c r="A12" s="78">
        <v>15</v>
      </c>
      <c r="B12" s="79" t="s">
        <v>74</v>
      </c>
      <c r="C12" s="79" t="s">
        <v>60</v>
      </c>
      <c r="D12" s="79" t="s">
        <v>87</v>
      </c>
      <c r="E12" s="80">
        <v>40377</v>
      </c>
      <c r="F12" s="81">
        <v>6200</v>
      </c>
      <c r="G12" s="81">
        <f>F12*12</f>
        <v>74400</v>
      </c>
      <c r="H12" s="82">
        <f>G12/G$29</f>
        <v>3.6299765807962528E-2</v>
      </c>
      <c r="I12" s="16"/>
      <c r="Q12" s="16"/>
      <c r="R12" s="16"/>
    </row>
    <row r="13" spans="1:18" x14ac:dyDescent="0.25">
      <c r="A13" s="78">
        <v>18</v>
      </c>
      <c r="B13" s="79" t="s">
        <v>77</v>
      </c>
      <c r="C13" s="79" t="s">
        <v>60</v>
      </c>
      <c r="D13" s="79" t="s">
        <v>87</v>
      </c>
      <c r="E13" s="80">
        <v>41058</v>
      </c>
      <c r="F13" s="81">
        <v>5200</v>
      </c>
      <c r="G13" s="81">
        <f>F13*12</f>
        <v>62400</v>
      </c>
      <c r="H13" s="82">
        <f>G13/G$29</f>
        <v>3.0444964871194378E-2</v>
      </c>
      <c r="I13" s="16"/>
      <c r="Q13" s="16"/>
      <c r="R13" s="16"/>
    </row>
    <row r="14" spans="1:18" x14ac:dyDescent="0.25">
      <c r="A14" s="78">
        <v>1</v>
      </c>
      <c r="B14" s="79" t="s">
        <v>56</v>
      </c>
      <c r="C14" s="79" t="s">
        <v>57</v>
      </c>
      <c r="D14" s="79" t="s">
        <v>58</v>
      </c>
      <c r="E14" s="80">
        <v>35977</v>
      </c>
      <c r="F14" s="81">
        <v>10500</v>
      </c>
      <c r="G14" s="81">
        <f>F14*12</f>
        <v>126000</v>
      </c>
      <c r="H14" s="82">
        <f>G14/G$29</f>
        <v>6.1475409836065573E-2</v>
      </c>
      <c r="I14" s="16"/>
      <c r="Q14" s="16"/>
      <c r="R14" s="16"/>
    </row>
    <row r="15" spans="1:18" x14ac:dyDescent="0.25">
      <c r="A15" s="78">
        <v>4</v>
      </c>
      <c r="B15" s="79" t="s">
        <v>63</v>
      </c>
      <c r="C15" s="79" t="s">
        <v>57</v>
      </c>
      <c r="D15" s="79" t="s">
        <v>58</v>
      </c>
      <c r="E15" s="80">
        <v>36937</v>
      </c>
      <c r="F15" s="81">
        <v>8500</v>
      </c>
      <c r="G15" s="81">
        <f>F15*12</f>
        <v>102000</v>
      </c>
      <c r="H15" s="82">
        <f>G15/G$29</f>
        <v>4.9765807962529274E-2</v>
      </c>
      <c r="I15" s="16"/>
      <c r="Q15" s="16"/>
      <c r="R15" s="16"/>
    </row>
    <row r="16" spans="1:18" x14ac:dyDescent="0.25">
      <c r="A16" s="78">
        <v>17</v>
      </c>
      <c r="B16" s="79" t="s">
        <v>76</v>
      </c>
      <c r="C16" s="79" t="s">
        <v>57</v>
      </c>
      <c r="D16" s="79" t="s">
        <v>58</v>
      </c>
      <c r="E16" s="80">
        <v>41027</v>
      </c>
      <c r="F16" s="81">
        <v>6700</v>
      </c>
      <c r="G16" s="81">
        <f>F16*12</f>
        <v>80400</v>
      </c>
      <c r="H16" s="82">
        <f>G16/G$29</f>
        <v>3.9227166276346606E-2</v>
      </c>
      <c r="I16" s="16"/>
      <c r="Q16" s="16"/>
      <c r="R16" s="16"/>
    </row>
    <row r="17" spans="1:18" x14ac:dyDescent="0.25">
      <c r="A17" s="78">
        <v>12</v>
      </c>
      <c r="B17" s="79" t="s">
        <v>71</v>
      </c>
      <c r="C17" s="79" t="s">
        <v>57</v>
      </c>
      <c r="D17" s="79" t="s">
        <v>58</v>
      </c>
      <c r="E17" s="80">
        <v>40171</v>
      </c>
      <c r="F17" s="81">
        <v>6500</v>
      </c>
      <c r="G17" s="81">
        <f>F17*12</f>
        <v>78000</v>
      </c>
      <c r="H17" s="82">
        <f>G17/G$29</f>
        <v>3.8056206088992975E-2</v>
      </c>
      <c r="I17" s="16"/>
      <c r="Q17" s="16"/>
      <c r="R17" s="16"/>
    </row>
    <row r="18" spans="1:18" x14ac:dyDescent="0.25">
      <c r="A18" s="78">
        <v>19</v>
      </c>
      <c r="B18" s="79" t="s">
        <v>78</v>
      </c>
      <c r="C18" s="79" t="s">
        <v>57</v>
      </c>
      <c r="D18" s="79" t="s">
        <v>58</v>
      </c>
      <c r="E18" s="80">
        <v>41071</v>
      </c>
      <c r="F18" s="81">
        <v>5800</v>
      </c>
      <c r="G18" s="81">
        <f>F18*12</f>
        <v>69600</v>
      </c>
      <c r="H18" s="82">
        <f>G18/G$29</f>
        <v>3.3957845433255272E-2</v>
      </c>
      <c r="I18" s="16"/>
      <c r="Q18" s="16"/>
      <c r="R18" s="16"/>
    </row>
    <row r="19" spans="1:18" x14ac:dyDescent="0.25">
      <c r="A19" s="78">
        <v>5</v>
      </c>
      <c r="B19" s="79" t="s">
        <v>64</v>
      </c>
      <c r="C19" s="79" t="s">
        <v>57</v>
      </c>
      <c r="D19" s="79" t="s">
        <v>87</v>
      </c>
      <c r="E19" s="80">
        <v>36992</v>
      </c>
      <c r="F19" s="81">
        <v>7100</v>
      </c>
      <c r="G19" s="81">
        <f>F19*12</f>
        <v>85200</v>
      </c>
      <c r="H19" s="82">
        <f>G19/G$29</f>
        <v>4.1569086651053862E-2</v>
      </c>
      <c r="I19" s="16"/>
      <c r="Q19" s="16"/>
      <c r="R19" s="16"/>
    </row>
    <row r="20" spans="1:18" x14ac:dyDescent="0.25">
      <c r="A20" s="78">
        <v>13</v>
      </c>
      <c r="B20" s="79" t="s">
        <v>72</v>
      </c>
      <c r="C20" s="79" t="s">
        <v>57</v>
      </c>
      <c r="D20" s="79" t="s">
        <v>87</v>
      </c>
      <c r="E20" s="80">
        <v>40203</v>
      </c>
      <c r="F20" s="81">
        <v>5800</v>
      </c>
      <c r="G20" s="81">
        <f>F20*12</f>
        <v>69600</v>
      </c>
      <c r="H20" s="82">
        <f>G20/G$29</f>
        <v>3.3957845433255272E-2</v>
      </c>
      <c r="I20" s="16"/>
      <c r="Q20" s="16"/>
      <c r="R20" s="16"/>
    </row>
    <row r="21" spans="1:18" x14ac:dyDescent="0.25">
      <c r="A21" s="78">
        <v>21</v>
      </c>
      <c r="B21" s="79" t="s">
        <v>80</v>
      </c>
      <c r="C21" s="79" t="s">
        <v>57</v>
      </c>
      <c r="D21" s="79" t="s">
        <v>87</v>
      </c>
      <c r="E21" s="80">
        <v>41734</v>
      </c>
      <c r="F21" s="81">
        <v>5400</v>
      </c>
      <c r="G21" s="81">
        <f>F21*12</f>
        <v>64800</v>
      </c>
      <c r="H21" s="82">
        <f>G21/G$29</f>
        <v>3.161592505854801E-2</v>
      </c>
      <c r="I21" s="16"/>
      <c r="Q21" s="16"/>
      <c r="R21" s="16"/>
    </row>
    <row r="22" spans="1:18" x14ac:dyDescent="0.25">
      <c r="A22" s="78">
        <v>7</v>
      </c>
      <c r="B22" s="79" t="s">
        <v>66</v>
      </c>
      <c r="C22" s="79" t="s">
        <v>85</v>
      </c>
      <c r="D22" s="79" t="s">
        <v>58</v>
      </c>
      <c r="E22" s="80">
        <v>38013</v>
      </c>
      <c r="F22" s="81">
        <v>6600</v>
      </c>
      <c r="G22" s="81">
        <f>F22*12</f>
        <v>79200</v>
      </c>
      <c r="H22" s="82">
        <f>G22/G$29</f>
        <v>3.864168618266979E-2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78">
        <v>22</v>
      </c>
      <c r="B23" s="79" t="s">
        <v>81</v>
      </c>
      <c r="C23" s="79" t="s">
        <v>85</v>
      </c>
      <c r="D23" s="79" t="s">
        <v>58</v>
      </c>
      <c r="E23" s="80">
        <v>41853</v>
      </c>
      <c r="F23" s="81">
        <v>5600</v>
      </c>
      <c r="G23" s="81">
        <f>F23*12</f>
        <v>67200</v>
      </c>
      <c r="H23" s="82">
        <f>G23/G$29</f>
        <v>3.2786885245901641E-2</v>
      </c>
      <c r="I23" s="16"/>
      <c r="J23" s="14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78">
        <v>9</v>
      </c>
      <c r="B24" s="79" t="s">
        <v>68</v>
      </c>
      <c r="C24" s="79" t="s">
        <v>85</v>
      </c>
      <c r="D24" s="79" t="s">
        <v>87</v>
      </c>
      <c r="E24" s="80">
        <v>39549</v>
      </c>
      <c r="F24" s="81">
        <v>6400</v>
      </c>
      <c r="G24" s="81">
        <f>F24*12</f>
        <v>76800</v>
      </c>
      <c r="H24" s="82">
        <f>G24/G$29</f>
        <v>3.7470725995316159E-2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78">
        <v>11</v>
      </c>
      <c r="B25" s="79" t="s">
        <v>70</v>
      </c>
      <c r="C25" s="79" t="s">
        <v>85</v>
      </c>
      <c r="D25" s="79" t="s">
        <v>87</v>
      </c>
      <c r="E25" s="80">
        <v>39934</v>
      </c>
      <c r="F25" s="81">
        <v>5600</v>
      </c>
      <c r="G25" s="81">
        <f>F25*12</f>
        <v>67200</v>
      </c>
      <c r="H25" s="82">
        <f>G25/G$29</f>
        <v>3.2786885245901641E-2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78">
        <v>24</v>
      </c>
      <c r="B26" s="79" t="s">
        <v>83</v>
      </c>
      <c r="C26" s="79" t="s">
        <v>85</v>
      </c>
      <c r="D26" s="79" t="s">
        <v>87</v>
      </c>
      <c r="E26" s="80">
        <v>43364</v>
      </c>
      <c r="F26" s="81">
        <v>5600</v>
      </c>
      <c r="G26" s="81">
        <f>F26*12</f>
        <v>67200</v>
      </c>
      <c r="H26" s="82">
        <f>G26/G$29</f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83">
        <v>25</v>
      </c>
      <c r="B27" s="84" t="s">
        <v>84</v>
      </c>
      <c r="C27" s="84" t="s">
        <v>85</v>
      </c>
      <c r="D27" s="84" t="s">
        <v>87</v>
      </c>
      <c r="E27" s="85">
        <v>44104</v>
      </c>
      <c r="F27" s="86">
        <v>5600</v>
      </c>
      <c r="G27" s="86">
        <f>F27*12</f>
        <v>67200</v>
      </c>
      <c r="H27" s="87">
        <f>G27/G$29</f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H28" s="39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G29" s="31">
        <f>SUM(G3:G27)</f>
        <v>2049600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autoFilter ref="A2:H27" xr:uid="{A3409617-FE9B-4CC4-99EF-7623234C9B25}">
    <sortState xmlns:xlrd2="http://schemas.microsoft.com/office/spreadsheetml/2017/richdata2" ref="A3:H27">
      <sortCondition ref="C2:C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6AA8-E0E9-4E78-98D1-278DF09E2EC7}">
  <dimension ref="B2:H21"/>
  <sheetViews>
    <sheetView workbookViewId="0">
      <selection activeCell="B2" sqref="B2:H21"/>
    </sheetView>
  </sheetViews>
  <sheetFormatPr defaultRowHeight="15" x14ac:dyDescent="0.25"/>
  <cols>
    <col min="2" max="2" width="15.85546875" bestFit="1" customWidth="1"/>
  </cols>
  <sheetData>
    <row r="2" spans="2:8" ht="30" x14ac:dyDescent="0.25">
      <c r="B2" s="51"/>
      <c r="C2" s="49" t="s">
        <v>91</v>
      </c>
      <c r="D2" s="49" t="s">
        <v>57</v>
      </c>
      <c r="E2" s="49" t="s">
        <v>60</v>
      </c>
      <c r="F2" s="49" t="s">
        <v>62</v>
      </c>
      <c r="G2" s="49" t="s">
        <v>85</v>
      </c>
      <c r="H2" s="50" t="s">
        <v>86</v>
      </c>
    </row>
    <row r="3" spans="2:8" x14ac:dyDescent="0.25">
      <c r="B3" s="52" t="s">
        <v>92</v>
      </c>
      <c r="C3" s="53">
        <f>COUNTA('Filtering&amp;Sorting'!B3:B27)</f>
        <v>25</v>
      </c>
      <c r="D3" s="53">
        <f>COUNTIF('Filtering&amp;Sorting'!$C$3:$C$27,D2)</f>
        <v>8</v>
      </c>
      <c r="E3" s="53">
        <f>COUNTIF('Filtering&amp;Sorting'!$C$3:$C$27,E2)</f>
        <v>4</v>
      </c>
      <c r="F3" s="53">
        <f>COUNTIF('Filtering&amp;Sorting'!$C$3:$C$27,F2)</f>
        <v>4</v>
      </c>
      <c r="G3" s="53">
        <f>COUNTIF('Filtering&amp;Sorting'!$C$3:$C$27,G2)</f>
        <v>6</v>
      </c>
      <c r="H3" s="53">
        <f>COUNTIF('Filtering&amp;Sorting'!$C$3:$C$27,H2)</f>
        <v>3</v>
      </c>
    </row>
    <row r="4" spans="2:8" x14ac:dyDescent="0.25">
      <c r="B4" s="40" t="s">
        <v>58</v>
      </c>
      <c r="C4" s="4">
        <f>COUNTIF('Filtering&amp;Sorting'!D$3:D$27,B4)</f>
        <v>16</v>
      </c>
      <c r="D4" s="4">
        <f>COUNTIFS('Filtering&amp;Sorting'!$C$3:$C$27,D$2,'Filtering&amp;Sorting'!$D$3:$D$27,$B4)</f>
        <v>5</v>
      </c>
      <c r="E4" s="4">
        <f>COUNTIFS('Filtering&amp;Sorting'!$C$3:$C$27,E$2,'Filtering&amp;Sorting'!$D$3:$D$27,$B4)</f>
        <v>2</v>
      </c>
      <c r="F4" s="4">
        <f>COUNTIFS('Filtering&amp;Sorting'!$C$3:$C$27,F$2,'Filtering&amp;Sorting'!$D$3:$D$27,$B4)</f>
        <v>4</v>
      </c>
      <c r="G4" s="4">
        <f>COUNTIFS('Filtering&amp;Sorting'!$C$3:$C$27,G$2,'Filtering&amp;Sorting'!$D$3:$D$27,$B4)</f>
        <v>2</v>
      </c>
      <c r="H4" s="4">
        <f>COUNTIFS('Filtering&amp;Sorting'!$C$3:$C$27,H$2,'Filtering&amp;Sorting'!$D$3:$D$27,$B4)</f>
        <v>3</v>
      </c>
    </row>
    <row r="5" spans="2:8" x14ac:dyDescent="0.25">
      <c r="B5" s="40" t="s">
        <v>87</v>
      </c>
      <c r="C5" s="4">
        <f>COUNTIF('Filtering&amp;Sorting'!D$3:D$27,B5)</f>
        <v>9</v>
      </c>
      <c r="D5" s="4">
        <f>COUNTIFS('Filtering&amp;Sorting'!$C$3:$C$27,D$2,'Filtering&amp;Sorting'!$D$3:$D$27,$B5)</f>
        <v>3</v>
      </c>
      <c r="E5" s="4">
        <f>COUNTIFS('Filtering&amp;Sorting'!$C$3:$C$27,E$2,'Filtering&amp;Sorting'!$D$3:$D$27,$B5)</f>
        <v>2</v>
      </c>
      <c r="F5" s="4">
        <f>COUNTIFS('Filtering&amp;Sorting'!$C$3:$C$27,F$2,'Filtering&amp;Sorting'!$D$3:$D$27,$B5)</f>
        <v>0</v>
      </c>
      <c r="G5" s="4">
        <f>COUNTIFS('Filtering&amp;Sorting'!$C$3:$C$27,G$2,'Filtering&amp;Sorting'!$D$3:$D$27,$B5)</f>
        <v>4</v>
      </c>
      <c r="H5" s="4">
        <f>COUNTIFS('Filtering&amp;Sorting'!$C$3:$C$27,H$2,'Filtering&amp;Sorting'!$D$3:$D$27,$B5)</f>
        <v>0</v>
      </c>
    </row>
    <row r="6" spans="2:8" x14ac:dyDescent="0.25">
      <c r="B6" s="43"/>
      <c r="C6" s="44"/>
      <c r="D6" s="44"/>
      <c r="E6" s="44"/>
      <c r="F6" s="44"/>
      <c r="G6" s="44"/>
      <c r="H6" s="45"/>
    </row>
    <row r="7" spans="2:8" x14ac:dyDescent="0.25">
      <c r="B7" s="54" t="s">
        <v>97</v>
      </c>
      <c r="C7" s="58">
        <f>SUM('Filtering&amp;Sorting'!G3:G27)</f>
        <v>2049600</v>
      </c>
      <c r="D7" s="58">
        <f>SUMIF('Filtering&amp;Sorting'!$C$3:$C$27,D2,'Filtering&amp;Sorting'!$G$3:$G$27)</f>
        <v>675600</v>
      </c>
      <c r="E7" s="58">
        <f>SUMIF('Filtering&amp;Sorting'!$C$3:$C$27,E2,'Filtering&amp;Sorting'!$G$3:$G$27)</f>
        <v>320400</v>
      </c>
      <c r="F7" s="58">
        <f>SUMIF('Filtering&amp;Sorting'!$C$3:$C$27,F2,'Filtering&amp;Sorting'!$G$3:$G$27)</f>
        <v>393600</v>
      </c>
      <c r="G7" s="58">
        <f>SUMIF('Filtering&amp;Sorting'!$C$3:$C$27,G2,'Filtering&amp;Sorting'!$G$3:$G$27)</f>
        <v>424800</v>
      </c>
      <c r="H7" s="58">
        <f>SUMIF('Filtering&amp;Sorting'!$C$3:$C$27,H2,'Filtering&amp;Sorting'!$G$3:$G$27)</f>
        <v>235200</v>
      </c>
    </row>
    <row r="8" spans="2:8" x14ac:dyDescent="0.25">
      <c r="B8" s="41" t="s">
        <v>58</v>
      </c>
      <c r="C8" s="11">
        <f>SUMIF('Filtering&amp;Sorting'!$D$3:$D$27,B8,'Filtering&amp;Sorting'!$G$3:$G$27)</f>
        <v>1414800</v>
      </c>
      <c r="D8" s="11">
        <f>SUMIFS('Filtering&amp;Sorting'!$G$3:$G$27,'Filtering&amp;Sorting'!$C$3:$C$27,D$2,'Filtering&amp;Sorting'!$D$3:$D$27,$B8)</f>
        <v>456000</v>
      </c>
      <c r="E8" s="11">
        <f>SUMIFS('Filtering&amp;Sorting'!$G$3:$G$27,'Filtering&amp;Sorting'!$C$3:$C$27,E$2,'Filtering&amp;Sorting'!$D$3:$D$27,$B8)</f>
        <v>183600</v>
      </c>
      <c r="F8" s="11">
        <f>SUMIFS('Filtering&amp;Sorting'!$G$3:$G$27,'Filtering&amp;Sorting'!$C$3:$C$27,F$2,'Filtering&amp;Sorting'!$D$3:$D$27,$B8)</f>
        <v>393600</v>
      </c>
      <c r="G8" s="11">
        <f>SUMIFS('Filtering&amp;Sorting'!$G$3:$G$27,'Filtering&amp;Sorting'!$C$3:$C$27,G$2,'Filtering&amp;Sorting'!$D$3:$D$27,$B8)</f>
        <v>146400</v>
      </c>
      <c r="H8" s="11">
        <f>SUMIFS('Filtering&amp;Sorting'!$G$3:$G$27,'Filtering&amp;Sorting'!$C$3:$C$27,H$2,'Filtering&amp;Sorting'!$D$3:$D$27,$B8)</f>
        <v>235200</v>
      </c>
    </row>
    <row r="9" spans="2:8" x14ac:dyDescent="0.25">
      <c r="B9" s="41" t="s">
        <v>87</v>
      </c>
      <c r="C9" s="11">
        <f>SUMIF('Filtering&amp;Sorting'!$D$3:$D$27,B9,'Filtering&amp;Sorting'!$G$3:$G$27)</f>
        <v>634800</v>
      </c>
      <c r="D9" s="11">
        <f>SUMIFS('Filtering&amp;Sorting'!$G$3:$G$27,'Filtering&amp;Sorting'!$C$3:$C$27,D$2,'Filtering&amp;Sorting'!$D$3:$D$27,$B9)</f>
        <v>219600</v>
      </c>
      <c r="E9" s="11">
        <f>SUMIFS('Filtering&amp;Sorting'!$G$3:$G$27,'Filtering&amp;Sorting'!$C$3:$C$27,E$2,'Filtering&amp;Sorting'!$D$3:$D$27,$B9)</f>
        <v>136800</v>
      </c>
      <c r="F9" s="11">
        <f>SUMIFS('Filtering&amp;Sorting'!$G$3:$G$27,'Filtering&amp;Sorting'!$C$3:$C$27,F$2,'Filtering&amp;Sorting'!$D$3:$D$27,$B9)</f>
        <v>0</v>
      </c>
      <c r="G9" s="11">
        <f>SUMIFS('Filtering&amp;Sorting'!$G$3:$G$27,'Filtering&amp;Sorting'!$C$3:$C$27,G$2,'Filtering&amp;Sorting'!$D$3:$D$27,$B9)</f>
        <v>278400</v>
      </c>
      <c r="H9" s="11">
        <f>SUMIFS('Filtering&amp;Sorting'!$G$3:$G$27,'Filtering&amp;Sorting'!$C$3:$C$27,H$2,'Filtering&amp;Sorting'!$D$3:$D$27,$B9)</f>
        <v>0</v>
      </c>
    </row>
    <row r="10" spans="2:8" x14ac:dyDescent="0.25">
      <c r="B10" s="46"/>
      <c r="C10" s="47"/>
      <c r="D10" s="47"/>
      <c r="E10" s="47"/>
      <c r="F10" s="47"/>
      <c r="G10" s="47"/>
      <c r="H10" s="45"/>
    </row>
    <row r="11" spans="2:8" x14ac:dyDescent="0.25">
      <c r="B11" s="54" t="s">
        <v>100</v>
      </c>
      <c r="C11" s="60">
        <f>AVERAGE('Filtering&amp;Sorting'!G3:G27)</f>
        <v>81984</v>
      </c>
      <c r="D11" s="60">
        <f>AVERAGEIF('Filtering&amp;Sorting'!$C3:$C27,D2,'Filtering&amp;Sorting'!$G3:$G27)</f>
        <v>84450</v>
      </c>
      <c r="E11" s="60">
        <f>AVERAGEIF('Filtering&amp;Sorting'!$C3:$C27,E2,'Filtering&amp;Sorting'!$G3:$G27)</f>
        <v>80100</v>
      </c>
      <c r="F11" s="60">
        <f>AVERAGEIF('Filtering&amp;Sorting'!$C3:$C27,F2,'Filtering&amp;Sorting'!$G3:$G27)</f>
        <v>98400</v>
      </c>
      <c r="G11" s="60">
        <f>AVERAGEIF('Filtering&amp;Sorting'!$C3:$C27,G2,'Filtering&amp;Sorting'!$G3:$G27)</f>
        <v>70800</v>
      </c>
      <c r="H11" s="60">
        <f>AVERAGEIF('Filtering&amp;Sorting'!$C3:$C27,H2,'Filtering&amp;Sorting'!$G3:$G27)</f>
        <v>78400</v>
      </c>
    </row>
    <row r="12" spans="2:8" x14ac:dyDescent="0.25">
      <c r="B12" s="41" t="s">
        <v>58</v>
      </c>
      <c r="C12" s="59">
        <f>AVERAGEIF('Filtering&amp;Sorting'!D$3:D$27,B12,'Filtering&amp;Sorting'!G$3:G$27)</f>
        <v>88425</v>
      </c>
      <c r="D12" s="59">
        <f>AVERAGEIFS('Filtering&amp;Sorting'!$G$3:$G$27,'Filtering&amp;Sorting'!$C$3:$C$27,D$2,'Filtering&amp;Sorting'!$D$3:$D$27,$B12)</f>
        <v>91200</v>
      </c>
      <c r="E12" s="59">
        <f>AVERAGEIFS('Filtering&amp;Sorting'!$G$3:$G$27,'Filtering&amp;Sorting'!$C$3:$C$27,E$2,'Filtering&amp;Sorting'!$D$3:$D$27,$B12)</f>
        <v>91800</v>
      </c>
      <c r="F12" s="59">
        <f>AVERAGEIFS('Filtering&amp;Sorting'!$G$3:$G$27,'Filtering&amp;Sorting'!$C$3:$C$27,F$2,'Filtering&amp;Sorting'!$D$3:$D$27,$B12)</f>
        <v>98400</v>
      </c>
      <c r="G12" s="59">
        <f>AVERAGEIFS('Filtering&amp;Sorting'!$G$3:$G$27,'Filtering&amp;Sorting'!$C$3:$C$27,G$2,'Filtering&amp;Sorting'!$D$3:$D$27,$B12)</f>
        <v>73200</v>
      </c>
      <c r="H12" s="59">
        <f>AVERAGEIFS('Filtering&amp;Sorting'!$G$3:$G$27,'Filtering&amp;Sorting'!$C$3:$C$27,H$2,'Filtering&amp;Sorting'!$D$3:$D$27,$B12)</f>
        <v>78400</v>
      </c>
    </row>
    <row r="13" spans="2:8" x14ac:dyDescent="0.25">
      <c r="B13" s="41" t="s">
        <v>87</v>
      </c>
      <c r="C13" s="59">
        <f>AVERAGEIF('Filtering&amp;Sorting'!D$3:D$27,B13,'Filtering&amp;Sorting'!G$3:G$27)</f>
        <v>70533.333333333328</v>
      </c>
      <c r="D13" s="59">
        <f>AVERAGEIFS('Filtering&amp;Sorting'!$G$3:$G$27,'Filtering&amp;Sorting'!$C$3:$C$27,D$2,'Filtering&amp;Sorting'!$D$3:$D$27,$B13)</f>
        <v>73200</v>
      </c>
      <c r="E13" s="59">
        <f>AVERAGEIFS('Filtering&amp;Sorting'!$G$3:$G$27,'Filtering&amp;Sorting'!$C$3:$C$27,E$2,'Filtering&amp;Sorting'!$D$3:$D$27,$B13)</f>
        <v>68400</v>
      </c>
      <c r="F13" s="42">
        <v>0</v>
      </c>
      <c r="G13" s="59">
        <f>AVERAGEIFS('Filtering&amp;Sorting'!$G$3:$G$27,'Filtering&amp;Sorting'!$C$3:$C$27,G$2,'Filtering&amp;Sorting'!$D$3:$D$27,$B13)</f>
        <v>69600</v>
      </c>
      <c r="H13" s="42">
        <v>0</v>
      </c>
    </row>
    <row r="14" spans="2:8" x14ac:dyDescent="0.25">
      <c r="B14" s="46"/>
      <c r="C14" s="47"/>
      <c r="D14" s="47"/>
      <c r="E14" s="47"/>
      <c r="F14" s="47"/>
      <c r="G14" s="47"/>
      <c r="H14" s="48"/>
    </row>
    <row r="15" spans="2:8" x14ac:dyDescent="0.25">
      <c r="B15" s="54" t="s">
        <v>103</v>
      </c>
      <c r="C15" s="58">
        <f>MAX('Filtering&amp;Sorting'!G3:G27)</f>
        <v>126000</v>
      </c>
      <c r="D15" s="58">
        <f>_xlfn.MAXIFS('Filtering&amp;Sorting'!$G3:$G27,'Filtering&amp;Sorting'!$C3:$C27,D2)</f>
        <v>126000</v>
      </c>
      <c r="E15" s="58">
        <f>_xlfn.MAXIFS('Filtering&amp;Sorting'!$G3:$G27,'Filtering&amp;Sorting'!$C3:$C27,E2)</f>
        <v>117600</v>
      </c>
      <c r="F15" s="58">
        <f>_xlfn.MAXIFS('Filtering&amp;Sorting'!$G3:$G27,'Filtering&amp;Sorting'!$C3:$C27,F2)</f>
        <v>122400</v>
      </c>
      <c r="G15" s="58">
        <f>_xlfn.MAXIFS('Filtering&amp;Sorting'!$G3:$G27,'Filtering&amp;Sorting'!$C3:$C27,G2)</f>
        <v>79200</v>
      </c>
      <c r="H15" s="58">
        <f>_xlfn.MAXIFS('Filtering&amp;Sorting'!$G3:$G27,'Filtering&amp;Sorting'!$C3:$C27,H2)</f>
        <v>87600</v>
      </c>
    </row>
    <row r="16" spans="2:8" x14ac:dyDescent="0.25">
      <c r="B16" s="41" t="s">
        <v>58</v>
      </c>
      <c r="C16" s="11">
        <f>_xlfn.MAXIFS('Filtering&amp;Sorting'!G$3:G$27,'Filtering&amp;Sorting'!D$3:D$27,B16)</f>
        <v>126000</v>
      </c>
      <c r="D16" s="11">
        <f>_xlfn.MAXIFS('Filtering&amp;Sorting'!$G$3:$G$27,'Filtering&amp;Sorting'!$C$3:$C$27,D$2,'Filtering&amp;Sorting'!$D$3:$D$27,$B16)</f>
        <v>126000</v>
      </c>
      <c r="E16" s="11">
        <f>_xlfn.MAXIFS('Filtering&amp;Sorting'!$G$3:$G$27,'Filtering&amp;Sorting'!$C$3:$C$27,E$2,'Filtering&amp;Sorting'!$D$3:$D$27,$B16)</f>
        <v>117600</v>
      </c>
      <c r="F16" s="11">
        <f>_xlfn.MAXIFS('Filtering&amp;Sorting'!$G$3:$G$27,'Filtering&amp;Sorting'!$C$3:$C$27,F$2,'Filtering&amp;Sorting'!$D$3:$D$27,$B16)</f>
        <v>122400</v>
      </c>
      <c r="G16" s="11">
        <f>_xlfn.MAXIFS('Filtering&amp;Sorting'!$G$3:$G$27,'Filtering&amp;Sorting'!$C$3:$C$27,G$2,'Filtering&amp;Sorting'!$D$3:$D$27,$B16)</f>
        <v>79200</v>
      </c>
      <c r="H16" s="11">
        <f>_xlfn.MAXIFS('Filtering&amp;Sorting'!$G$3:$G$27,'Filtering&amp;Sorting'!$C$3:$C$27,H$2,'Filtering&amp;Sorting'!$D$3:$D$27,$B16)</f>
        <v>87600</v>
      </c>
    </row>
    <row r="17" spans="2:8" x14ac:dyDescent="0.25">
      <c r="B17" s="41" t="s">
        <v>87</v>
      </c>
      <c r="C17" s="11">
        <f>_xlfn.MAXIFS('Filtering&amp;Sorting'!G$3:G$27,'Filtering&amp;Sorting'!D$3:D$27,B17)</f>
        <v>85200</v>
      </c>
      <c r="D17" s="11">
        <f>_xlfn.MAXIFS('Filtering&amp;Sorting'!$G$3:$G$27,'Filtering&amp;Sorting'!$C$3:$C$27,D$2,'Filtering&amp;Sorting'!$D$3:$D$27,$B17)</f>
        <v>85200</v>
      </c>
      <c r="E17" s="11">
        <f>_xlfn.MAXIFS('Filtering&amp;Sorting'!$G$3:$G$27,'Filtering&amp;Sorting'!$C$3:$C$27,E$2,'Filtering&amp;Sorting'!$D$3:$D$27,$B17)</f>
        <v>74400</v>
      </c>
      <c r="F17" s="11">
        <f>_xlfn.MAXIFS('Filtering&amp;Sorting'!$G$3:$G$27,'Filtering&amp;Sorting'!$C$3:$C$27,F$2,'Filtering&amp;Sorting'!$D$3:$D$27,$B17)</f>
        <v>0</v>
      </c>
      <c r="G17" s="11">
        <f>_xlfn.MAXIFS('Filtering&amp;Sorting'!$G$3:$G$27,'Filtering&amp;Sorting'!$C$3:$C$27,G$2,'Filtering&amp;Sorting'!$D$3:$D$27,$B17)</f>
        <v>76800</v>
      </c>
      <c r="H17" s="11">
        <f>_xlfn.MAXIFS('Filtering&amp;Sorting'!$G$3:$G$27,'Filtering&amp;Sorting'!$C$3:$C$27,H$2,'Filtering&amp;Sorting'!$D$3:$D$27,$B17)</f>
        <v>0</v>
      </c>
    </row>
    <row r="18" spans="2:8" x14ac:dyDescent="0.25">
      <c r="B18" s="46"/>
      <c r="C18" s="47"/>
      <c r="D18" s="47"/>
      <c r="E18" s="47"/>
      <c r="F18" s="47"/>
      <c r="G18" s="47"/>
      <c r="H18" s="48"/>
    </row>
    <row r="19" spans="2:8" x14ac:dyDescent="0.25">
      <c r="B19" s="54" t="s">
        <v>102</v>
      </c>
      <c r="C19" s="58">
        <f>MIN('Filtering&amp;Sorting'!G3:G27)</f>
        <v>62400</v>
      </c>
      <c r="D19" s="58">
        <f>_xlfn.MINIFS('Filtering&amp;Sorting'!$G3:$G27,'Filtering&amp;Sorting'!$C3:$C27,D2)</f>
        <v>64800</v>
      </c>
      <c r="E19" s="58">
        <f>_xlfn.MINIFS('Filtering&amp;Sorting'!$G3:$G27,'Filtering&amp;Sorting'!$C3:$C27,E2)</f>
        <v>62400</v>
      </c>
      <c r="F19" s="58">
        <f>_xlfn.MINIFS('Filtering&amp;Sorting'!$G3:$G27,'Filtering&amp;Sorting'!$C3:$C27,F2)</f>
        <v>79200</v>
      </c>
      <c r="G19" s="58">
        <f>_xlfn.MINIFS('Filtering&amp;Sorting'!$G3:$G27,'Filtering&amp;Sorting'!$C3:$C27,G2)</f>
        <v>67200</v>
      </c>
      <c r="H19" s="58">
        <f>_xlfn.MINIFS('Filtering&amp;Sorting'!$G3:$G27,'Filtering&amp;Sorting'!$C3:$C27,H2)</f>
        <v>70800</v>
      </c>
    </row>
    <row r="20" spans="2:8" x14ac:dyDescent="0.25">
      <c r="B20" s="41" t="s">
        <v>58</v>
      </c>
      <c r="C20" s="11">
        <f>_xlfn.MINIFS('Filtering&amp;Sorting'!G$3:G$27,'Filtering&amp;Sorting'!D$3:D$27,B20)</f>
        <v>66000</v>
      </c>
      <c r="D20" s="11">
        <f>_xlfn.MINIFS('Filtering&amp;Sorting'!$G$3:$G$27,'Filtering&amp;Sorting'!$C$3:$C$27,D$2,'Filtering&amp;Sorting'!$D$3:$D$27,$B20)</f>
        <v>69600</v>
      </c>
      <c r="E20" s="11">
        <f>_xlfn.MINIFS('Filtering&amp;Sorting'!$G$3:$G$27,'Filtering&amp;Sorting'!$C$3:$C$27,E$2,'Filtering&amp;Sorting'!$D$3:$D$27,$B20)</f>
        <v>66000</v>
      </c>
      <c r="F20" s="11">
        <f>_xlfn.MINIFS('Filtering&amp;Sorting'!$G$3:$G$27,'Filtering&amp;Sorting'!$C$3:$C$27,F$2,'Filtering&amp;Sorting'!$D$3:$D$27,$B20)</f>
        <v>79200</v>
      </c>
      <c r="G20" s="11">
        <f>_xlfn.MINIFS('Filtering&amp;Sorting'!$G$3:$G$27,'Filtering&amp;Sorting'!$C$3:$C$27,G$2,'Filtering&amp;Sorting'!$D$3:$D$27,$B20)</f>
        <v>67200</v>
      </c>
      <c r="H20" s="11">
        <f>_xlfn.MINIFS('Filtering&amp;Sorting'!$G$3:$G$27,'Filtering&amp;Sorting'!$C$3:$C$27,H$2,'Filtering&amp;Sorting'!$D$3:$D$27,$B20)</f>
        <v>70800</v>
      </c>
    </row>
    <row r="21" spans="2:8" x14ac:dyDescent="0.25">
      <c r="B21" s="41" t="s">
        <v>87</v>
      </c>
      <c r="C21" s="11">
        <f>_xlfn.MINIFS('Filtering&amp;Sorting'!G$3:G$27,'Filtering&amp;Sorting'!D$3:D$27,B21)</f>
        <v>62400</v>
      </c>
      <c r="D21" s="11">
        <f>_xlfn.MINIFS('Filtering&amp;Sorting'!$G$3:$G$27,'Filtering&amp;Sorting'!$C$3:$C$27,D$2,'Filtering&amp;Sorting'!$D$3:$D$27,$B21)</f>
        <v>64800</v>
      </c>
      <c r="E21" s="11">
        <f>_xlfn.MINIFS('Filtering&amp;Sorting'!$G$3:$G$27,'Filtering&amp;Sorting'!$C$3:$C$27,E$2,'Filtering&amp;Sorting'!$D$3:$D$27,$B21)</f>
        <v>62400</v>
      </c>
      <c r="F21" s="11">
        <f>_xlfn.MINIFS('Filtering&amp;Sorting'!$G$3:$G$27,'Filtering&amp;Sorting'!$C$3:$C$27,F$2,'Filtering&amp;Sorting'!$D$3:$D$27,$B21)</f>
        <v>0</v>
      </c>
      <c r="G21" s="11">
        <f>_xlfn.MINIFS('Filtering&amp;Sorting'!$G$3:$G$27,'Filtering&amp;Sorting'!$C$3:$C$27,G$2,'Filtering&amp;Sorting'!$D$3:$D$27,$B21)</f>
        <v>67200</v>
      </c>
      <c r="H21" s="11">
        <f>_xlfn.MINIFS('Filtering&amp;Sorting'!$G$3:$G$27,'Filtering&amp;Sorting'!$C$3:$C$27,H$2,'Filtering&amp;Sorting'!$D$3:$D$27,$B21)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CEB9-31DA-4623-B86B-2103EFE99D38}">
  <dimension ref="A1:R128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RowHeight="15" x14ac:dyDescent="0.25"/>
  <cols>
    <col min="1" max="1" width="7.85546875" customWidth="1"/>
    <col min="2" max="3" width="21.7109375" bestFit="1" customWidth="1"/>
    <col min="4" max="4" width="19.140625" customWidth="1"/>
    <col min="5" max="5" width="16.42578125" customWidth="1"/>
    <col min="6" max="6" width="19.7109375" customWidth="1"/>
    <col min="7" max="7" width="18.42578125" customWidth="1"/>
    <col min="8" max="8" width="24.85546875" customWidth="1"/>
    <col min="10" max="10" width="17.7109375" bestFit="1" customWidth="1"/>
    <col min="11" max="11" width="9.85546875" bestFit="1" customWidth="1"/>
    <col min="12" max="12" width="10.28515625" bestFit="1" customWidth="1"/>
    <col min="13" max="15" width="9.85546875" bestFit="1" customWidth="1"/>
    <col min="16" max="16" width="10.140625" bestFit="1" customWidth="1"/>
  </cols>
  <sheetData>
    <row r="1" spans="1:18" x14ac:dyDescent="0.25">
      <c r="H1" s="34"/>
      <c r="K1" s="12"/>
      <c r="L1" s="12"/>
      <c r="M1" s="12"/>
      <c r="N1" s="12"/>
      <c r="O1" s="12"/>
      <c r="P1" s="12"/>
    </row>
    <row r="2" spans="1:18" x14ac:dyDescent="0.25">
      <c r="A2" s="61" t="s">
        <v>52</v>
      </c>
      <c r="B2" s="61" t="s">
        <v>53</v>
      </c>
      <c r="C2" s="61" t="s">
        <v>54</v>
      </c>
      <c r="D2" s="61" t="s">
        <v>88</v>
      </c>
      <c r="E2" s="61" t="s">
        <v>89</v>
      </c>
      <c r="F2" s="61" t="s">
        <v>55</v>
      </c>
      <c r="G2" s="61" t="s">
        <v>90</v>
      </c>
      <c r="H2" s="62" t="s">
        <v>104</v>
      </c>
    </row>
    <row r="3" spans="1:18" x14ac:dyDescent="0.25">
      <c r="A3" s="92">
        <v>3</v>
      </c>
      <c r="B3" s="88" t="s">
        <v>61</v>
      </c>
      <c r="C3" s="88" t="s">
        <v>62</v>
      </c>
      <c r="D3" s="88" t="s">
        <v>58</v>
      </c>
      <c r="E3" s="89">
        <v>36628</v>
      </c>
      <c r="F3" s="90">
        <v>10200</v>
      </c>
      <c r="G3" s="90">
        <f>F3*12</f>
        <v>122400</v>
      </c>
      <c r="H3" s="91">
        <f>G3/G$29</f>
        <v>5.9718969555035126E-2</v>
      </c>
    </row>
    <row r="4" spans="1:18" x14ac:dyDescent="0.25">
      <c r="A4" s="92">
        <v>16</v>
      </c>
      <c r="B4" s="88" t="s">
        <v>75</v>
      </c>
      <c r="C4" s="88" t="s">
        <v>86</v>
      </c>
      <c r="D4" s="88" t="s">
        <v>58</v>
      </c>
      <c r="E4" s="89">
        <v>40474</v>
      </c>
      <c r="F4" s="90">
        <v>7300</v>
      </c>
      <c r="G4" s="90">
        <f>F4*12</f>
        <v>87600</v>
      </c>
      <c r="H4" s="91">
        <f>G4/G$29</f>
        <v>4.2740046838407493E-2</v>
      </c>
    </row>
    <row r="5" spans="1:18" x14ac:dyDescent="0.25">
      <c r="A5" s="92">
        <v>2</v>
      </c>
      <c r="B5" s="88" t="s">
        <v>59</v>
      </c>
      <c r="C5" s="88" t="s">
        <v>60</v>
      </c>
      <c r="D5" s="88" t="s">
        <v>58</v>
      </c>
      <c r="E5" s="89">
        <v>36069</v>
      </c>
      <c r="F5" s="90">
        <v>9800</v>
      </c>
      <c r="G5" s="90">
        <f>F5*12</f>
        <v>117600</v>
      </c>
      <c r="H5" s="91">
        <f>G5/G$29</f>
        <v>5.737704918032787E-2</v>
      </c>
    </row>
    <row r="6" spans="1:18" x14ac:dyDescent="0.25">
      <c r="A6" s="92">
        <v>1</v>
      </c>
      <c r="B6" s="88" t="s">
        <v>56</v>
      </c>
      <c r="C6" s="88" t="s">
        <v>57</v>
      </c>
      <c r="D6" s="88" t="s">
        <v>58</v>
      </c>
      <c r="E6" s="89">
        <v>35977</v>
      </c>
      <c r="F6" s="90">
        <v>10500</v>
      </c>
      <c r="G6" s="90">
        <f>F6*12</f>
        <v>126000</v>
      </c>
      <c r="H6" s="91">
        <f>G6/G$29</f>
        <v>6.1475409836065573E-2</v>
      </c>
      <c r="K6" t="s">
        <v>57</v>
      </c>
      <c r="L6" t="s">
        <v>58</v>
      </c>
      <c r="M6">
        <v>126000</v>
      </c>
    </row>
    <row r="7" spans="1:18" x14ac:dyDescent="0.25">
      <c r="A7" s="92">
        <v>7</v>
      </c>
      <c r="B7" s="88" t="s">
        <v>66</v>
      </c>
      <c r="C7" s="88" t="s">
        <v>85</v>
      </c>
      <c r="D7" s="88" t="s">
        <v>58</v>
      </c>
      <c r="E7" s="89">
        <v>38013</v>
      </c>
      <c r="F7" s="90">
        <v>6600</v>
      </c>
      <c r="G7" s="90">
        <f>F7*12</f>
        <v>79200</v>
      </c>
      <c r="H7" s="91">
        <f>G7/G$29</f>
        <v>3.864168618266979E-2</v>
      </c>
      <c r="K7" t="s">
        <v>57</v>
      </c>
      <c r="L7" t="s">
        <v>58</v>
      </c>
      <c r="M7">
        <v>85000</v>
      </c>
    </row>
    <row r="8" spans="1:18" x14ac:dyDescent="0.25">
      <c r="A8" s="93">
        <v>6</v>
      </c>
      <c r="B8" s="94" t="s">
        <v>65</v>
      </c>
      <c r="C8" s="94" t="s">
        <v>62</v>
      </c>
      <c r="D8" s="94" t="s">
        <v>58</v>
      </c>
      <c r="E8" s="95">
        <v>37323</v>
      </c>
      <c r="F8" s="96">
        <v>8700</v>
      </c>
      <c r="G8" s="96">
        <f>F8*12</f>
        <v>104400</v>
      </c>
      <c r="H8" s="97">
        <f>G8/G$29</f>
        <v>5.0936768149882905E-2</v>
      </c>
      <c r="K8" t="s">
        <v>57</v>
      </c>
      <c r="L8" t="s">
        <v>58</v>
      </c>
      <c r="M8">
        <v>70000</v>
      </c>
    </row>
    <row r="9" spans="1:18" x14ac:dyDescent="0.25">
      <c r="A9" s="93">
        <v>23</v>
      </c>
      <c r="B9" s="94" t="s">
        <v>82</v>
      </c>
      <c r="C9" s="94" t="s">
        <v>86</v>
      </c>
      <c r="D9" s="94" t="s">
        <v>58</v>
      </c>
      <c r="E9" s="95">
        <v>43142</v>
      </c>
      <c r="F9" s="96">
        <v>6400</v>
      </c>
      <c r="G9" s="96">
        <f>F9*12</f>
        <v>76800</v>
      </c>
      <c r="H9" s="97">
        <f>G9/G$29</f>
        <v>3.7470725995316159E-2</v>
      </c>
      <c r="K9" t="s">
        <v>57</v>
      </c>
      <c r="L9" t="s">
        <v>87</v>
      </c>
      <c r="M9">
        <v>90000</v>
      </c>
    </row>
    <row r="10" spans="1:18" x14ac:dyDescent="0.25">
      <c r="A10" s="93">
        <v>14</v>
      </c>
      <c r="B10" s="94" t="s">
        <v>73</v>
      </c>
      <c r="C10" s="94" t="s">
        <v>60</v>
      </c>
      <c r="D10" s="94" t="s">
        <v>58</v>
      </c>
      <c r="E10" s="95">
        <v>40341</v>
      </c>
      <c r="F10" s="96">
        <v>5500</v>
      </c>
      <c r="G10" s="96">
        <f>F10*12</f>
        <v>66000</v>
      </c>
      <c r="H10" s="97">
        <f>G10/G$29</f>
        <v>3.2201405152224825E-2</v>
      </c>
      <c r="K10" t="s">
        <v>57</v>
      </c>
      <c r="L10" t="s">
        <v>87</v>
      </c>
      <c r="M10">
        <v>75000</v>
      </c>
    </row>
    <row r="11" spans="1:18" x14ac:dyDescent="0.25">
      <c r="A11" s="93">
        <v>4</v>
      </c>
      <c r="B11" s="94" t="s">
        <v>63</v>
      </c>
      <c r="C11" s="94" t="s">
        <v>57</v>
      </c>
      <c r="D11" s="94" t="s">
        <v>58</v>
      </c>
      <c r="E11" s="95">
        <v>36937</v>
      </c>
      <c r="F11" s="96">
        <v>8500</v>
      </c>
      <c r="G11" s="96">
        <f>F11*12</f>
        <v>102000</v>
      </c>
      <c r="H11" s="97">
        <f>G11/G$29</f>
        <v>4.9765807962529274E-2</v>
      </c>
      <c r="I11" s="16"/>
      <c r="Q11" s="16"/>
      <c r="R11" s="16"/>
    </row>
    <row r="12" spans="1:18" x14ac:dyDescent="0.25">
      <c r="A12" s="93">
        <v>22</v>
      </c>
      <c r="B12" s="94" t="s">
        <v>81</v>
      </c>
      <c r="C12" s="94" t="s">
        <v>85</v>
      </c>
      <c r="D12" s="94" t="s">
        <v>58</v>
      </c>
      <c r="E12" s="95">
        <v>41853</v>
      </c>
      <c r="F12" s="96">
        <v>5600</v>
      </c>
      <c r="G12" s="96">
        <f>F12*12</f>
        <v>67200</v>
      </c>
      <c r="H12" s="97">
        <f>G12/G$29</f>
        <v>3.2786885245901641E-2</v>
      </c>
      <c r="I12" s="16"/>
      <c r="Q12" s="16"/>
      <c r="R12" s="16"/>
    </row>
    <row r="13" spans="1:18" x14ac:dyDescent="0.25">
      <c r="A13" s="78">
        <v>10</v>
      </c>
      <c r="B13" s="79" t="s">
        <v>69</v>
      </c>
      <c r="C13" s="79" t="s">
        <v>62</v>
      </c>
      <c r="D13" s="79" t="s">
        <v>58</v>
      </c>
      <c r="E13" s="80">
        <v>39699</v>
      </c>
      <c r="F13" s="81">
        <v>7300</v>
      </c>
      <c r="G13" s="81">
        <f>F13*12</f>
        <v>87600</v>
      </c>
      <c r="H13" s="82">
        <f>G13/G$29</f>
        <v>4.2740046838407493E-2</v>
      </c>
      <c r="I13" s="16"/>
      <c r="Q13" s="16"/>
      <c r="R13" s="16"/>
    </row>
    <row r="14" spans="1:18" x14ac:dyDescent="0.25">
      <c r="A14" s="78">
        <v>8</v>
      </c>
      <c r="B14" s="79" t="s">
        <v>67</v>
      </c>
      <c r="C14" s="79" t="s">
        <v>62</v>
      </c>
      <c r="D14" s="79" t="s">
        <v>58</v>
      </c>
      <c r="E14" s="80">
        <v>39451</v>
      </c>
      <c r="F14" s="81">
        <v>6600</v>
      </c>
      <c r="G14" s="81">
        <f>F14*12</f>
        <v>79200</v>
      </c>
      <c r="H14" s="82">
        <f>G14/G$29</f>
        <v>3.864168618266979E-2</v>
      </c>
      <c r="I14" s="16"/>
      <c r="Q14" s="16"/>
      <c r="R14" s="16"/>
    </row>
    <row r="15" spans="1:18" x14ac:dyDescent="0.25">
      <c r="A15" s="78">
        <v>20</v>
      </c>
      <c r="B15" s="79" t="s">
        <v>79</v>
      </c>
      <c r="C15" s="79" t="s">
        <v>86</v>
      </c>
      <c r="D15" s="79" t="s">
        <v>58</v>
      </c>
      <c r="E15" s="80">
        <v>41460</v>
      </c>
      <c r="F15" s="81">
        <v>5900</v>
      </c>
      <c r="G15" s="81">
        <f>F15*12</f>
        <v>70800</v>
      </c>
      <c r="H15" s="82">
        <f>G15/G$29</f>
        <v>3.4543325526932081E-2</v>
      </c>
      <c r="I15" s="16"/>
      <c r="Q15" s="16"/>
      <c r="R15" s="16"/>
    </row>
    <row r="16" spans="1:18" x14ac:dyDescent="0.25">
      <c r="A16" s="78">
        <v>15</v>
      </c>
      <c r="B16" s="79" t="s">
        <v>74</v>
      </c>
      <c r="C16" s="79" t="s">
        <v>60</v>
      </c>
      <c r="D16" s="79" t="s">
        <v>87</v>
      </c>
      <c r="E16" s="80">
        <v>40377</v>
      </c>
      <c r="F16" s="81">
        <v>6200</v>
      </c>
      <c r="G16" s="81">
        <f>F16*12</f>
        <v>74400</v>
      </c>
      <c r="H16" s="82">
        <f>G16/G$29</f>
        <v>3.6299765807962528E-2</v>
      </c>
      <c r="I16" s="16"/>
      <c r="Q16" s="16"/>
      <c r="R16" s="16"/>
    </row>
    <row r="17" spans="1:18" x14ac:dyDescent="0.25">
      <c r="A17" s="78">
        <v>18</v>
      </c>
      <c r="B17" s="79" t="s">
        <v>77</v>
      </c>
      <c r="C17" s="79" t="s">
        <v>60</v>
      </c>
      <c r="D17" s="79" t="s">
        <v>87</v>
      </c>
      <c r="E17" s="80">
        <v>41058</v>
      </c>
      <c r="F17" s="81">
        <v>5200</v>
      </c>
      <c r="G17" s="81">
        <f>F17*12</f>
        <v>62400</v>
      </c>
      <c r="H17" s="82">
        <f>G17/G$29</f>
        <v>3.0444964871194378E-2</v>
      </c>
      <c r="I17" s="16"/>
      <c r="Q17" s="16"/>
      <c r="R17" s="16"/>
    </row>
    <row r="18" spans="1:18" x14ac:dyDescent="0.25">
      <c r="A18" s="78">
        <v>17</v>
      </c>
      <c r="B18" s="79" t="s">
        <v>76</v>
      </c>
      <c r="C18" s="79" t="s">
        <v>57</v>
      </c>
      <c r="D18" s="79" t="s">
        <v>58</v>
      </c>
      <c r="E18" s="80">
        <v>41027</v>
      </c>
      <c r="F18" s="81">
        <v>6700</v>
      </c>
      <c r="G18" s="81">
        <f>F18*12</f>
        <v>80400</v>
      </c>
      <c r="H18" s="82">
        <f>G18/G$29</f>
        <v>3.9227166276346606E-2</v>
      </c>
      <c r="I18" s="16"/>
      <c r="Q18" s="16"/>
      <c r="R18" s="16"/>
    </row>
    <row r="19" spans="1:18" x14ac:dyDescent="0.25">
      <c r="A19" s="78">
        <v>12</v>
      </c>
      <c r="B19" s="79" t="s">
        <v>71</v>
      </c>
      <c r="C19" s="79" t="s">
        <v>57</v>
      </c>
      <c r="D19" s="79" t="s">
        <v>58</v>
      </c>
      <c r="E19" s="80">
        <v>40171</v>
      </c>
      <c r="F19" s="81">
        <v>6500</v>
      </c>
      <c r="G19" s="81">
        <f>F19*12</f>
        <v>78000</v>
      </c>
      <c r="H19" s="82">
        <f>G19/G$29</f>
        <v>3.8056206088992975E-2</v>
      </c>
      <c r="I19" s="16"/>
      <c r="Q19" s="16"/>
      <c r="R19" s="16"/>
    </row>
    <row r="20" spans="1:18" x14ac:dyDescent="0.25">
      <c r="A20" s="78">
        <v>19</v>
      </c>
      <c r="B20" s="79" t="s">
        <v>78</v>
      </c>
      <c r="C20" s="79" t="s">
        <v>57</v>
      </c>
      <c r="D20" s="79" t="s">
        <v>58</v>
      </c>
      <c r="E20" s="80">
        <v>41071</v>
      </c>
      <c r="F20" s="81">
        <v>5800</v>
      </c>
      <c r="G20" s="81">
        <f>F20*12</f>
        <v>69600</v>
      </c>
      <c r="H20" s="82">
        <f>G20/G$29</f>
        <v>3.3957845433255272E-2</v>
      </c>
      <c r="I20" s="16"/>
      <c r="Q20" s="16"/>
      <c r="R20" s="16"/>
    </row>
    <row r="21" spans="1:18" x14ac:dyDescent="0.25">
      <c r="A21" s="78">
        <v>5</v>
      </c>
      <c r="B21" s="79" t="s">
        <v>64</v>
      </c>
      <c r="C21" s="79" t="s">
        <v>57</v>
      </c>
      <c r="D21" s="79" t="s">
        <v>87</v>
      </c>
      <c r="E21" s="80">
        <v>36992</v>
      </c>
      <c r="F21" s="81">
        <v>7100</v>
      </c>
      <c r="G21" s="81">
        <f>F21*12</f>
        <v>85200</v>
      </c>
      <c r="H21" s="82">
        <f>G21/G$29</f>
        <v>4.1569086651053862E-2</v>
      </c>
      <c r="I21" s="16"/>
      <c r="Q21" s="16"/>
      <c r="R21" s="16"/>
    </row>
    <row r="22" spans="1:18" x14ac:dyDescent="0.25">
      <c r="A22" s="78">
        <v>13</v>
      </c>
      <c r="B22" s="79" t="s">
        <v>72</v>
      </c>
      <c r="C22" s="79" t="s">
        <v>57</v>
      </c>
      <c r="D22" s="79" t="s">
        <v>87</v>
      </c>
      <c r="E22" s="80">
        <v>40203</v>
      </c>
      <c r="F22" s="81">
        <v>5800</v>
      </c>
      <c r="G22" s="81">
        <f>F22*12</f>
        <v>69600</v>
      </c>
      <c r="H22" s="82">
        <f>G22/G$29</f>
        <v>3.3957845433255272E-2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78">
        <v>21</v>
      </c>
      <c r="B23" s="79" t="s">
        <v>80</v>
      </c>
      <c r="C23" s="79" t="s">
        <v>57</v>
      </c>
      <c r="D23" s="79" t="s">
        <v>87</v>
      </c>
      <c r="E23" s="80">
        <v>41734</v>
      </c>
      <c r="F23" s="81">
        <v>5400</v>
      </c>
      <c r="G23" s="81">
        <f>F23*12</f>
        <v>64800</v>
      </c>
      <c r="H23" s="82">
        <f>G23/G$29</f>
        <v>3.161592505854801E-2</v>
      </c>
      <c r="I23" s="16"/>
      <c r="J23" s="14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78">
        <v>9</v>
      </c>
      <c r="B24" s="79" t="s">
        <v>68</v>
      </c>
      <c r="C24" s="79" t="s">
        <v>85</v>
      </c>
      <c r="D24" s="79" t="s">
        <v>87</v>
      </c>
      <c r="E24" s="80">
        <v>39549</v>
      </c>
      <c r="F24" s="81">
        <v>6400</v>
      </c>
      <c r="G24" s="81">
        <f>F24*12</f>
        <v>76800</v>
      </c>
      <c r="H24" s="82">
        <f>G24/G$29</f>
        <v>3.7470725995316159E-2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78">
        <v>11</v>
      </c>
      <c r="B25" s="79" t="s">
        <v>70</v>
      </c>
      <c r="C25" s="79" t="s">
        <v>85</v>
      </c>
      <c r="D25" s="79" t="s">
        <v>87</v>
      </c>
      <c r="E25" s="80">
        <v>39934</v>
      </c>
      <c r="F25" s="81">
        <v>5600</v>
      </c>
      <c r="G25" s="81">
        <f>F25*12</f>
        <v>67200</v>
      </c>
      <c r="H25" s="82">
        <f>G25/G$29</f>
        <v>3.2786885245901641E-2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78">
        <v>24</v>
      </c>
      <c r="B26" s="79" t="s">
        <v>83</v>
      </c>
      <c r="C26" s="79" t="s">
        <v>85</v>
      </c>
      <c r="D26" s="79" t="s">
        <v>87</v>
      </c>
      <c r="E26" s="80">
        <v>43364</v>
      </c>
      <c r="F26" s="81">
        <v>5600</v>
      </c>
      <c r="G26" s="81">
        <f>F26*12</f>
        <v>67200</v>
      </c>
      <c r="H26" s="82">
        <f>G26/G$29</f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83">
        <v>25</v>
      </c>
      <c r="B27" s="84" t="s">
        <v>84</v>
      </c>
      <c r="C27" s="84" t="s">
        <v>85</v>
      </c>
      <c r="D27" s="84" t="s">
        <v>87</v>
      </c>
      <c r="E27" s="85">
        <v>44104</v>
      </c>
      <c r="F27" s="86">
        <v>5600</v>
      </c>
      <c r="G27" s="86">
        <f>F27*12</f>
        <v>67200</v>
      </c>
      <c r="H27" s="87">
        <f>G27/G$29</f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H28" s="39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G29" s="31">
        <f>SUM(G3:G27)</f>
        <v>2049600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autoFilter ref="A2:H27" xr:uid="{A3409617-FE9B-4CC4-99EF-7623234C9B25}">
    <sortState xmlns:xlrd2="http://schemas.microsoft.com/office/spreadsheetml/2017/richdata2" ref="A3:H27">
      <sortCondition sortBy="cellColor" ref="B2:B27" dxfId="10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605E-8156-4A3D-AB80-951C423B43FC}">
  <dimension ref="A1:R128"/>
  <sheetViews>
    <sheetView showGridLines="0" tabSelected="1" zoomScale="80" zoomScaleNormal="80" zoomScalePageLayoutView="70" workbookViewId="0">
      <selection activeCell="I13" sqref="I13"/>
    </sheetView>
  </sheetViews>
  <sheetFormatPr defaultRowHeight="15" x14ac:dyDescent="0.25"/>
  <cols>
    <col min="1" max="1" width="5.85546875" bestFit="1" customWidth="1"/>
    <col min="2" max="2" width="23.42578125" bestFit="1" customWidth="1"/>
    <col min="3" max="3" width="17.85546875" bestFit="1" customWidth="1"/>
    <col min="4" max="4" width="17.28515625" bestFit="1" customWidth="1"/>
    <col min="5" max="5" width="14.5703125" customWidth="1"/>
    <col min="6" max="6" width="17.85546875" bestFit="1" customWidth="1"/>
    <col min="7" max="7" width="16.5703125" bestFit="1" customWidth="1"/>
    <col min="8" max="8" width="23.42578125" bestFit="1" customWidth="1"/>
    <col min="10" max="10" width="17.7109375" customWidth="1"/>
    <col min="11" max="11" width="9.85546875" customWidth="1"/>
    <col min="12" max="12" width="10.28515625" bestFit="1" customWidth="1"/>
    <col min="13" max="13" width="9.85546875" customWidth="1"/>
    <col min="14" max="14" width="9.85546875" bestFit="1" customWidth="1"/>
    <col min="15" max="15" width="9.85546875" customWidth="1"/>
    <col min="16" max="16" width="10.140625" bestFit="1" customWidth="1"/>
  </cols>
  <sheetData>
    <row r="1" spans="1:16" x14ac:dyDescent="0.25">
      <c r="H1" s="34"/>
      <c r="K1" s="12"/>
      <c r="L1" s="12"/>
      <c r="M1" s="12"/>
      <c r="N1" s="12"/>
      <c r="O1" s="12"/>
      <c r="P1" s="12"/>
    </row>
    <row r="2" spans="1:16" x14ac:dyDescent="0.25">
      <c r="A2" s="61" t="s">
        <v>52</v>
      </c>
      <c r="B2" s="61" t="s">
        <v>53</v>
      </c>
      <c r="C2" s="61" t="s">
        <v>54</v>
      </c>
      <c r="D2" s="61" t="s">
        <v>88</v>
      </c>
      <c r="E2" s="61" t="s">
        <v>89</v>
      </c>
      <c r="F2" s="61" t="s">
        <v>55</v>
      </c>
      <c r="G2" s="61" t="s">
        <v>90</v>
      </c>
      <c r="H2" s="62" t="s">
        <v>104</v>
      </c>
    </row>
    <row r="3" spans="1:16" x14ac:dyDescent="0.25">
      <c r="A3" s="78">
        <v>1</v>
      </c>
      <c r="B3" s="79" t="s">
        <v>56</v>
      </c>
      <c r="C3" s="79" t="s">
        <v>57</v>
      </c>
      <c r="D3" s="79" t="s">
        <v>58</v>
      </c>
      <c r="E3" s="80">
        <v>35977</v>
      </c>
      <c r="F3" s="81">
        <v>10500</v>
      </c>
      <c r="G3" s="81">
        <f>F3*12</f>
        <v>126000</v>
      </c>
      <c r="H3" s="82">
        <f>G3/G$29</f>
        <v>6.1475409836065573E-2</v>
      </c>
    </row>
    <row r="4" spans="1:16" x14ac:dyDescent="0.25">
      <c r="A4" s="78">
        <v>2</v>
      </c>
      <c r="B4" s="79" t="s">
        <v>59</v>
      </c>
      <c r="C4" s="79" t="s">
        <v>60</v>
      </c>
      <c r="D4" s="79" t="s">
        <v>58</v>
      </c>
      <c r="E4" s="80">
        <v>36069</v>
      </c>
      <c r="F4" s="81">
        <v>9800</v>
      </c>
      <c r="G4" s="81">
        <f t="shared" ref="G4:G27" si="0">F4*12</f>
        <v>117600</v>
      </c>
      <c r="H4" s="82">
        <f>G4/G$29</f>
        <v>5.737704918032787E-2</v>
      </c>
    </row>
    <row r="5" spans="1:16" x14ac:dyDescent="0.25">
      <c r="A5" s="78">
        <v>3</v>
      </c>
      <c r="B5" s="79" t="s">
        <v>61</v>
      </c>
      <c r="C5" s="79" t="s">
        <v>62</v>
      </c>
      <c r="D5" s="79" t="s">
        <v>58</v>
      </c>
      <c r="E5" s="80">
        <v>36628</v>
      </c>
      <c r="F5" s="81">
        <v>10200</v>
      </c>
      <c r="G5" s="81">
        <f t="shared" si="0"/>
        <v>122400</v>
      </c>
      <c r="H5" s="82">
        <f>G5/G$29</f>
        <v>5.9718969555035126E-2</v>
      </c>
    </row>
    <row r="6" spans="1:16" x14ac:dyDescent="0.25">
      <c r="A6" s="78">
        <v>4</v>
      </c>
      <c r="B6" s="79" t="s">
        <v>63</v>
      </c>
      <c r="C6" s="79" t="s">
        <v>57</v>
      </c>
      <c r="D6" s="79" t="s">
        <v>58</v>
      </c>
      <c r="E6" s="80">
        <v>36937</v>
      </c>
      <c r="F6" s="81">
        <v>8500</v>
      </c>
      <c r="G6" s="81">
        <f t="shared" si="0"/>
        <v>102000</v>
      </c>
      <c r="H6" s="82">
        <f>G6/G$29</f>
        <v>4.9765807962529274E-2</v>
      </c>
    </row>
    <row r="7" spans="1:16" x14ac:dyDescent="0.25">
      <c r="A7" s="78">
        <v>5</v>
      </c>
      <c r="B7" s="79" t="s">
        <v>64</v>
      </c>
      <c r="C7" s="79" t="s">
        <v>57</v>
      </c>
      <c r="D7" s="79" t="s">
        <v>87</v>
      </c>
      <c r="E7" s="80">
        <v>36992</v>
      </c>
      <c r="F7" s="81">
        <v>7100</v>
      </c>
      <c r="G7" s="81">
        <f t="shared" si="0"/>
        <v>85200</v>
      </c>
      <c r="H7" s="82">
        <f>G7/G$29</f>
        <v>4.1569086651053862E-2</v>
      </c>
    </row>
    <row r="8" spans="1:16" x14ac:dyDescent="0.25">
      <c r="A8" s="78">
        <v>6</v>
      </c>
      <c r="B8" s="79" t="s">
        <v>65</v>
      </c>
      <c r="C8" s="79" t="s">
        <v>62</v>
      </c>
      <c r="D8" s="79" t="s">
        <v>58</v>
      </c>
      <c r="E8" s="80">
        <v>37323</v>
      </c>
      <c r="F8" s="81">
        <v>8700</v>
      </c>
      <c r="G8" s="81">
        <f t="shared" si="0"/>
        <v>104400</v>
      </c>
      <c r="H8" s="82">
        <f>G8/G$29</f>
        <v>5.0936768149882905E-2</v>
      </c>
    </row>
    <row r="9" spans="1:16" x14ac:dyDescent="0.25">
      <c r="A9" s="78">
        <v>7</v>
      </c>
      <c r="B9" s="79" t="s">
        <v>66</v>
      </c>
      <c r="C9" s="79" t="s">
        <v>85</v>
      </c>
      <c r="D9" s="79" t="s">
        <v>58</v>
      </c>
      <c r="E9" s="80">
        <v>38013</v>
      </c>
      <c r="F9" s="81">
        <v>6600</v>
      </c>
      <c r="G9" s="81">
        <f t="shared" si="0"/>
        <v>79200</v>
      </c>
      <c r="H9" s="82">
        <f>G9/G$29</f>
        <v>3.864168618266979E-2</v>
      </c>
    </row>
    <row r="10" spans="1:16" x14ac:dyDescent="0.25">
      <c r="A10" s="78">
        <v>8</v>
      </c>
      <c r="B10" s="79" t="s">
        <v>67</v>
      </c>
      <c r="C10" s="79" t="s">
        <v>62</v>
      </c>
      <c r="D10" s="79" t="s">
        <v>58</v>
      </c>
      <c r="E10" s="80">
        <v>39451</v>
      </c>
      <c r="F10" s="81">
        <v>6600</v>
      </c>
      <c r="G10" s="81">
        <f t="shared" si="0"/>
        <v>79200</v>
      </c>
      <c r="H10" s="82">
        <f>G10/G$29</f>
        <v>3.864168618266979E-2</v>
      </c>
    </row>
    <row r="11" spans="1:16" x14ac:dyDescent="0.25">
      <c r="A11" s="78">
        <v>9</v>
      </c>
      <c r="B11" s="79" t="s">
        <v>68</v>
      </c>
      <c r="C11" s="79" t="s">
        <v>85</v>
      </c>
      <c r="D11" s="79" t="s">
        <v>87</v>
      </c>
      <c r="E11" s="80">
        <v>39549</v>
      </c>
      <c r="F11" s="81">
        <v>6400</v>
      </c>
      <c r="G11" s="81">
        <f t="shared" si="0"/>
        <v>76800</v>
      </c>
      <c r="H11" s="82">
        <f>G11/G$29</f>
        <v>3.7470725995316159E-2</v>
      </c>
      <c r="I11" s="16"/>
      <c r="J11" s="16"/>
      <c r="K11" s="16"/>
    </row>
    <row r="12" spans="1:16" x14ac:dyDescent="0.25">
      <c r="A12" s="78">
        <v>10</v>
      </c>
      <c r="B12" s="79" t="s">
        <v>69</v>
      </c>
      <c r="C12" s="79" t="s">
        <v>62</v>
      </c>
      <c r="D12" s="79" t="s">
        <v>58</v>
      </c>
      <c r="E12" s="80">
        <v>39699</v>
      </c>
      <c r="F12" s="81">
        <v>7300</v>
      </c>
      <c r="G12" s="81">
        <f t="shared" si="0"/>
        <v>87600</v>
      </c>
      <c r="H12" s="82">
        <f>G12/G$29</f>
        <v>4.2740046838407493E-2</v>
      </c>
      <c r="I12" s="16"/>
      <c r="J12" s="16"/>
      <c r="K12" s="16"/>
    </row>
    <row r="13" spans="1:16" x14ac:dyDescent="0.25">
      <c r="A13" s="78">
        <v>11</v>
      </c>
      <c r="B13" s="79" t="s">
        <v>70</v>
      </c>
      <c r="C13" s="79" t="s">
        <v>85</v>
      </c>
      <c r="D13" s="79" t="s">
        <v>87</v>
      </c>
      <c r="E13" s="80">
        <v>39934</v>
      </c>
      <c r="F13" s="81">
        <v>5600</v>
      </c>
      <c r="G13" s="81">
        <f t="shared" si="0"/>
        <v>67200</v>
      </c>
      <c r="H13" s="82">
        <f>G13/G$29</f>
        <v>3.2786885245901641E-2</v>
      </c>
      <c r="I13" s="16"/>
      <c r="J13" s="16"/>
      <c r="K13" s="16"/>
    </row>
    <row r="14" spans="1:16" x14ac:dyDescent="0.25">
      <c r="A14" s="78">
        <v>12</v>
      </c>
      <c r="B14" s="79" t="s">
        <v>71</v>
      </c>
      <c r="C14" s="79" t="s">
        <v>57</v>
      </c>
      <c r="D14" s="79" t="s">
        <v>58</v>
      </c>
      <c r="E14" s="80">
        <v>40171</v>
      </c>
      <c r="F14" s="81">
        <v>6500</v>
      </c>
      <c r="G14" s="81">
        <f t="shared" si="0"/>
        <v>78000</v>
      </c>
      <c r="H14" s="82">
        <f>G14/G$29</f>
        <v>3.8056206088992975E-2</v>
      </c>
      <c r="I14" s="16"/>
      <c r="J14" s="16"/>
      <c r="K14" s="16"/>
    </row>
    <row r="15" spans="1:16" x14ac:dyDescent="0.25">
      <c r="A15" s="78">
        <v>13</v>
      </c>
      <c r="B15" s="79" t="s">
        <v>72</v>
      </c>
      <c r="C15" s="79" t="s">
        <v>57</v>
      </c>
      <c r="D15" s="79" t="s">
        <v>87</v>
      </c>
      <c r="E15" s="80">
        <v>40203</v>
      </c>
      <c r="F15" s="81">
        <v>5800</v>
      </c>
      <c r="G15" s="81">
        <f t="shared" si="0"/>
        <v>69600</v>
      </c>
      <c r="H15" s="82">
        <f>G15/G$29</f>
        <v>3.3957845433255272E-2</v>
      </c>
      <c r="I15" s="16"/>
      <c r="J15" s="16"/>
      <c r="K15" s="16"/>
    </row>
    <row r="16" spans="1:16" x14ac:dyDescent="0.25">
      <c r="A16" s="78">
        <v>14</v>
      </c>
      <c r="B16" s="79" t="s">
        <v>73</v>
      </c>
      <c r="C16" s="79" t="s">
        <v>60</v>
      </c>
      <c r="D16" s="79" t="s">
        <v>58</v>
      </c>
      <c r="E16" s="80">
        <v>40341</v>
      </c>
      <c r="F16" s="81">
        <v>5500</v>
      </c>
      <c r="G16" s="81">
        <f t="shared" si="0"/>
        <v>66000</v>
      </c>
      <c r="H16" s="82">
        <f>G16/G$29</f>
        <v>3.2201405152224825E-2</v>
      </c>
      <c r="I16" s="16"/>
      <c r="J16" s="16"/>
      <c r="K16" s="16"/>
    </row>
    <row r="17" spans="1:18" x14ac:dyDescent="0.25">
      <c r="A17" s="78">
        <v>15</v>
      </c>
      <c r="B17" s="79" t="s">
        <v>74</v>
      </c>
      <c r="C17" s="79" t="s">
        <v>60</v>
      </c>
      <c r="D17" s="79" t="s">
        <v>87</v>
      </c>
      <c r="E17" s="80">
        <v>40377</v>
      </c>
      <c r="F17" s="81">
        <v>6200</v>
      </c>
      <c r="G17" s="81">
        <f t="shared" si="0"/>
        <v>74400</v>
      </c>
      <c r="H17" s="82">
        <f>G17/G$29</f>
        <v>3.6299765807962528E-2</v>
      </c>
      <c r="I17" s="16"/>
      <c r="J17" s="16"/>
      <c r="K17" s="16"/>
    </row>
    <row r="18" spans="1:18" x14ac:dyDescent="0.25">
      <c r="A18" s="78">
        <v>16</v>
      </c>
      <c r="B18" s="79" t="s">
        <v>75</v>
      </c>
      <c r="C18" s="79" t="s">
        <v>86</v>
      </c>
      <c r="D18" s="79" t="s">
        <v>58</v>
      </c>
      <c r="E18" s="80">
        <v>40474</v>
      </c>
      <c r="F18" s="81">
        <v>7300</v>
      </c>
      <c r="G18" s="81">
        <f t="shared" si="0"/>
        <v>87600</v>
      </c>
      <c r="H18" s="82">
        <f>G18/G$29</f>
        <v>4.2740046838407493E-2</v>
      </c>
      <c r="I18" s="16"/>
      <c r="J18" s="16"/>
      <c r="K18" s="16"/>
    </row>
    <row r="19" spans="1:18" x14ac:dyDescent="0.25">
      <c r="A19" s="78">
        <v>17</v>
      </c>
      <c r="B19" s="79" t="s">
        <v>76</v>
      </c>
      <c r="C19" s="79" t="s">
        <v>57</v>
      </c>
      <c r="D19" s="79" t="s">
        <v>58</v>
      </c>
      <c r="E19" s="80">
        <v>41027</v>
      </c>
      <c r="F19" s="81">
        <v>6700</v>
      </c>
      <c r="G19" s="81">
        <f t="shared" si="0"/>
        <v>80400</v>
      </c>
      <c r="H19" s="82">
        <f>G19/G$29</f>
        <v>3.9227166276346606E-2</v>
      </c>
      <c r="I19" s="16"/>
      <c r="J19" s="16"/>
      <c r="K19" s="16"/>
    </row>
    <row r="20" spans="1:18" x14ac:dyDescent="0.25">
      <c r="A20" s="78">
        <v>18</v>
      </c>
      <c r="B20" s="79" t="s">
        <v>77</v>
      </c>
      <c r="C20" s="79" t="s">
        <v>60</v>
      </c>
      <c r="D20" s="79" t="s">
        <v>87</v>
      </c>
      <c r="E20" s="80">
        <v>41058</v>
      </c>
      <c r="F20" s="81">
        <v>5200</v>
      </c>
      <c r="G20" s="81">
        <f t="shared" si="0"/>
        <v>62400</v>
      </c>
      <c r="H20" s="82">
        <f>G20/G$29</f>
        <v>3.0444964871194378E-2</v>
      </c>
      <c r="I20" s="16"/>
      <c r="J20" s="16"/>
      <c r="K20" s="16"/>
    </row>
    <row r="21" spans="1:18" x14ac:dyDescent="0.25">
      <c r="A21" s="78">
        <v>19</v>
      </c>
      <c r="B21" s="79" t="s">
        <v>78</v>
      </c>
      <c r="C21" s="79" t="s">
        <v>57</v>
      </c>
      <c r="D21" s="79" t="s">
        <v>58</v>
      </c>
      <c r="E21" s="80">
        <v>41071</v>
      </c>
      <c r="F21" s="81">
        <v>5800</v>
      </c>
      <c r="G21" s="81">
        <f t="shared" si="0"/>
        <v>69600</v>
      </c>
      <c r="H21" s="82">
        <f>G21/G$29</f>
        <v>3.3957845433255272E-2</v>
      </c>
      <c r="I21" s="16"/>
      <c r="J21" s="16"/>
      <c r="K21" s="16"/>
    </row>
    <row r="22" spans="1:18" x14ac:dyDescent="0.25">
      <c r="A22" s="78">
        <v>20</v>
      </c>
      <c r="B22" s="79" t="s">
        <v>79</v>
      </c>
      <c r="C22" s="79" t="s">
        <v>86</v>
      </c>
      <c r="D22" s="79" t="s">
        <v>58</v>
      </c>
      <c r="E22" s="80">
        <v>41460</v>
      </c>
      <c r="F22" s="81">
        <v>5900</v>
      </c>
      <c r="G22" s="81">
        <f t="shared" si="0"/>
        <v>70800</v>
      </c>
      <c r="H22" s="82">
        <f>G22/G$29</f>
        <v>3.4543325526932081E-2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5">
      <c r="A23" s="78">
        <v>21</v>
      </c>
      <c r="B23" s="79" t="s">
        <v>80</v>
      </c>
      <c r="C23" s="79" t="s">
        <v>57</v>
      </c>
      <c r="D23" s="79" t="s">
        <v>87</v>
      </c>
      <c r="E23" s="80">
        <v>41734</v>
      </c>
      <c r="F23" s="81">
        <v>5400</v>
      </c>
      <c r="G23" s="81">
        <f t="shared" si="0"/>
        <v>64800</v>
      </c>
      <c r="H23" s="82">
        <f>G23/G$29</f>
        <v>3.161592505854801E-2</v>
      </c>
      <c r="I23" s="16"/>
      <c r="J23" s="14"/>
      <c r="K23" s="16"/>
      <c r="L23" s="16"/>
      <c r="M23" s="16"/>
      <c r="N23" s="16"/>
      <c r="O23" s="16"/>
      <c r="P23" s="16"/>
      <c r="Q23" s="16"/>
      <c r="R23" s="16"/>
    </row>
    <row r="24" spans="1:18" x14ac:dyDescent="0.25">
      <c r="A24" s="78">
        <v>22</v>
      </c>
      <c r="B24" s="79" t="s">
        <v>81</v>
      </c>
      <c r="C24" s="79" t="s">
        <v>85</v>
      </c>
      <c r="D24" s="79" t="s">
        <v>58</v>
      </c>
      <c r="E24" s="80">
        <v>41853</v>
      </c>
      <c r="F24" s="81">
        <v>5600</v>
      </c>
      <c r="G24" s="81">
        <f t="shared" si="0"/>
        <v>67200</v>
      </c>
      <c r="H24" s="82">
        <f>G24/G$29</f>
        <v>3.2786885245901641E-2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5">
      <c r="A25" s="78">
        <v>23</v>
      </c>
      <c r="B25" s="79" t="s">
        <v>82</v>
      </c>
      <c r="C25" s="79" t="s">
        <v>86</v>
      </c>
      <c r="D25" s="79" t="s">
        <v>58</v>
      </c>
      <c r="E25" s="80">
        <v>43142</v>
      </c>
      <c r="F25" s="81">
        <v>6400</v>
      </c>
      <c r="G25" s="81">
        <f t="shared" si="0"/>
        <v>76800</v>
      </c>
      <c r="H25" s="82">
        <f>G25/G$29</f>
        <v>3.7470725995316159E-2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5">
      <c r="A26" s="78">
        <v>24</v>
      </c>
      <c r="B26" s="79" t="s">
        <v>83</v>
      </c>
      <c r="C26" s="79" t="s">
        <v>85</v>
      </c>
      <c r="D26" s="79" t="s">
        <v>87</v>
      </c>
      <c r="E26" s="80">
        <v>43364</v>
      </c>
      <c r="F26" s="81">
        <v>5600</v>
      </c>
      <c r="G26" s="81">
        <f t="shared" si="0"/>
        <v>67200</v>
      </c>
      <c r="H26" s="82">
        <f>G26/G$29</f>
        <v>3.2786885245901641E-2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5">
      <c r="A27" s="83">
        <v>25</v>
      </c>
      <c r="B27" s="84" t="s">
        <v>84</v>
      </c>
      <c r="C27" s="84" t="s">
        <v>85</v>
      </c>
      <c r="D27" s="84" t="s">
        <v>87</v>
      </c>
      <c r="E27" s="85">
        <v>44104</v>
      </c>
      <c r="F27" s="86">
        <v>5600</v>
      </c>
      <c r="G27" s="86">
        <f t="shared" si="0"/>
        <v>67200</v>
      </c>
      <c r="H27" s="87">
        <f>G27/G$29</f>
        <v>3.2786885245901641E-2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5">
      <c r="H28" s="39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5">
      <c r="G29" s="31">
        <f>SUM(G3:G27)</f>
        <v>2049600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5"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9:18" x14ac:dyDescent="0.25"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9:18" x14ac:dyDescent="0.25"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9:18" x14ac:dyDescent="0.25"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9:18" x14ac:dyDescent="0.25"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9:18" x14ac:dyDescent="0.25"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9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9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9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9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9:18" x14ac:dyDescent="0.25"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9:18" x14ac:dyDescent="0.25"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9:18" x14ac:dyDescent="0.25"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9:18" x14ac:dyDescent="0.25"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9:18" x14ac:dyDescent="0.25"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9:18" x14ac:dyDescent="0.25"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9:18" x14ac:dyDescent="0.25"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9:18" x14ac:dyDescent="0.25"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9:18" x14ac:dyDescent="0.25"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9:18" x14ac:dyDescent="0.25"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9:18" x14ac:dyDescent="0.25"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9:18" x14ac:dyDescent="0.25"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9:18" x14ac:dyDescent="0.25"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9:18" x14ac:dyDescent="0.25"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9:18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9:18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9:18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9:18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9:18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9:18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9:18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9:18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9:18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9:18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9:18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9:18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9:18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9:18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9:18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9:18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9:18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9:18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9:18" x14ac:dyDescent="0.25"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9:18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9:18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9:18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9:18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9:18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9:18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9:18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9:18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9:18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9:18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9:18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9:18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9:18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9:18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9:18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9:18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9:18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9:18" x14ac:dyDescent="0.25"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9:18" x14ac:dyDescent="0.25"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9:18" x14ac:dyDescent="0.25"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9:18" x14ac:dyDescent="0.25"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9:18" x14ac:dyDescent="0.25"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9:18" x14ac:dyDescent="0.25"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9:18" x14ac:dyDescent="0.25"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9:18" x14ac:dyDescent="0.25"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9:18" x14ac:dyDescent="0.25"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9:18" x14ac:dyDescent="0.25"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9:18" x14ac:dyDescent="0.25"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9:18" x14ac:dyDescent="0.25"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9:18" x14ac:dyDescent="0.25"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9:18" x14ac:dyDescent="0.25"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9:18" x14ac:dyDescent="0.25"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9:18" x14ac:dyDescent="0.25"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9:18" x14ac:dyDescent="0.25"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9:18" x14ac:dyDescent="0.25"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9:18" x14ac:dyDescent="0.25"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9:18" x14ac:dyDescent="0.25"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9:18" x14ac:dyDescent="0.25"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9:18" x14ac:dyDescent="0.25"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9:18" x14ac:dyDescent="0.25"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9:18" x14ac:dyDescent="0.25"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9:18" x14ac:dyDescent="0.25"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9:18" x14ac:dyDescent="0.25"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9:18" x14ac:dyDescent="0.25"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9:18" x14ac:dyDescent="0.25"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9:18" x14ac:dyDescent="0.25"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9:18" x14ac:dyDescent="0.25"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9:18" x14ac:dyDescent="0.25"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9:18" x14ac:dyDescent="0.25"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9:18" x14ac:dyDescent="0.25"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9:18" x14ac:dyDescent="0.25"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9:18" x14ac:dyDescent="0.25"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9:18" x14ac:dyDescent="0.25"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9:18" x14ac:dyDescent="0.25"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&amp;C&amp;"Baskerville Old Face,Bold"&amp;22Company Name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52BF-4FB8-439D-AE8C-7D6125F606EE}">
  <dimension ref="B2:H21"/>
  <sheetViews>
    <sheetView topLeftCell="B1" workbookViewId="0">
      <selection activeCell="H22" sqref="H22"/>
    </sheetView>
  </sheetViews>
  <sheetFormatPr defaultRowHeight="15" x14ac:dyDescent="0.25"/>
  <cols>
    <col min="2" max="2" width="14.85546875" bestFit="1" customWidth="1"/>
    <col min="3" max="3" width="10.28515625" bestFit="1" customWidth="1"/>
    <col min="4" max="4" width="8.85546875" bestFit="1" customWidth="1"/>
    <col min="5" max="5" width="10.85546875" bestFit="1" customWidth="1"/>
    <col min="6" max="6" width="15.28515625" customWidth="1"/>
  </cols>
  <sheetData>
    <row r="2" spans="2:7" x14ac:dyDescent="0.25">
      <c r="B2" s="3" t="s">
        <v>15</v>
      </c>
      <c r="C2" s="3" t="s">
        <v>16</v>
      </c>
      <c r="D2" s="3" t="s">
        <v>17</v>
      </c>
      <c r="E2" s="3" t="s">
        <v>18</v>
      </c>
      <c r="F2" s="3" t="s">
        <v>27</v>
      </c>
      <c r="G2" s="3" t="s">
        <v>34</v>
      </c>
    </row>
    <row r="3" spans="2:7" x14ac:dyDescent="0.25">
      <c r="B3" s="4" t="s">
        <v>19</v>
      </c>
      <c r="C3" s="4">
        <v>60</v>
      </c>
      <c r="D3" s="4">
        <v>50</v>
      </c>
      <c r="E3" s="4">
        <v>65</v>
      </c>
      <c r="F3" s="4">
        <v>65</v>
      </c>
      <c r="G3" s="3">
        <f>C3+D3+E3+F3</f>
        <v>240</v>
      </c>
    </row>
    <row r="4" spans="2:7" x14ac:dyDescent="0.25">
      <c r="B4" s="4" t="s">
        <v>20</v>
      </c>
      <c r="C4" s="4">
        <v>68</v>
      </c>
      <c r="D4" s="4">
        <v>60</v>
      </c>
      <c r="E4" s="4">
        <v>49</v>
      </c>
      <c r="F4" s="4">
        <v>65</v>
      </c>
      <c r="G4" s="3">
        <f>C4+D4+E4+F4</f>
        <v>242</v>
      </c>
    </row>
    <row r="5" spans="2:7" x14ac:dyDescent="0.25">
      <c r="B5" s="4" t="s">
        <v>21</v>
      </c>
      <c r="C5" s="4">
        <v>75</v>
      </c>
      <c r="D5" s="4">
        <v>70</v>
      </c>
      <c r="E5" s="4">
        <v>85</v>
      </c>
      <c r="F5" s="4">
        <v>68</v>
      </c>
      <c r="G5" s="3">
        <f>C5+D5+E5+F5</f>
        <v>298</v>
      </c>
    </row>
    <row r="7" spans="2:7" x14ac:dyDescent="0.25">
      <c r="B7" t="s">
        <v>22</v>
      </c>
      <c r="C7">
        <v>50</v>
      </c>
    </row>
    <row r="8" spans="2:7" x14ac:dyDescent="0.25">
      <c r="B8" t="s">
        <v>23</v>
      </c>
      <c r="C8">
        <v>100</v>
      </c>
    </row>
    <row r="10" spans="2:7" x14ac:dyDescent="0.25">
      <c r="B10" t="s">
        <v>24</v>
      </c>
      <c r="G10">
        <f>C3+D3+E3+F3</f>
        <v>240</v>
      </c>
    </row>
    <row r="11" spans="2:7" x14ac:dyDescent="0.25">
      <c r="B11" t="s">
        <v>25</v>
      </c>
      <c r="G11" t="b">
        <f>C4&gt;C3</f>
        <v>1</v>
      </c>
    </row>
    <row r="12" spans="2:7" x14ac:dyDescent="0.25">
      <c r="B12" t="s">
        <v>26</v>
      </c>
      <c r="G12" t="b">
        <f>E4&gt;E3</f>
        <v>0</v>
      </c>
    </row>
    <row r="13" spans="2:7" x14ac:dyDescent="0.25">
      <c r="B13" t="s">
        <v>28</v>
      </c>
      <c r="G13" t="b">
        <f>F4&gt;F3</f>
        <v>0</v>
      </c>
    </row>
    <row r="14" spans="2:7" x14ac:dyDescent="0.25">
      <c r="B14" t="s">
        <v>29</v>
      </c>
      <c r="G14" t="b">
        <f>F4&gt;=F3</f>
        <v>1</v>
      </c>
    </row>
    <row r="16" spans="2:7" x14ac:dyDescent="0.25">
      <c r="B16" t="s">
        <v>30</v>
      </c>
      <c r="G16" t="b">
        <f>D4&gt;=C7</f>
        <v>1</v>
      </c>
    </row>
    <row r="17" spans="2:8" x14ac:dyDescent="0.25">
      <c r="B17" t="s">
        <v>31</v>
      </c>
      <c r="G17" t="b">
        <f>D3&gt;=C7</f>
        <v>1</v>
      </c>
    </row>
    <row r="18" spans="2:8" x14ac:dyDescent="0.25">
      <c r="B18" t="s">
        <v>32</v>
      </c>
      <c r="G18" t="b">
        <f>E4&gt;=C7</f>
        <v>0</v>
      </c>
    </row>
    <row r="20" spans="2:8" x14ac:dyDescent="0.25">
      <c r="B20" t="s">
        <v>33</v>
      </c>
      <c r="H20">
        <f>G5-G4</f>
        <v>56</v>
      </c>
    </row>
    <row r="21" spans="2:8" x14ac:dyDescent="0.25">
      <c r="B21" t="s">
        <v>35</v>
      </c>
      <c r="H21">
        <f>G4-G5</f>
        <v>-56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4366-F8F4-455E-AB1D-4F5A2D68DE75}">
  <dimension ref="B2:L21"/>
  <sheetViews>
    <sheetView workbookViewId="0">
      <selection activeCell="I15" sqref="I15"/>
    </sheetView>
  </sheetViews>
  <sheetFormatPr defaultRowHeight="15" x14ac:dyDescent="0.25"/>
  <cols>
    <col min="2" max="2" width="14.85546875" bestFit="1" customWidth="1"/>
    <col min="3" max="3" width="10.28515625" bestFit="1" customWidth="1"/>
    <col min="4" max="4" width="8.85546875" bestFit="1" customWidth="1"/>
    <col min="5" max="5" width="10.85546875" bestFit="1" customWidth="1"/>
    <col min="6" max="6" width="15.28515625" customWidth="1"/>
    <col min="7" max="7" width="15.42578125" customWidth="1"/>
    <col min="11" max="11" width="13.7109375" customWidth="1"/>
  </cols>
  <sheetData>
    <row r="2" spans="2:12" x14ac:dyDescent="0.25">
      <c r="B2" s="3" t="s">
        <v>15</v>
      </c>
      <c r="C2" s="3" t="s">
        <v>16</v>
      </c>
      <c r="D2" s="3" t="s">
        <v>17</v>
      </c>
      <c r="E2" s="3" t="s">
        <v>18</v>
      </c>
      <c r="F2" s="3" t="s">
        <v>27</v>
      </c>
      <c r="G2" s="3" t="s">
        <v>34</v>
      </c>
    </row>
    <row r="3" spans="2:12" x14ac:dyDescent="0.25">
      <c r="B3" s="4" t="s">
        <v>19</v>
      </c>
      <c r="C3" s="4">
        <v>60</v>
      </c>
      <c r="D3" s="4">
        <v>50</v>
      </c>
      <c r="E3" s="4">
        <v>65</v>
      </c>
      <c r="F3" s="4">
        <v>65</v>
      </c>
      <c r="G3" s="3">
        <f>C3+D3+E3+F3</f>
        <v>240</v>
      </c>
      <c r="H3" t="str">
        <f>IF(C3&gt;=C7,IF(D3&gt;=C7,IF(E3&gt;=C7,IF(F3&gt;=C7,"Pass","Fail"),"Fail"),"Fail"),"Fail")</f>
        <v>Pass</v>
      </c>
    </row>
    <row r="4" spans="2:12" x14ac:dyDescent="0.25">
      <c r="B4" s="4" t="s">
        <v>20</v>
      </c>
      <c r="C4" s="4">
        <v>68</v>
      </c>
      <c r="D4" s="4">
        <v>60</v>
      </c>
      <c r="E4" s="4">
        <v>49</v>
      </c>
      <c r="F4" s="4">
        <v>65</v>
      </c>
      <c r="G4" s="3">
        <f>C4+D4+E4+F4</f>
        <v>242</v>
      </c>
      <c r="H4" t="str">
        <f>IF(C4&gt;=C7,IF(D4&gt;=C7,IF(E4&gt;=C7,IF(F4&gt;=C7,"Pass","Fail"),"Fail"),"Fail"),"Fail")</f>
        <v>Fail</v>
      </c>
    </row>
    <row r="5" spans="2:12" x14ac:dyDescent="0.25">
      <c r="B5" s="4" t="s">
        <v>21</v>
      </c>
      <c r="C5" s="4">
        <v>75</v>
      </c>
      <c r="D5" s="4">
        <v>70</v>
      </c>
      <c r="E5" s="4">
        <v>85</v>
      </c>
      <c r="F5" s="4">
        <v>68</v>
      </c>
      <c r="G5" s="3">
        <f>C5+D5+E5+F5</f>
        <v>298</v>
      </c>
      <c r="H5" t="str">
        <f>IF(C5&gt;=C7,IF(D5&gt;=C7,IF(E5&gt;=C7,IF(F5&gt;=C7,"Pass","Fail"),"Fail"),"Fail"),"Fail")</f>
        <v>Pass</v>
      </c>
    </row>
    <row r="7" spans="2:12" x14ac:dyDescent="0.25">
      <c r="B7" t="s">
        <v>22</v>
      </c>
      <c r="C7">
        <v>50</v>
      </c>
    </row>
    <row r="8" spans="2:12" x14ac:dyDescent="0.25">
      <c r="B8" t="s">
        <v>23</v>
      </c>
      <c r="C8">
        <v>100</v>
      </c>
    </row>
    <row r="10" spans="2:12" x14ac:dyDescent="0.25">
      <c r="B10" t="s">
        <v>36</v>
      </c>
      <c r="F10" t="str">
        <f>IF(D3&gt;=C7,"Pass","Fail")</f>
        <v>Pass</v>
      </c>
      <c r="L10" t="s">
        <v>45</v>
      </c>
    </row>
    <row r="11" spans="2:12" x14ac:dyDescent="0.25">
      <c r="B11" t="s">
        <v>37</v>
      </c>
      <c r="F11" t="str">
        <f>IF(E4&gt;=C7,"Pass","Fail")</f>
        <v>Fail</v>
      </c>
    </row>
    <row r="13" spans="2:12" ht="18.75" x14ac:dyDescent="0.3">
      <c r="B13" s="6" t="s">
        <v>38</v>
      </c>
    </row>
    <row r="14" spans="2:12" ht="15.75" x14ac:dyDescent="0.25">
      <c r="B14" s="7" t="s">
        <v>51</v>
      </c>
      <c r="C14" s="7"/>
    </row>
    <row r="15" spans="2:12" x14ac:dyDescent="0.25">
      <c r="B15" t="s">
        <v>42</v>
      </c>
      <c r="C15" s="5" t="s">
        <v>46</v>
      </c>
    </row>
    <row r="16" spans="2:12" x14ac:dyDescent="0.25">
      <c r="C16" t="s">
        <v>41</v>
      </c>
      <c r="E16" s="5" t="s">
        <v>46</v>
      </c>
    </row>
    <row r="17" spans="2:7" x14ac:dyDescent="0.25">
      <c r="D17" t="s">
        <v>40</v>
      </c>
      <c r="F17" s="5" t="s">
        <v>46</v>
      </c>
    </row>
    <row r="18" spans="2:7" x14ac:dyDescent="0.25">
      <c r="E18" t="s">
        <v>39</v>
      </c>
      <c r="G18" s="5" t="s">
        <v>47</v>
      </c>
    </row>
    <row r="19" spans="2:7" x14ac:dyDescent="0.25">
      <c r="D19" t="s">
        <v>43</v>
      </c>
      <c r="F19" s="5" t="s">
        <v>48</v>
      </c>
    </row>
    <row r="20" spans="2:7" x14ac:dyDescent="0.25">
      <c r="C20" t="s">
        <v>44</v>
      </c>
      <c r="E20" s="5" t="s">
        <v>49</v>
      </c>
    </row>
    <row r="21" spans="2:7" x14ac:dyDescent="0.25">
      <c r="B21" t="s">
        <v>44</v>
      </c>
      <c r="D21" s="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93D1-8DAA-4F5E-9397-19F9EA2CD56A}">
  <dimension ref="A1:O27"/>
  <sheetViews>
    <sheetView topLeftCell="E1" zoomScale="80" zoomScaleNormal="80" workbookViewId="0">
      <selection activeCell="I10" sqref="I10:I11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5.7109375" bestFit="1" customWidth="1"/>
    <col min="11" max="11" width="11" bestFit="1" customWidth="1"/>
    <col min="15" max="15" width="10.140625" bestFit="1" customWidth="1"/>
  </cols>
  <sheetData>
    <row r="1" spans="1:15" x14ac:dyDescent="0.25">
      <c r="J1" s="12"/>
      <c r="K1" s="12"/>
      <c r="L1" s="12"/>
      <c r="M1" s="12"/>
      <c r="N1" s="12"/>
      <c r="O1" s="12"/>
    </row>
    <row r="2" spans="1:15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5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5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15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5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15" t="s">
        <v>87</v>
      </c>
      <c r="J5">
        <f>COUNTIF(D$3:D$27,I5)</f>
        <v>9</v>
      </c>
      <c r="K5">
        <f>COUNTIFS($C$3:$C$27,K$2,$D$3:$D$27,$I5)</f>
        <v>3</v>
      </c>
      <c r="L5">
        <f t="shared" si="2"/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5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5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14" t="s">
        <v>95</v>
      </c>
    </row>
    <row r="8" spans="1:15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14" t="s">
        <v>96</v>
      </c>
    </row>
    <row r="9" spans="1:15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14"/>
    </row>
    <row r="10" spans="1:15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4" t="s">
        <v>94</v>
      </c>
    </row>
    <row r="11" spans="1:15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I11" s="14" t="s">
        <v>93</v>
      </c>
    </row>
    <row r="12" spans="1:15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</row>
    <row r="13" spans="1:15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</row>
    <row r="14" spans="1:15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</row>
    <row r="15" spans="1:15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</row>
    <row r="16" spans="1:15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</row>
    <row r="17" spans="1:7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</row>
    <row r="18" spans="1:7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</row>
    <row r="19" spans="1:7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</row>
    <row r="20" spans="1:7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</row>
    <row r="21" spans="1:7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</row>
    <row r="22" spans="1:7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</row>
    <row r="23" spans="1:7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</row>
    <row r="24" spans="1:7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</row>
    <row r="25" spans="1:7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</row>
    <row r="26" spans="1:7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</row>
    <row r="27" spans="1:7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2D3C-B04C-4BE8-8791-B91A5C97BCDF}">
  <dimension ref="A1:O27"/>
  <sheetViews>
    <sheetView topLeftCell="F1" zoomScale="80" zoomScaleNormal="80" workbookViewId="0">
      <selection activeCell="P4" sqref="P4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5.7109375" bestFit="1" customWidth="1"/>
    <col min="10" max="10" width="9.85546875" bestFit="1" customWidth="1"/>
    <col min="11" max="11" width="11" bestFit="1" customWidth="1"/>
    <col min="15" max="15" width="10.140625" bestFit="1" customWidth="1"/>
  </cols>
  <sheetData>
    <row r="1" spans="1:15" x14ac:dyDescent="0.25">
      <c r="J1" s="12"/>
      <c r="K1" s="12"/>
      <c r="L1" s="12"/>
      <c r="M1" s="12"/>
      <c r="N1" s="12"/>
      <c r="O1" s="12"/>
    </row>
    <row r="2" spans="1:15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5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5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15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5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15" t="s">
        <v>87</v>
      </c>
      <c r="J5">
        <f>COUNTIF(D$3:D$27,I5)</f>
        <v>9</v>
      </c>
      <c r="K5">
        <f>COUNTIFS($C$3:$C$27,K$2,$D$3:$D$27,$I5)</f>
        <v>3</v>
      </c>
      <c r="L5">
        <f>COUNTIFS($C$3:$C$27,L$2,$D$3:$D$27,$I5)</f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5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5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25" t="s">
        <v>97</v>
      </c>
      <c r="J7" s="26">
        <f>SUM(G3:G27)</f>
        <v>2049600</v>
      </c>
      <c r="K7" s="26">
        <f>SUMIF($C$3:$C$27,K2,$G$3:$G$27)</f>
        <v>675600</v>
      </c>
      <c r="L7" s="26">
        <f t="shared" ref="L7:O7" si="3">SUMIF($C$3:$C$27,L2,$G$3:$G$27)</f>
        <v>320400</v>
      </c>
      <c r="M7" s="26">
        <f t="shared" si="3"/>
        <v>393600</v>
      </c>
      <c r="N7" s="26">
        <f t="shared" si="3"/>
        <v>424800</v>
      </c>
      <c r="O7" s="26">
        <f t="shared" si="3"/>
        <v>235200</v>
      </c>
    </row>
    <row r="8" spans="1:15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27" t="s">
        <v>58</v>
      </c>
      <c r="J8" s="26">
        <f>SUMIF($D$3:$D$27,I8,$G$3:$G$27)</f>
        <v>1414800</v>
      </c>
      <c r="K8" s="26">
        <f>SUMIFS($G$3:$G$27,$C$3:$C$27,K$2,$D$3:$D$27,$I8)</f>
        <v>456000</v>
      </c>
      <c r="L8" s="26">
        <f t="shared" ref="L8:O9" si="4">SUMIFS($G$3:$G$27,$C$3:$C$27,L$2,$D$3:$D$27,$I8)</f>
        <v>183600</v>
      </c>
      <c r="M8" s="26">
        <f t="shared" si="4"/>
        <v>393600</v>
      </c>
      <c r="N8" s="26">
        <f t="shared" si="4"/>
        <v>146400</v>
      </c>
      <c r="O8" s="26">
        <f t="shared" si="4"/>
        <v>235200</v>
      </c>
    </row>
    <row r="9" spans="1:15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27" t="s">
        <v>87</v>
      </c>
      <c r="J9" s="26">
        <f>SUMIF($D$3:$D$27,I9,$G$3:$G$27)</f>
        <v>634800</v>
      </c>
      <c r="K9" s="26">
        <f>SUMIFS($G$3:$G$27,$C$3:$C$27,K$2,$D$3:$D$27,$I9)</f>
        <v>219600</v>
      </c>
      <c r="L9" s="26">
        <f>SUMIFS($G$3:$G$27,$C$3:$C$27,L$2,$D$3:$D$27,$I9)</f>
        <v>136800</v>
      </c>
      <c r="M9" s="26">
        <f t="shared" si="4"/>
        <v>0</v>
      </c>
      <c r="N9" s="26">
        <f t="shared" si="4"/>
        <v>278400</v>
      </c>
      <c r="O9" s="26">
        <f t="shared" si="4"/>
        <v>0</v>
      </c>
    </row>
    <row r="10" spans="1:15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6"/>
      <c r="J10" s="16"/>
      <c r="K10" s="16"/>
      <c r="L10" s="16"/>
      <c r="M10" s="16"/>
      <c r="N10" s="16"/>
    </row>
    <row r="11" spans="1:15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I11" s="14" t="s">
        <v>98</v>
      </c>
      <c r="J11" s="14"/>
      <c r="K11" s="14"/>
      <c r="L11" s="14"/>
      <c r="M11" s="14"/>
      <c r="N11" s="14"/>
      <c r="O11" s="14"/>
    </row>
    <row r="12" spans="1:15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I12" s="14" t="s">
        <v>99</v>
      </c>
      <c r="J12" s="14"/>
      <c r="K12" s="14"/>
      <c r="L12" s="14"/>
      <c r="M12" s="14"/>
      <c r="N12" s="14"/>
      <c r="O12" s="14"/>
    </row>
    <row r="13" spans="1:15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I13" s="16"/>
      <c r="J13" s="16"/>
      <c r="K13" s="16"/>
      <c r="L13" s="16"/>
      <c r="M13" s="16"/>
      <c r="N13" s="16"/>
    </row>
    <row r="14" spans="1:15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I14" s="16"/>
      <c r="J14" s="16"/>
      <c r="K14" s="16"/>
      <c r="L14" s="16"/>
      <c r="M14" s="16"/>
      <c r="N14" s="16"/>
    </row>
    <row r="15" spans="1:15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I15" s="16"/>
      <c r="J15" s="16"/>
      <c r="K15" s="16"/>
      <c r="L15" s="16"/>
      <c r="M15" s="16"/>
      <c r="N15" s="16"/>
    </row>
    <row r="16" spans="1:15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I16" s="16"/>
      <c r="J16" s="16"/>
      <c r="K16" s="16"/>
      <c r="L16" s="16"/>
      <c r="M16" s="16"/>
      <c r="N16" s="16"/>
    </row>
    <row r="17" spans="1:14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I17" s="16"/>
      <c r="J17" s="16"/>
      <c r="K17" s="16"/>
      <c r="L17" s="16"/>
      <c r="M17" s="16"/>
      <c r="N17" s="16"/>
    </row>
    <row r="18" spans="1:14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I18" s="16"/>
      <c r="J18" s="16"/>
      <c r="K18" s="16"/>
      <c r="L18" s="16"/>
      <c r="M18" s="16"/>
      <c r="N18" s="16"/>
    </row>
    <row r="19" spans="1:14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I19" s="16"/>
      <c r="J19" s="16"/>
      <c r="K19" s="16"/>
      <c r="L19" s="16"/>
      <c r="M19" s="16"/>
      <c r="N19" s="16"/>
    </row>
    <row r="20" spans="1:14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I20" s="16"/>
      <c r="J20" s="16"/>
      <c r="K20" s="16"/>
      <c r="L20" s="16"/>
      <c r="M20" s="16"/>
      <c r="N20" s="16"/>
    </row>
    <row r="21" spans="1:14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I21" s="16"/>
      <c r="J21" s="16"/>
      <c r="K21" s="16"/>
      <c r="L21" s="16"/>
      <c r="M21" s="16"/>
      <c r="N21" s="16"/>
    </row>
    <row r="22" spans="1:14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I22" s="16"/>
      <c r="J22" s="16"/>
      <c r="K22" s="16"/>
      <c r="L22" s="16"/>
      <c r="M22" s="16"/>
      <c r="N22" s="16"/>
    </row>
    <row r="23" spans="1:14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I23" s="16"/>
      <c r="J23" s="16"/>
      <c r="K23" s="16"/>
      <c r="L23" s="16"/>
      <c r="M23" s="16"/>
      <c r="N23" s="16"/>
    </row>
    <row r="24" spans="1:14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</row>
    <row r="25" spans="1:14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</row>
    <row r="26" spans="1:14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</row>
    <row r="27" spans="1:14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4EB-C8A9-4833-B669-E025591A2E6D}">
  <dimension ref="A1:Q128"/>
  <sheetViews>
    <sheetView topLeftCell="D1" zoomScale="80" zoomScaleNormal="80" workbookViewId="0">
      <selection activeCell="L11" sqref="L11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7.710937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0.140625" bestFit="1" customWidth="1"/>
  </cols>
  <sheetData>
    <row r="1" spans="1:17" x14ac:dyDescent="0.25">
      <c r="J1" s="12"/>
      <c r="K1" s="12"/>
      <c r="L1" s="12"/>
      <c r="M1" s="12"/>
      <c r="N1" s="12"/>
      <c r="O1" s="12"/>
    </row>
    <row r="2" spans="1:17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7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7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15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7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15" t="s">
        <v>87</v>
      </c>
      <c r="J5">
        <f>COUNTIF(D$3:D$27,I5)</f>
        <v>9</v>
      </c>
      <c r="K5">
        <f>COUNTIFS($C$3:$C$27,K$2,$D$3:$D$27,$I5)</f>
        <v>3</v>
      </c>
      <c r="L5">
        <f>COUNTIFS($C$3:$C$27,L$2,$D$3:$D$27,$I5)</f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7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7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18" t="s">
        <v>97</v>
      </c>
      <c r="J7" s="19">
        <f>SUM(G3:G27)</f>
        <v>2049600</v>
      </c>
      <c r="K7" s="19">
        <f>SUMIF($C$3:$C$27,K2,$G$3:$G$27)</f>
        <v>675600</v>
      </c>
      <c r="L7" s="19">
        <f t="shared" ref="L7:O7" si="3">SUMIF($C$3:$C$27,L2,$G$3:$G$27)</f>
        <v>320400</v>
      </c>
      <c r="M7" s="19">
        <f t="shared" si="3"/>
        <v>393600</v>
      </c>
      <c r="N7" s="19">
        <f t="shared" si="3"/>
        <v>424800</v>
      </c>
      <c r="O7" s="19">
        <f t="shared" si="3"/>
        <v>235200</v>
      </c>
    </row>
    <row r="8" spans="1:17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17" t="s">
        <v>58</v>
      </c>
      <c r="J8" s="19">
        <f>SUMIF($D$3:$D$27,I8,$G$3:$G$27)</f>
        <v>1414800</v>
      </c>
      <c r="K8" s="19">
        <f>SUMIFS($G$3:$G$27,$C$3:$C$27,K$2,$D$3:$D$27,$I8)</f>
        <v>456000</v>
      </c>
      <c r="L8" s="19">
        <f t="shared" ref="L8:O9" si="4">SUMIFS($G$3:$G$27,$C$3:$C$27,L$2,$D$3:$D$27,$I8)</f>
        <v>183600</v>
      </c>
      <c r="M8" s="19">
        <f t="shared" si="4"/>
        <v>393600</v>
      </c>
      <c r="N8" s="19">
        <f t="shared" si="4"/>
        <v>146400</v>
      </c>
      <c r="O8" s="19">
        <f t="shared" si="4"/>
        <v>235200</v>
      </c>
    </row>
    <row r="9" spans="1:17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17" t="s">
        <v>87</v>
      </c>
      <c r="J9" s="19">
        <f>SUMIF($D$3:$D$27,I9,$G$3:$G$27)</f>
        <v>634800</v>
      </c>
      <c r="K9" s="19">
        <f>SUMIFS($G$3:$G$27,$C$3:$C$27,K$2,$D$3:$D$27,$I9)</f>
        <v>219600</v>
      </c>
      <c r="L9" s="19">
        <f>SUMIFS($G$3:$G$27,$C$3:$C$27,L$2,$D$3:$D$27,$I9)</f>
        <v>136800</v>
      </c>
      <c r="M9" s="19">
        <f t="shared" si="4"/>
        <v>0</v>
      </c>
      <c r="N9" s="19">
        <f t="shared" si="4"/>
        <v>278400</v>
      </c>
      <c r="O9" s="19">
        <f t="shared" si="4"/>
        <v>0</v>
      </c>
    </row>
    <row r="10" spans="1:17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6"/>
      <c r="J10" s="16"/>
      <c r="K10" s="16"/>
      <c r="L10" s="16"/>
      <c r="M10" s="16"/>
      <c r="N10" s="16"/>
    </row>
    <row r="11" spans="1:17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16"/>
      <c r="I11" s="25" t="s">
        <v>100</v>
      </c>
      <c r="J11" s="28">
        <f>AVERAGE(G3:G27)</f>
        <v>81984</v>
      </c>
      <c r="K11" s="28">
        <f>AVERAGEIF($C3:$C27,K2,$G3:$G27)</f>
        <v>84450</v>
      </c>
      <c r="L11" s="28">
        <f t="shared" ref="L11:O11" si="5">AVERAGEIF($C3:$C27,L2,$G3:$G27)</f>
        <v>80100</v>
      </c>
      <c r="M11" s="28">
        <f t="shared" si="5"/>
        <v>98400</v>
      </c>
      <c r="N11" s="28">
        <f t="shared" si="5"/>
        <v>70800</v>
      </c>
      <c r="O11" s="28">
        <f t="shared" si="5"/>
        <v>78400</v>
      </c>
      <c r="P11" s="16"/>
      <c r="Q11" s="16"/>
    </row>
    <row r="12" spans="1:17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16"/>
      <c r="I12" s="27" t="s">
        <v>58</v>
      </c>
      <c r="J12" s="28">
        <f>AVERAGEIF(D$3:D$27,I12,G$3:G$27)</f>
        <v>88425</v>
      </c>
      <c r="K12" s="20"/>
      <c r="L12" s="20"/>
      <c r="M12" s="20"/>
      <c r="N12" s="20"/>
      <c r="O12" s="20"/>
      <c r="P12" s="16"/>
      <c r="Q12" s="16"/>
    </row>
    <row r="13" spans="1:17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16"/>
      <c r="I13" s="27" t="s">
        <v>87</v>
      </c>
      <c r="J13" s="28">
        <f>AVERAGEIF(D$3:D$27,I13,G$3:G$27)</f>
        <v>70533.333333333328</v>
      </c>
      <c r="K13" s="20"/>
      <c r="L13" s="20"/>
      <c r="M13" s="20"/>
      <c r="N13" s="20"/>
      <c r="O13" s="20"/>
      <c r="P13" s="16"/>
      <c r="Q13" s="16"/>
    </row>
    <row r="14" spans="1:17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5"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5"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5"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25"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8:17" x14ac:dyDescent="0.25"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8:17" x14ac:dyDescent="0.25"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8:17" x14ac:dyDescent="0.25"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8:17" x14ac:dyDescent="0.25"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8:17" x14ac:dyDescent="0.25"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8:17" x14ac:dyDescent="0.25"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8:17" x14ac:dyDescent="0.25"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8:17" x14ac:dyDescent="0.25"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8:17" x14ac:dyDescent="0.25"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8:17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8:17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8:17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8:17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8:17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8:17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8:17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8:17" x14ac:dyDescent="0.25"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8:17" x14ac:dyDescent="0.25"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8:17" x14ac:dyDescent="0.25"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8:17" x14ac:dyDescent="0.25"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8:17" x14ac:dyDescent="0.25"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8:17" x14ac:dyDescent="0.25"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8:17" x14ac:dyDescent="0.25"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8:17" x14ac:dyDescent="0.25"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8:17" x14ac:dyDescent="0.25"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8:17" x14ac:dyDescent="0.25"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8:17" x14ac:dyDescent="0.25"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8:17" x14ac:dyDescent="0.25"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8:17" x14ac:dyDescent="0.25"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8:17" x14ac:dyDescent="0.25"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8:17" x14ac:dyDescent="0.25"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8:17" x14ac:dyDescent="0.25"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8:17" x14ac:dyDescent="0.25"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8:17" x14ac:dyDescent="0.25"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8:17" x14ac:dyDescent="0.25"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8:17" x14ac:dyDescent="0.25"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8:17" x14ac:dyDescent="0.25"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8:17" x14ac:dyDescent="0.25"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8:17" x14ac:dyDescent="0.25"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8:17" x14ac:dyDescent="0.25"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8:17" x14ac:dyDescent="0.25"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8:17" x14ac:dyDescent="0.25"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8:17" x14ac:dyDescent="0.25"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8:17" x14ac:dyDescent="0.25"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8:17" x14ac:dyDescent="0.25"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8:17" x14ac:dyDescent="0.25"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8:17" x14ac:dyDescent="0.25"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8:17" x14ac:dyDescent="0.25"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8:17" x14ac:dyDescent="0.25"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8:17" x14ac:dyDescent="0.25"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8:17" x14ac:dyDescent="0.25"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8:17" x14ac:dyDescent="0.25"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8:17" x14ac:dyDescent="0.25"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8:17" x14ac:dyDescent="0.25"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8:17" x14ac:dyDescent="0.25"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8:17" x14ac:dyDescent="0.25"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8:17" x14ac:dyDescent="0.25"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8:17" x14ac:dyDescent="0.25"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8:17" x14ac:dyDescent="0.25"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8:17" x14ac:dyDescent="0.25"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8:17" x14ac:dyDescent="0.25"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8:17" x14ac:dyDescent="0.25"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8:17" x14ac:dyDescent="0.25"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8:17" x14ac:dyDescent="0.25"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8:17" x14ac:dyDescent="0.25"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8:17" x14ac:dyDescent="0.25"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8:17" x14ac:dyDescent="0.25"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8:17" x14ac:dyDescent="0.25"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8:17" x14ac:dyDescent="0.25"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8:17" x14ac:dyDescent="0.25"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8:17" x14ac:dyDescent="0.25"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8:17" x14ac:dyDescent="0.25"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8:17" x14ac:dyDescent="0.25"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8:17" x14ac:dyDescent="0.25"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8:17" x14ac:dyDescent="0.25"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8:17" x14ac:dyDescent="0.25"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8:17" x14ac:dyDescent="0.25"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8:17" x14ac:dyDescent="0.25"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8:17" x14ac:dyDescent="0.25"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8:17" x14ac:dyDescent="0.25"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8:17" x14ac:dyDescent="0.25"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8:17" x14ac:dyDescent="0.25"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8:17" x14ac:dyDescent="0.25"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8:17" x14ac:dyDescent="0.25"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8:17" x14ac:dyDescent="0.25"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8:17" x14ac:dyDescent="0.25"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8:17" x14ac:dyDescent="0.25"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8:17" x14ac:dyDescent="0.25"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8:17" x14ac:dyDescent="0.25"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8:17" x14ac:dyDescent="0.25"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8:17" x14ac:dyDescent="0.25"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8:17" x14ac:dyDescent="0.25"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8:17" x14ac:dyDescent="0.25"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8:17" x14ac:dyDescent="0.25"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8:17" x14ac:dyDescent="0.25"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8:17" x14ac:dyDescent="0.25"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AB2-255C-45A7-AA10-733FEE3EBDC0}">
  <dimension ref="A1:Q128"/>
  <sheetViews>
    <sheetView topLeftCell="G4" zoomScale="80" zoomScaleNormal="80" workbookViewId="0">
      <selection activeCell="L15" sqref="L15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7.710937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0.140625" bestFit="1" customWidth="1"/>
  </cols>
  <sheetData>
    <row r="1" spans="1:17" x14ac:dyDescent="0.25">
      <c r="J1" s="12"/>
      <c r="K1" s="12"/>
      <c r="L1" s="12"/>
      <c r="M1" s="12"/>
      <c r="N1" s="12"/>
      <c r="O1" s="12"/>
    </row>
    <row r="2" spans="1:17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7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7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23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7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23" t="s">
        <v>87</v>
      </c>
      <c r="J5">
        <f>COUNTIF(D$3:D$27,I5)</f>
        <v>9</v>
      </c>
      <c r="K5">
        <f>COUNTIFS($C$3:$C$27,K$2,$D$3:$D$27,$I5)</f>
        <v>3</v>
      </c>
      <c r="L5">
        <f>COUNTIFS($C$3:$C$27,L$2,$D$3:$D$27,$I5)</f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7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7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18" t="s">
        <v>97</v>
      </c>
      <c r="J7" s="22">
        <f>SUM(G3:G27)</f>
        <v>2049600</v>
      </c>
      <c r="K7" s="22">
        <f>SUMIF($C$3:$C$27,K2,$G$3:$G$27)</f>
        <v>675600</v>
      </c>
      <c r="L7" s="22">
        <f t="shared" ref="L7:O7" si="3">SUMIF($C$3:$C$27,L2,$G$3:$G$27)</f>
        <v>320400</v>
      </c>
      <c r="M7" s="22">
        <f t="shared" si="3"/>
        <v>393600</v>
      </c>
      <c r="N7" s="22">
        <f t="shared" si="3"/>
        <v>424800</v>
      </c>
      <c r="O7" s="22">
        <f t="shared" si="3"/>
        <v>235200</v>
      </c>
    </row>
    <row r="8" spans="1:17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24" t="s">
        <v>58</v>
      </c>
      <c r="J8" s="19">
        <f>SUMIF($D$3:$D$27,I8,$G$3:$G$27)</f>
        <v>1414800</v>
      </c>
      <c r="K8" s="19">
        <f>SUMIFS($G$3:$G$27,$C$3:$C$27,K$2,$D$3:$D$27,$I8)</f>
        <v>456000</v>
      </c>
      <c r="L8" s="19">
        <f t="shared" ref="L8:O9" si="4">SUMIFS($G$3:$G$27,$C$3:$C$27,L$2,$D$3:$D$27,$I8)</f>
        <v>183600</v>
      </c>
      <c r="M8" s="19">
        <f t="shared" si="4"/>
        <v>393600</v>
      </c>
      <c r="N8" s="19">
        <f t="shared" si="4"/>
        <v>146400</v>
      </c>
      <c r="O8" s="19">
        <f t="shared" si="4"/>
        <v>235200</v>
      </c>
    </row>
    <row r="9" spans="1:17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24" t="s">
        <v>87</v>
      </c>
      <c r="J9" s="19">
        <f>SUMIF($D$3:$D$27,I9,$G$3:$G$27)</f>
        <v>634800</v>
      </c>
      <c r="K9" s="19">
        <f>SUMIFS($G$3:$G$27,$C$3:$C$27,K$2,$D$3:$D$27,$I9)</f>
        <v>219600</v>
      </c>
      <c r="L9" s="19">
        <f>SUMIFS($G$3:$G$27,$C$3:$C$27,L$2,$D$3:$D$27,$I9)</f>
        <v>136800</v>
      </c>
      <c r="M9" s="19">
        <f t="shared" si="4"/>
        <v>0</v>
      </c>
      <c r="N9" s="19">
        <f t="shared" si="4"/>
        <v>278400</v>
      </c>
      <c r="O9" s="19">
        <f t="shared" si="4"/>
        <v>0</v>
      </c>
    </row>
    <row r="10" spans="1:17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6"/>
      <c r="J10" s="16"/>
      <c r="K10" s="16"/>
      <c r="L10" s="16"/>
      <c r="M10" s="16"/>
      <c r="N10" s="16"/>
    </row>
    <row r="11" spans="1:17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16"/>
      <c r="I11" s="18" t="s">
        <v>100</v>
      </c>
      <c r="J11" s="21">
        <f>AVERAGE(G3:G27)</f>
        <v>81984</v>
      </c>
      <c r="K11" s="21">
        <f>AVERAGEIF($C3:$C27,K2,$G3:$G27)</f>
        <v>84450</v>
      </c>
      <c r="L11" s="21">
        <f t="shared" ref="L11:O11" si="5">AVERAGEIF($C3:$C27,L2,$G3:$G27)</f>
        <v>80100</v>
      </c>
      <c r="M11" s="21">
        <f t="shared" si="5"/>
        <v>98400</v>
      </c>
      <c r="N11" s="21">
        <f t="shared" si="5"/>
        <v>70800</v>
      </c>
      <c r="O11" s="21">
        <f t="shared" si="5"/>
        <v>78400</v>
      </c>
      <c r="P11" s="16"/>
      <c r="Q11" s="16"/>
    </row>
    <row r="12" spans="1:17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16"/>
      <c r="I12" s="24" t="s">
        <v>58</v>
      </c>
      <c r="J12" s="28">
        <f>AVERAGEIF(D$3:D$27,I12,G$3:G$27)</f>
        <v>88425</v>
      </c>
      <c r="K12" s="28">
        <f>AVERAGEIFS($G$3:$G$27,$C$3:$C$27,K$2,$D$3:$D$27,$I12)</f>
        <v>91200</v>
      </c>
      <c r="L12" s="28">
        <f t="shared" ref="L12:O13" si="6">AVERAGEIFS($G$3:$G$27,$C$3:$C$27,L$2,$D$3:$D$27,$I12)</f>
        <v>91800</v>
      </c>
      <c r="M12" s="28">
        <f t="shared" si="6"/>
        <v>98400</v>
      </c>
      <c r="N12" s="28">
        <f t="shared" si="6"/>
        <v>73200</v>
      </c>
      <c r="O12" s="28">
        <f t="shared" si="6"/>
        <v>78400</v>
      </c>
      <c r="P12" s="16"/>
      <c r="Q12" s="16"/>
    </row>
    <row r="13" spans="1:17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16"/>
      <c r="I13" s="24" t="s">
        <v>87</v>
      </c>
      <c r="J13" s="28">
        <f>AVERAGEIF(D$3:D$27,I13,G$3:G$27)</f>
        <v>70533.333333333328</v>
      </c>
      <c r="K13" s="28">
        <f>AVERAGEIFS($G$3:$G$27,$C$3:$C$27,K$2,$D$3:$D$27,$I13)</f>
        <v>73200</v>
      </c>
      <c r="L13" s="28">
        <f t="shared" si="6"/>
        <v>68400</v>
      </c>
      <c r="M13" s="28">
        <v>0</v>
      </c>
      <c r="N13" s="28">
        <f t="shared" si="6"/>
        <v>69600</v>
      </c>
      <c r="O13" s="28">
        <v>0</v>
      </c>
      <c r="P13" s="16"/>
      <c r="Q13" s="16"/>
    </row>
    <row r="14" spans="1:17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5"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5"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5"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25"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8:17" x14ac:dyDescent="0.25"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8:17" x14ac:dyDescent="0.25"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8:17" x14ac:dyDescent="0.25"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8:17" x14ac:dyDescent="0.25"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8:17" x14ac:dyDescent="0.25"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8:17" x14ac:dyDescent="0.25"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8:17" x14ac:dyDescent="0.25"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8:17" x14ac:dyDescent="0.25"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8:17" x14ac:dyDescent="0.25"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8:17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8:17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8:17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8:17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8:17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8:17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8:17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8:17" x14ac:dyDescent="0.25"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8:17" x14ac:dyDescent="0.25"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8:17" x14ac:dyDescent="0.25"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8:17" x14ac:dyDescent="0.25"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8:17" x14ac:dyDescent="0.25"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8:17" x14ac:dyDescent="0.25"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8:17" x14ac:dyDescent="0.25"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8:17" x14ac:dyDescent="0.25"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8:17" x14ac:dyDescent="0.25"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8:17" x14ac:dyDescent="0.25"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8:17" x14ac:dyDescent="0.25"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8:17" x14ac:dyDescent="0.25"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8:17" x14ac:dyDescent="0.25"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8:17" x14ac:dyDescent="0.25"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8:17" x14ac:dyDescent="0.25"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8:17" x14ac:dyDescent="0.25"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8:17" x14ac:dyDescent="0.25"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8:17" x14ac:dyDescent="0.25"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8:17" x14ac:dyDescent="0.25"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8:17" x14ac:dyDescent="0.25"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8:17" x14ac:dyDescent="0.25"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8:17" x14ac:dyDescent="0.25"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8:17" x14ac:dyDescent="0.25"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8:17" x14ac:dyDescent="0.25"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8:17" x14ac:dyDescent="0.25"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8:17" x14ac:dyDescent="0.25"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8:17" x14ac:dyDescent="0.25"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8:17" x14ac:dyDescent="0.25"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8:17" x14ac:dyDescent="0.25"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8:17" x14ac:dyDescent="0.25"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8:17" x14ac:dyDescent="0.25"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8:17" x14ac:dyDescent="0.25"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8:17" x14ac:dyDescent="0.25"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8:17" x14ac:dyDescent="0.25"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8:17" x14ac:dyDescent="0.25"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8:17" x14ac:dyDescent="0.25"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8:17" x14ac:dyDescent="0.25"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8:17" x14ac:dyDescent="0.25"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8:17" x14ac:dyDescent="0.25"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8:17" x14ac:dyDescent="0.25"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8:17" x14ac:dyDescent="0.25"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8:17" x14ac:dyDescent="0.25"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8:17" x14ac:dyDescent="0.25"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8:17" x14ac:dyDescent="0.25"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8:17" x14ac:dyDescent="0.25"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8:17" x14ac:dyDescent="0.25"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8:17" x14ac:dyDescent="0.25"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8:17" x14ac:dyDescent="0.25"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8:17" x14ac:dyDescent="0.25"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8:17" x14ac:dyDescent="0.25"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8:17" x14ac:dyDescent="0.25"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8:17" x14ac:dyDescent="0.25"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8:17" x14ac:dyDescent="0.25"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8:17" x14ac:dyDescent="0.25"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8:17" x14ac:dyDescent="0.25"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8:17" x14ac:dyDescent="0.25"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8:17" x14ac:dyDescent="0.25"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8:17" x14ac:dyDescent="0.25"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8:17" x14ac:dyDescent="0.25"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8:17" x14ac:dyDescent="0.25"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8:17" x14ac:dyDescent="0.25"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8:17" x14ac:dyDescent="0.25"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8:17" x14ac:dyDescent="0.25"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8:17" x14ac:dyDescent="0.25"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8:17" x14ac:dyDescent="0.25"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8:17" x14ac:dyDescent="0.25"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8:17" x14ac:dyDescent="0.25"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8:17" x14ac:dyDescent="0.25"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8:17" x14ac:dyDescent="0.25"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8:17" x14ac:dyDescent="0.25"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8:17" x14ac:dyDescent="0.25"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8:17" x14ac:dyDescent="0.25"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8:17" x14ac:dyDescent="0.25"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8:17" x14ac:dyDescent="0.25"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8:17" x14ac:dyDescent="0.25"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8:17" x14ac:dyDescent="0.25"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8:17" x14ac:dyDescent="0.25"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8:17" x14ac:dyDescent="0.25"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8:17" x14ac:dyDescent="0.25"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8:17" x14ac:dyDescent="0.25"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CB91-EC21-4BA1-94CF-358A251D9B44}">
  <dimension ref="A1:Q128"/>
  <sheetViews>
    <sheetView topLeftCell="G1" zoomScale="80" zoomScaleNormal="80" workbookViewId="0">
      <selection activeCell="R17" sqref="R17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7.710937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0.140625" bestFit="1" customWidth="1"/>
  </cols>
  <sheetData>
    <row r="1" spans="1:17" x14ac:dyDescent="0.25">
      <c r="J1" s="12"/>
      <c r="K1" s="12"/>
      <c r="L1" s="12"/>
      <c r="M1" s="12"/>
      <c r="N1" s="12"/>
      <c r="O1" s="12"/>
    </row>
    <row r="2" spans="1:17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7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7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23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7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23" t="s">
        <v>87</v>
      </c>
      <c r="J5">
        <f>COUNTIF(D$3:D$27,I5)</f>
        <v>9</v>
      </c>
      <c r="K5">
        <f>COUNTIFS($C$3:$C$27,K$2,$D$3:$D$27,$I5)</f>
        <v>3</v>
      </c>
      <c r="L5">
        <f>COUNTIFS($C$3:$C$27,L$2,$D$3:$D$27,$I5)</f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7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7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18" t="s">
        <v>97</v>
      </c>
      <c r="J7" s="22">
        <f>SUM(G3:G27)</f>
        <v>2049600</v>
      </c>
      <c r="K7" s="22">
        <f>SUMIF($C$3:$C$27,K2,$G$3:$G$27)</f>
        <v>675600</v>
      </c>
      <c r="L7" s="22">
        <f t="shared" ref="L7:O7" si="3">SUMIF($C$3:$C$27,L2,$G$3:$G$27)</f>
        <v>320400</v>
      </c>
      <c r="M7" s="22">
        <f t="shared" si="3"/>
        <v>393600</v>
      </c>
      <c r="N7" s="22">
        <f t="shared" si="3"/>
        <v>424800</v>
      </c>
      <c r="O7" s="22">
        <f t="shared" si="3"/>
        <v>235200</v>
      </c>
    </row>
    <row r="8" spans="1:17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24" t="s">
        <v>58</v>
      </c>
      <c r="J8" s="19">
        <f>SUMIF($D$3:$D$27,I8,$G$3:$G$27)</f>
        <v>1414800</v>
      </c>
      <c r="K8" s="19">
        <f>SUMIFS($G$3:$G$27,$C$3:$C$27,K$2,$D$3:$D$27,$I8)</f>
        <v>456000</v>
      </c>
      <c r="L8" s="19">
        <f t="shared" ref="L8:O9" si="4">SUMIFS($G$3:$G$27,$C$3:$C$27,L$2,$D$3:$D$27,$I8)</f>
        <v>183600</v>
      </c>
      <c r="M8" s="19">
        <f t="shared" si="4"/>
        <v>393600</v>
      </c>
      <c r="N8" s="19">
        <f t="shared" si="4"/>
        <v>146400</v>
      </c>
      <c r="O8" s="19">
        <f t="shared" si="4"/>
        <v>235200</v>
      </c>
    </row>
    <row r="9" spans="1:17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24" t="s">
        <v>87</v>
      </c>
      <c r="J9" s="19">
        <f>SUMIF($D$3:$D$27,I9,$G$3:$G$27)</f>
        <v>634800</v>
      </c>
      <c r="K9" s="19">
        <f>SUMIFS($G$3:$G$27,$C$3:$C$27,K$2,$D$3:$D$27,$I9)</f>
        <v>219600</v>
      </c>
      <c r="L9" s="19">
        <f>SUMIFS($G$3:$G$27,$C$3:$C$27,L$2,$D$3:$D$27,$I9)</f>
        <v>136800</v>
      </c>
      <c r="M9" s="19">
        <f t="shared" si="4"/>
        <v>0</v>
      </c>
      <c r="N9" s="19">
        <f t="shared" si="4"/>
        <v>278400</v>
      </c>
      <c r="O9" s="19">
        <f t="shared" si="4"/>
        <v>0</v>
      </c>
    </row>
    <row r="10" spans="1:17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6"/>
      <c r="J10" s="16"/>
      <c r="K10" s="16"/>
      <c r="L10" s="16"/>
      <c r="M10" s="16"/>
      <c r="N10" s="16"/>
    </row>
    <row r="11" spans="1:17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16"/>
      <c r="I11" s="18" t="s">
        <v>100</v>
      </c>
      <c r="J11" s="21">
        <f>AVERAGE(G3:G27)</f>
        <v>81984</v>
      </c>
      <c r="K11" s="21">
        <f>AVERAGEIF($C3:$C27,K2,$G3:$G27)</f>
        <v>84450</v>
      </c>
      <c r="L11" s="21">
        <f t="shared" ref="L11:O11" si="5">AVERAGEIF($C3:$C27,L2,$G3:$G27)</f>
        <v>80100</v>
      </c>
      <c r="M11" s="21">
        <f t="shared" si="5"/>
        <v>98400</v>
      </c>
      <c r="N11" s="21">
        <f t="shared" si="5"/>
        <v>70800</v>
      </c>
      <c r="O11" s="21">
        <f t="shared" si="5"/>
        <v>78400</v>
      </c>
      <c r="P11" s="16"/>
      <c r="Q11" s="16"/>
    </row>
    <row r="12" spans="1:17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16"/>
      <c r="I12" s="24" t="s">
        <v>58</v>
      </c>
      <c r="J12" s="20">
        <f>AVERAGEIF(D$3:D$27,I12,G$3:G$27)</f>
        <v>88425</v>
      </c>
      <c r="K12" s="20">
        <f>AVERAGEIFS($G$3:$G$27,$C$3:$C$27,K$2,$D$3:$D$27,$I12)</f>
        <v>91200</v>
      </c>
      <c r="L12" s="20">
        <f t="shared" ref="L12:O13" si="6">AVERAGEIFS($G$3:$G$27,$C$3:$C$27,L$2,$D$3:$D$27,$I12)</f>
        <v>91800</v>
      </c>
      <c r="M12" s="20">
        <f t="shared" si="6"/>
        <v>98400</v>
      </c>
      <c r="N12" s="20">
        <f t="shared" si="6"/>
        <v>73200</v>
      </c>
      <c r="O12" s="20">
        <f t="shared" si="6"/>
        <v>78400</v>
      </c>
      <c r="P12" s="16"/>
      <c r="Q12" s="16"/>
    </row>
    <row r="13" spans="1:17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16"/>
      <c r="I13" s="24" t="s">
        <v>87</v>
      </c>
      <c r="J13" s="20">
        <f>AVERAGEIF(D$3:D$27,I13,G$3:G$27)</f>
        <v>70533.333333333328</v>
      </c>
      <c r="K13" s="20">
        <f>AVERAGEIFS($G$3:$G$27,$C$3:$C$27,K$2,$D$3:$D$27,$I13)</f>
        <v>73200</v>
      </c>
      <c r="L13" s="20">
        <f t="shared" si="6"/>
        <v>68400</v>
      </c>
      <c r="M13" s="20">
        <v>0</v>
      </c>
      <c r="N13" s="20">
        <f t="shared" si="6"/>
        <v>69600</v>
      </c>
      <c r="O13" s="20">
        <v>0</v>
      </c>
      <c r="P13" s="16"/>
      <c r="Q13" s="16"/>
    </row>
    <row r="14" spans="1:17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16"/>
      <c r="I15" s="25" t="s">
        <v>101</v>
      </c>
      <c r="J15" s="26">
        <f>MAX(G3:G27)</f>
        <v>126000</v>
      </c>
      <c r="K15" s="29">
        <f>_xlfn.MAXIFS($G3:$G27,$C3:$C27,K2)</f>
        <v>126000</v>
      </c>
      <c r="L15" s="29">
        <f t="shared" ref="L15:O15" si="7">_xlfn.MAXIFS($G3:$G27,$C3:$C27,L2)</f>
        <v>117600</v>
      </c>
      <c r="M15" s="29">
        <f t="shared" si="7"/>
        <v>122400</v>
      </c>
      <c r="N15" s="29">
        <f t="shared" si="7"/>
        <v>79200</v>
      </c>
      <c r="O15" s="29">
        <f t="shared" si="7"/>
        <v>87600</v>
      </c>
      <c r="P15" s="16"/>
      <c r="Q15" s="16"/>
    </row>
    <row r="16" spans="1:17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16"/>
      <c r="I16" s="30" t="s">
        <v>58</v>
      </c>
      <c r="J16" s="29">
        <f>_xlfn.MAXIFS(G$3:G$27,D$3:D$27,I16)</f>
        <v>126000</v>
      </c>
      <c r="K16" s="29">
        <f>_xlfn.MAXIFS($G$3:$G$27,$C$3:$C$27,K$2,$D$3:$D$27,$I16)</f>
        <v>126000</v>
      </c>
      <c r="L16" s="29">
        <f>_xlfn.MAXIFS($G$3:$G$27,$C$3:$C$27,L$2,$D$3:$D$27,$I16)</f>
        <v>117600</v>
      </c>
      <c r="M16" s="29">
        <f t="shared" ref="M16:O17" si="8">_xlfn.MAXIFS($G$3:$G$27,$C$3:$C$27,M$2,$D$3:$D$27,$I16)</f>
        <v>122400</v>
      </c>
      <c r="N16" s="29">
        <f t="shared" si="8"/>
        <v>79200</v>
      </c>
      <c r="O16" s="29">
        <f t="shared" si="8"/>
        <v>87600</v>
      </c>
      <c r="P16" s="16"/>
      <c r="Q16" s="16"/>
    </row>
    <row r="17" spans="1:17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16"/>
      <c r="I17" s="30" t="s">
        <v>87</v>
      </c>
      <c r="J17" s="29">
        <f>_xlfn.MAXIFS(G$3:G$27,D$3:D$27,I17)</f>
        <v>85200</v>
      </c>
      <c r="K17" s="29">
        <f>_xlfn.MAXIFS($G$3:$G$27,$C$3:$C$27,K$2,$D$3:$D$27,$I17)</f>
        <v>85200</v>
      </c>
      <c r="L17" s="29">
        <f t="shared" ref="L17" si="9">_xlfn.MAXIFS($G$3:$G$27,$C$3:$C$27,L$2,$D$3:$D$27,$I17)</f>
        <v>74400</v>
      </c>
      <c r="M17" s="29">
        <f t="shared" si="8"/>
        <v>0</v>
      </c>
      <c r="N17" s="29">
        <f t="shared" si="8"/>
        <v>76800</v>
      </c>
      <c r="O17" s="29">
        <f t="shared" si="8"/>
        <v>0</v>
      </c>
      <c r="P17" s="16"/>
      <c r="Q17" s="16"/>
    </row>
    <row r="18" spans="1:17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5"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5"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5"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25"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8:17" x14ac:dyDescent="0.25"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8:17" x14ac:dyDescent="0.25"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8:17" x14ac:dyDescent="0.25"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8:17" x14ac:dyDescent="0.25"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8:17" x14ac:dyDescent="0.25"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8:17" x14ac:dyDescent="0.25"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8:17" x14ac:dyDescent="0.25"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8:17" x14ac:dyDescent="0.25"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8:17" x14ac:dyDescent="0.25"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8:17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8:17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8:17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8:17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8:17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8:17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8:17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8:17" x14ac:dyDescent="0.25"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8:17" x14ac:dyDescent="0.25"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8:17" x14ac:dyDescent="0.25"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8:17" x14ac:dyDescent="0.25"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8:17" x14ac:dyDescent="0.25"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8:17" x14ac:dyDescent="0.25"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8:17" x14ac:dyDescent="0.25"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8:17" x14ac:dyDescent="0.25"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8:17" x14ac:dyDescent="0.25"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8:17" x14ac:dyDescent="0.25"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8:17" x14ac:dyDescent="0.25"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8:17" x14ac:dyDescent="0.25"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8:17" x14ac:dyDescent="0.25"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8:17" x14ac:dyDescent="0.25"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8:17" x14ac:dyDescent="0.25"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8:17" x14ac:dyDescent="0.25"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8:17" x14ac:dyDescent="0.25"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8:17" x14ac:dyDescent="0.25"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8:17" x14ac:dyDescent="0.25"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8:17" x14ac:dyDescent="0.25"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8:17" x14ac:dyDescent="0.25"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8:17" x14ac:dyDescent="0.25"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8:17" x14ac:dyDescent="0.25"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8:17" x14ac:dyDescent="0.25"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8:17" x14ac:dyDescent="0.25"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8:17" x14ac:dyDescent="0.25"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8:17" x14ac:dyDescent="0.25"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8:17" x14ac:dyDescent="0.25"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8:17" x14ac:dyDescent="0.25"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8:17" x14ac:dyDescent="0.25"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8:17" x14ac:dyDescent="0.25"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8:17" x14ac:dyDescent="0.25"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8:17" x14ac:dyDescent="0.25"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8:17" x14ac:dyDescent="0.25"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8:17" x14ac:dyDescent="0.25"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8:17" x14ac:dyDescent="0.25"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8:17" x14ac:dyDescent="0.25"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8:17" x14ac:dyDescent="0.25"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8:17" x14ac:dyDescent="0.25"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8:17" x14ac:dyDescent="0.25"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8:17" x14ac:dyDescent="0.25"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8:17" x14ac:dyDescent="0.25"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8:17" x14ac:dyDescent="0.25"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8:17" x14ac:dyDescent="0.25"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8:17" x14ac:dyDescent="0.25"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8:17" x14ac:dyDescent="0.25"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8:17" x14ac:dyDescent="0.25"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8:17" x14ac:dyDescent="0.25"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8:17" x14ac:dyDescent="0.25"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8:17" x14ac:dyDescent="0.25"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8:17" x14ac:dyDescent="0.25"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8:17" x14ac:dyDescent="0.25"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8:17" x14ac:dyDescent="0.25"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8:17" x14ac:dyDescent="0.25"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8:17" x14ac:dyDescent="0.25"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8:17" x14ac:dyDescent="0.25"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8:17" x14ac:dyDescent="0.25"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8:17" x14ac:dyDescent="0.25"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8:17" x14ac:dyDescent="0.25"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8:17" x14ac:dyDescent="0.25"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8:17" x14ac:dyDescent="0.25"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8:17" x14ac:dyDescent="0.25"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8:17" x14ac:dyDescent="0.25"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8:17" x14ac:dyDescent="0.25"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8:17" x14ac:dyDescent="0.25"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8:17" x14ac:dyDescent="0.25"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8:17" x14ac:dyDescent="0.25"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8:17" x14ac:dyDescent="0.25"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8:17" x14ac:dyDescent="0.25"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8:17" x14ac:dyDescent="0.25"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8:17" x14ac:dyDescent="0.25"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8:17" x14ac:dyDescent="0.25"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8:17" x14ac:dyDescent="0.25"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8:17" x14ac:dyDescent="0.25"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8:17" x14ac:dyDescent="0.25"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8:17" x14ac:dyDescent="0.25"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8:17" x14ac:dyDescent="0.25"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8:17" x14ac:dyDescent="0.25"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8:17" x14ac:dyDescent="0.25"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8:17" x14ac:dyDescent="0.25"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11D2-253A-4FA7-9993-E6DF71D1FD2A}">
  <dimension ref="A1:Q128"/>
  <sheetViews>
    <sheetView topLeftCell="G1" zoomScale="80" zoomScaleNormal="80" workbookViewId="0">
      <selection activeCell="P21" sqref="P21"/>
    </sheetView>
  </sheetViews>
  <sheetFormatPr defaultRowHeight="15" x14ac:dyDescent="0.25"/>
  <cols>
    <col min="1" max="1" width="5.5703125" bestFit="1" customWidth="1"/>
    <col min="2" max="3" width="21.7109375" bestFit="1" customWidth="1"/>
    <col min="4" max="5" width="16.85546875" bestFit="1" customWidth="1"/>
    <col min="6" max="7" width="17.28515625" bestFit="1" customWidth="1"/>
    <col min="9" max="9" width="17.710937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0.140625" bestFit="1" customWidth="1"/>
  </cols>
  <sheetData>
    <row r="1" spans="1:17" x14ac:dyDescent="0.25">
      <c r="J1" s="12"/>
      <c r="K1" s="12"/>
      <c r="L1" s="12"/>
      <c r="M1" s="12"/>
      <c r="N1" s="12"/>
      <c r="O1" s="12"/>
    </row>
    <row r="2" spans="1:17" ht="30" x14ac:dyDescent="0.25">
      <c r="A2" s="3" t="s">
        <v>52</v>
      </c>
      <c r="B2" s="3" t="s">
        <v>53</v>
      </c>
      <c r="C2" s="3" t="s">
        <v>54</v>
      </c>
      <c r="D2" s="3" t="s">
        <v>88</v>
      </c>
      <c r="E2" s="3" t="s">
        <v>89</v>
      </c>
      <c r="F2" s="3" t="s">
        <v>55</v>
      </c>
      <c r="G2" s="3" t="s">
        <v>90</v>
      </c>
      <c r="J2" s="12" t="s">
        <v>91</v>
      </c>
      <c r="K2" s="12" t="s">
        <v>57</v>
      </c>
      <c r="L2" s="12" t="s">
        <v>60</v>
      </c>
      <c r="M2" s="12" t="s">
        <v>62</v>
      </c>
      <c r="N2" s="12" t="s">
        <v>85</v>
      </c>
      <c r="O2" s="13" t="s">
        <v>86</v>
      </c>
    </row>
    <row r="3" spans="1:17" x14ac:dyDescent="0.25">
      <c r="A3" s="9">
        <v>1</v>
      </c>
      <c r="B3" s="4" t="s">
        <v>56</v>
      </c>
      <c r="C3" s="4" t="s">
        <v>57</v>
      </c>
      <c r="D3" s="4" t="s">
        <v>58</v>
      </c>
      <c r="E3" s="10">
        <v>35977</v>
      </c>
      <c r="F3" s="11">
        <v>10500</v>
      </c>
      <c r="G3" s="11">
        <f>F3*12</f>
        <v>126000</v>
      </c>
      <c r="I3" s="8" t="s">
        <v>92</v>
      </c>
      <c r="J3">
        <f>COUNTA(B3:B27)</f>
        <v>25</v>
      </c>
      <c r="K3">
        <f>COUNTIF($C$3:$C$27,K2)</f>
        <v>8</v>
      </c>
      <c r="L3">
        <f t="shared" ref="L3:O3" si="0">COUNTIF($C$3:$C$27,L2)</f>
        <v>4</v>
      </c>
      <c r="M3">
        <f t="shared" si="0"/>
        <v>4</v>
      </c>
      <c r="N3">
        <f t="shared" si="0"/>
        <v>6</v>
      </c>
      <c r="O3">
        <f t="shared" si="0"/>
        <v>3</v>
      </c>
    </row>
    <row r="4" spans="1:17" x14ac:dyDescent="0.25">
      <c r="A4" s="9">
        <v>2</v>
      </c>
      <c r="B4" s="4" t="s">
        <v>59</v>
      </c>
      <c r="C4" s="4" t="s">
        <v>60</v>
      </c>
      <c r="D4" s="4" t="s">
        <v>58</v>
      </c>
      <c r="E4" s="10">
        <v>36069</v>
      </c>
      <c r="F4" s="11">
        <v>9800</v>
      </c>
      <c r="G4" s="11">
        <f t="shared" ref="G4:G27" si="1">F4*12</f>
        <v>117600</v>
      </c>
      <c r="I4" s="23" t="s">
        <v>58</v>
      </c>
      <c r="J4">
        <f>COUNTIF(D$3:D$27,I4)</f>
        <v>16</v>
      </c>
      <c r="K4">
        <f>COUNTIFS($C$3:$C$27,K$2,$D$3:$D$27,$I4)</f>
        <v>5</v>
      </c>
      <c r="L4">
        <f t="shared" ref="L4:O5" si="2">COUNTIFS($C$3:$C$27,L$2,$D$3:$D$27,$I4)</f>
        <v>2</v>
      </c>
      <c r="M4">
        <f t="shared" si="2"/>
        <v>4</v>
      </c>
      <c r="N4">
        <f t="shared" si="2"/>
        <v>2</v>
      </c>
      <c r="O4">
        <f t="shared" si="2"/>
        <v>3</v>
      </c>
    </row>
    <row r="5" spans="1:17" x14ac:dyDescent="0.25">
      <c r="A5" s="9">
        <v>3</v>
      </c>
      <c r="B5" s="4" t="s">
        <v>61</v>
      </c>
      <c r="C5" s="4" t="s">
        <v>62</v>
      </c>
      <c r="D5" s="4" t="s">
        <v>58</v>
      </c>
      <c r="E5" s="10">
        <v>36628</v>
      </c>
      <c r="F5" s="11">
        <v>10200</v>
      </c>
      <c r="G5" s="11">
        <f t="shared" si="1"/>
        <v>122400</v>
      </c>
      <c r="I5" s="23" t="s">
        <v>87</v>
      </c>
      <c r="J5">
        <f>COUNTIF(D$3:D$27,I5)</f>
        <v>9</v>
      </c>
      <c r="K5">
        <f>COUNTIFS($C$3:$C$27,K$2,$D$3:$D$27,$I5)</f>
        <v>3</v>
      </c>
      <c r="L5">
        <f>COUNTIFS($C$3:$C$27,L$2,$D$3:$D$27,$I5)</f>
        <v>2</v>
      </c>
      <c r="M5">
        <f t="shared" si="2"/>
        <v>0</v>
      </c>
      <c r="N5">
        <f t="shared" si="2"/>
        <v>4</v>
      </c>
      <c r="O5">
        <f t="shared" si="2"/>
        <v>0</v>
      </c>
    </row>
    <row r="6" spans="1:17" x14ac:dyDescent="0.25">
      <c r="A6" s="9">
        <v>4</v>
      </c>
      <c r="B6" s="4" t="s">
        <v>63</v>
      </c>
      <c r="C6" s="4" t="s">
        <v>57</v>
      </c>
      <c r="D6" s="4" t="s">
        <v>58</v>
      </c>
      <c r="E6" s="10">
        <v>36937</v>
      </c>
      <c r="F6" s="11">
        <v>8500</v>
      </c>
      <c r="G6" s="11">
        <f t="shared" si="1"/>
        <v>102000</v>
      </c>
    </row>
    <row r="7" spans="1:17" x14ac:dyDescent="0.25">
      <c r="A7" s="9">
        <v>5</v>
      </c>
      <c r="B7" s="4" t="s">
        <v>64</v>
      </c>
      <c r="C7" s="4" t="s">
        <v>57</v>
      </c>
      <c r="D7" s="4" t="s">
        <v>87</v>
      </c>
      <c r="E7" s="10">
        <v>36992</v>
      </c>
      <c r="F7" s="11">
        <v>7100</v>
      </c>
      <c r="G7" s="11">
        <f t="shared" si="1"/>
        <v>85200</v>
      </c>
      <c r="I7" s="18" t="s">
        <v>97</v>
      </c>
      <c r="J7" s="22">
        <f>SUM(G3:G27)</f>
        <v>2049600</v>
      </c>
      <c r="K7" s="22">
        <f>SUMIF($C$3:$C$27,K2,$G$3:$G$27)</f>
        <v>675600</v>
      </c>
      <c r="L7" s="22">
        <f t="shared" ref="L7:O7" si="3">SUMIF($C$3:$C$27,L2,$G$3:$G$27)</f>
        <v>320400</v>
      </c>
      <c r="M7" s="22">
        <f t="shared" si="3"/>
        <v>393600</v>
      </c>
      <c r="N7" s="22">
        <f t="shared" si="3"/>
        <v>424800</v>
      </c>
      <c r="O7" s="22">
        <f t="shared" si="3"/>
        <v>235200</v>
      </c>
    </row>
    <row r="8" spans="1:17" x14ac:dyDescent="0.25">
      <c r="A8" s="9">
        <v>6</v>
      </c>
      <c r="B8" s="4" t="s">
        <v>65</v>
      </c>
      <c r="C8" s="4" t="s">
        <v>62</v>
      </c>
      <c r="D8" s="4" t="s">
        <v>58</v>
      </c>
      <c r="E8" s="10">
        <v>37323</v>
      </c>
      <c r="F8" s="11">
        <v>8700</v>
      </c>
      <c r="G8" s="11">
        <f t="shared" si="1"/>
        <v>104400</v>
      </c>
      <c r="I8" s="24" t="s">
        <v>58</v>
      </c>
      <c r="J8" s="19">
        <f>SUMIF($D$3:$D$27,I8,$G$3:$G$27)</f>
        <v>1414800</v>
      </c>
      <c r="K8" s="19">
        <f>SUMIFS($G$3:$G$27,$C$3:$C$27,K$2,$D$3:$D$27,$I8)</f>
        <v>456000</v>
      </c>
      <c r="L8" s="19">
        <f t="shared" ref="L8:O9" si="4">SUMIFS($G$3:$G$27,$C$3:$C$27,L$2,$D$3:$D$27,$I8)</f>
        <v>183600</v>
      </c>
      <c r="M8" s="19">
        <f t="shared" si="4"/>
        <v>393600</v>
      </c>
      <c r="N8" s="19">
        <f t="shared" si="4"/>
        <v>146400</v>
      </c>
      <c r="O8" s="19">
        <f t="shared" si="4"/>
        <v>235200</v>
      </c>
    </row>
    <row r="9" spans="1:17" x14ac:dyDescent="0.25">
      <c r="A9" s="9">
        <v>7</v>
      </c>
      <c r="B9" s="4" t="s">
        <v>66</v>
      </c>
      <c r="C9" s="4" t="s">
        <v>85</v>
      </c>
      <c r="D9" s="4" t="s">
        <v>58</v>
      </c>
      <c r="E9" s="10">
        <v>38013</v>
      </c>
      <c r="F9" s="11">
        <v>6600</v>
      </c>
      <c r="G9" s="11">
        <f t="shared" si="1"/>
        <v>79200</v>
      </c>
      <c r="I9" s="24" t="s">
        <v>87</v>
      </c>
      <c r="J9" s="19">
        <f>SUMIF($D$3:$D$27,I9,$G$3:$G$27)</f>
        <v>634800</v>
      </c>
      <c r="K9" s="19">
        <f>SUMIFS($G$3:$G$27,$C$3:$C$27,K$2,$D$3:$D$27,$I9)</f>
        <v>219600</v>
      </c>
      <c r="L9" s="19">
        <f>SUMIFS($G$3:$G$27,$C$3:$C$27,L$2,$D$3:$D$27,$I9)</f>
        <v>136800</v>
      </c>
      <c r="M9" s="19">
        <f t="shared" si="4"/>
        <v>0</v>
      </c>
      <c r="N9" s="19">
        <f t="shared" si="4"/>
        <v>278400</v>
      </c>
      <c r="O9" s="19">
        <f t="shared" si="4"/>
        <v>0</v>
      </c>
    </row>
    <row r="10" spans="1:17" x14ac:dyDescent="0.25">
      <c r="A10" s="9">
        <v>8</v>
      </c>
      <c r="B10" s="4" t="s">
        <v>67</v>
      </c>
      <c r="C10" s="4" t="s">
        <v>62</v>
      </c>
      <c r="D10" s="4" t="s">
        <v>58</v>
      </c>
      <c r="E10" s="10">
        <v>39451</v>
      </c>
      <c r="F10" s="11">
        <v>6600</v>
      </c>
      <c r="G10" s="11">
        <f t="shared" si="1"/>
        <v>79200</v>
      </c>
      <c r="I10" s="16"/>
      <c r="J10" s="16"/>
      <c r="K10" s="16"/>
      <c r="L10" s="16"/>
      <c r="M10" s="16"/>
      <c r="N10" s="16"/>
    </row>
    <row r="11" spans="1:17" x14ac:dyDescent="0.25">
      <c r="A11" s="9">
        <v>9</v>
      </c>
      <c r="B11" s="4" t="s">
        <v>68</v>
      </c>
      <c r="C11" s="4" t="s">
        <v>85</v>
      </c>
      <c r="D11" s="4" t="s">
        <v>87</v>
      </c>
      <c r="E11" s="10">
        <v>39549</v>
      </c>
      <c r="F11" s="11">
        <v>6400</v>
      </c>
      <c r="G11" s="11">
        <f t="shared" si="1"/>
        <v>76800</v>
      </c>
      <c r="H11" s="16"/>
      <c r="I11" s="18" t="s">
        <v>100</v>
      </c>
      <c r="J11" s="21">
        <f>AVERAGE(G3:G27)</f>
        <v>81984</v>
      </c>
      <c r="K11" s="21">
        <f>AVERAGEIF($C3:$C27,K2,$G3:$G27)</f>
        <v>84450</v>
      </c>
      <c r="L11" s="21">
        <f t="shared" ref="L11:O11" si="5">AVERAGEIF($C3:$C27,L2,$G3:$G27)</f>
        <v>80100</v>
      </c>
      <c r="M11" s="21">
        <f t="shared" si="5"/>
        <v>98400</v>
      </c>
      <c r="N11" s="21">
        <f t="shared" si="5"/>
        <v>70800</v>
      </c>
      <c r="O11" s="21">
        <f t="shared" si="5"/>
        <v>78400</v>
      </c>
      <c r="P11" s="16"/>
      <c r="Q11" s="16"/>
    </row>
    <row r="12" spans="1:17" x14ac:dyDescent="0.25">
      <c r="A12" s="9">
        <v>10</v>
      </c>
      <c r="B12" s="4" t="s">
        <v>69</v>
      </c>
      <c r="C12" s="4" t="s">
        <v>62</v>
      </c>
      <c r="D12" s="4" t="s">
        <v>58</v>
      </c>
      <c r="E12" s="10">
        <v>39699</v>
      </c>
      <c r="F12" s="11">
        <v>7300</v>
      </c>
      <c r="G12" s="11">
        <f t="shared" si="1"/>
        <v>87600</v>
      </c>
      <c r="H12" s="16"/>
      <c r="I12" s="24" t="s">
        <v>58</v>
      </c>
      <c r="J12" s="20">
        <f>AVERAGEIF(D$3:D$27,I12,G$3:G$27)</f>
        <v>88425</v>
      </c>
      <c r="K12" s="20">
        <f>AVERAGEIFS($G$3:$G$27,$C$3:$C$27,K$2,$D$3:$D$27,$I12)</f>
        <v>91200</v>
      </c>
      <c r="L12" s="20">
        <f t="shared" ref="L12:O13" si="6">AVERAGEIFS($G$3:$G$27,$C$3:$C$27,L$2,$D$3:$D$27,$I12)</f>
        <v>91800</v>
      </c>
      <c r="M12" s="20">
        <f t="shared" si="6"/>
        <v>98400</v>
      </c>
      <c r="N12" s="20">
        <f t="shared" si="6"/>
        <v>73200</v>
      </c>
      <c r="O12" s="20">
        <f t="shared" si="6"/>
        <v>78400</v>
      </c>
      <c r="P12" s="16"/>
      <c r="Q12" s="16"/>
    </row>
    <row r="13" spans="1:17" x14ac:dyDescent="0.25">
      <c r="A13" s="9">
        <v>11</v>
      </c>
      <c r="B13" s="4" t="s">
        <v>70</v>
      </c>
      <c r="C13" s="4" t="s">
        <v>85</v>
      </c>
      <c r="D13" s="4" t="s">
        <v>87</v>
      </c>
      <c r="E13" s="10">
        <v>39934</v>
      </c>
      <c r="F13" s="11">
        <v>5600</v>
      </c>
      <c r="G13" s="11">
        <f t="shared" si="1"/>
        <v>67200</v>
      </c>
      <c r="H13" s="16"/>
      <c r="I13" s="24" t="s">
        <v>87</v>
      </c>
      <c r="J13" s="20">
        <f>AVERAGEIF(D$3:D$27,I13,G$3:G$27)</f>
        <v>70533.333333333328</v>
      </c>
      <c r="K13" s="20">
        <f>AVERAGEIFS($G$3:$G$27,$C$3:$C$27,K$2,$D$3:$D$27,$I13)</f>
        <v>73200</v>
      </c>
      <c r="L13" s="20">
        <f t="shared" si="6"/>
        <v>68400</v>
      </c>
      <c r="M13" s="20">
        <v>0</v>
      </c>
      <c r="N13" s="20">
        <f t="shared" si="6"/>
        <v>69600</v>
      </c>
      <c r="O13" s="20">
        <v>0</v>
      </c>
      <c r="P13" s="16"/>
      <c r="Q13" s="16"/>
    </row>
    <row r="14" spans="1:17" x14ac:dyDescent="0.25">
      <c r="A14" s="9">
        <v>12</v>
      </c>
      <c r="B14" s="4" t="s">
        <v>71</v>
      </c>
      <c r="C14" s="4" t="s">
        <v>57</v>
      </c>
      <c r="D14" s="4" t="s">
        <v>58</v>
      </c>
      <c r="E14" s="10">
        <v>40171</v>
      </c>
      <c r="F14" s="11">
        <v>6500</v>
      </c>
      <c r="G14" s="11">
        <f t="shared" si="1"/>
        <v>78000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25">
      <c r="A15" s="9">
        <v>13</v>
      </c>
      <c r="B15" s="4" t="s">
        <v>72</v>
      </c>
      <c r="C15" s="4" t="s">
        <v>57</v>
      </c>
      <c r="D15" s="4" t="s">
        <v>87</v>
      </c>
      <c r="E15" s="10">
        <v>40203</v>
      </c>
      <c r="F15" s="11">
        <v>5800</v>
      </c>
      <c r="G15" s="11">
        <f t="shared" si="1"/>
        <v>69600</v>
      </c>
      <c r="H15" s="16"/>
      <c r="I15" s="18" t="s">
        <v>103</v>
      </c>
      <c r="J15" s="19">
        <f>MAX(G3:G27)</f>
        <v>126000</v>
      </c>
      <c r="K15" s="16">
        <f>_xlfn.MAXIFS($G3:$G27,$C3:$C27,K2)</f>
        <v>126000</v>
      </c>
      <c r="L15" s="16">
        <f t="shared" ref="L15:O15" si="7">_xlfn.MAXIFS($G3:$G27,$C3:$C27,L2)</f>
        <v>117600</v>
      </c>
      <c r="M15" s="16">
        <f t="shared" si="7"/>
        <v>122400</v>
      </c>
      <c r="N15" s="16">
        <f t="shared" si="7"/>
        <v>79200</v>
      </c>
      <c r="O15" s="16">
        <f t="shared" si="7"/>
        <v>87600</v>
      </c>
      <c r="P15" s="16"/>
      <c r="Q15" s="16"/>
    </row>
    <row r="16" spans="1:17" x14ac:dyDescent="0.25">
      <c r="A16" s="9">
        <v>14</v>
      </c>
      <c r="B16" s="4" t="s">
        <v>73</v>
      </c>
      <c r="C16" s="4" t="s">
        <v>60</v>
      </c>
      <c r="D16" s="4" t="s">
        <v>58</v>
      </c>
      <c r="E16" s="10">
        <v>40341</v>
      </c>
      <c r="F16" s="11">
        <v>5500</v>
      </c>
      <c r="G16" s="11">
        <f t="shared" si="1"/>
        <v>66000</v>
      </c>
      <c r="H16" s="16"/>
      <c r="I16" s="24" t="s">
        <v>58</v>
      </c>
      <c r="J16" s="16">
        <f>_xlfn.MAXIFS(G$3:G$27,D$3:D$27,I16)</f>
        <v>126000</v>
      </c>
      <c r="K16" s="16">
        <f>_xlfn.MAXIFS($G$3:$G$27,$C$3:$C$27,K$2,$D$3:$D$27,$I16)</f>
        <v>126000</v>
      </c>
      <c r="L16" s="16">
        <f>_xlfn.MAXIFS($G$3:$G$27,$C$3:$C$27,L$2,$D$3:$D$27,$I16)</f>
        <v>117600</v>
      </c>
      <c r="M16" s="16">
        <f t="shared" ref="M16:O17" si="8">_xlfn.MAXIFS($G$3:$G$27,$C$3:$C$27,M$2,$D$3:$D$27,$I16)</f>
        <v>122400</v>
      </c>
      <c r="N16" s="16">
        <f t="shared" si="8"/>
        <v>79200</v>
      </c>
      <c r="O16" s="16">
        <f t="shared" si="8"/>
        <v>87600</v>
      </c>
      <c r="P16" s="16"/>
      <c r="Q16" s="16"/>
    </row>
    <row r="17" spans="1:17" x14ac:dyDescent="0.25">
      <c r="A17" s="9">
        <v>15</v>
      </c>
      <c r="B17" s="4" t="s">
        <v>74</v>
      </c>
      <c r="C17" s="4" t="s">
        <v>60</v>
      </c>
      <c r="D17" s="4" t="s">
        <v>87</v>
      </c>
      <c r="E17" s="10">
        <v>40377</v>
      </c>
      <c r="F17" s="11">
        <v>6200</v>
      </c>
      <c r="G17" s="11">
        <f t="shared" si="1"/>
        <v>74400</v>
      </c>
      <c r="H17" s="16"/>
      <c r="I17" s="24" t="s">
        <v>87</v>
      </c>
      <c r="J17" s="16">
        <f>_xlfn.MAXIFS(G$3:G$27,D$3:D$27,I17)</f>
        <v>85200</v>
      </c>
      <c r="K17" s="16">
        <f>_xlfn.MAXIFS($G$3:$G$27,$C$3:$C$27,K$2,$D$3:$D$27,$I17)</f>
        <v>85200</v>
      </c>
      <c r="L17" s="16">
        <f t="shared" ref="L17" si="9">_xlfn.MAXIFS($G$3:$G$27,$C$3:$C$27,L$2,$D$3:$D$27,$I17)</f>
        <v>74400</v>
      </c>
      <c r="M17" s="16">
        <f t="shared" si="8"/>
        <v>0</v>
      </c>
      <c r="N17" s="16">
        <f t="shared" si="8"/>
        <v>76800</v>
      </c>
      <c r="O17" s="16">
        <f t="shared" si="8"/>
        <v>0</v>
      </c>
      <c r="P17" s="16"/>
      <c r="Q17" s="16"/>
    </row>
    <row r="18" spans="1:17" x14ac:dyDescent="0.25">
      <c r="A18" s="9">
        <v>16</v>
      </c>
      <c r="B18" s="4" t="s">
        <v>75</v>
      </c>
      <c r="C18" s="4" t="s">
        <v>86</v>
      </c>
      <c r="D18" s="4" t="s">
        <v>58</v>
      </c>
      <c r="E18" s="10">
        <v>40474</v>
      </c>
      <c r="F18" s="11">
        <v>7300</v>
      </c>
      <c r="G18" s="11">
        <f t="shared" si="1"/>
        <v>87600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5">
      <c r="A19" s="9">
        <v>17</v>
      </c>
      <c r="B19" s="4" t="s">
        <v>76</v>
      </c>
      <c r="C19" s="4" t="s">
        <v>57</v>
      </c>
      <c r="D19" s="4" t="s">
        <v>58</v>
      </c>
      <c r="E19" s="10">
        <v>41027</v>
      </c>
      <c r="F19" s="11">
        <v>6700</v>
      </c>
      <c r="G19" s="11">
        <f t="shared" si="1"/>
        <v>80400</v>
      </c>
      <c r="H19" s="16"/>
      <c r="I19" s="25" t="s">
        <v>102</v>
      </c>
      <c r="J19" s="26">
        <f>MIN(G3:G27)</f>
        <v>62400</v>
      </c>
      <c r="K19" s="29">
        <f>_xlfn.MINIFS($G3:$G27,$C3:$C27,K2)</f>
        <v>64800</v>
      </c>
      <c r="L19" s="29">
        <f t="shared" ref="L19:O19" si="10">_xlfn.MINIFS($G3:$G27,$C3:$C27,L2)</f>
        <v>62400</v>
      </c>
      <c r="M19" s="29">
        <f t="shared" si="10"/>
        <v>79200</v>
      </c>
      <c r="N19" s="29">
        <f t="shared" si="10"/>
        <v>67200</v>
      </c>
      <c r="O19" s="29">
        <f t="shared" si="10"/>
        <v>70800</v>
      </c>
      <c r="P19" s="16"/>
      <c r="Q19" s="16"/>
    </row>
    <row r="20" spans="1:17" x14ac:dyDescent="0.25">
      <c r="A20" s="9">
        <v>18</v>
      </c>
      <c r="B20" s="4" t="s">
        <v>77</v>
      </c>
      <c r="C20" s="4" t="s">
        <v>60</v>
      </c>
      <c r="D20" s="4" t="s">
        <v>87</v>
      </c>
      <c r="E20" s="10">
        <v>41058</v>
      </c>
      <c r="F20" s="11">
        <v>5200</v>
      </c>
      <c r="G20" s="11">
        <f t="shared" si="1"/>
        <v>62400</v>
      </c>
      <c r="H20" s="16"/>
      <c r="I20" s="30" t="s">
        <v>58</v>
      </c>
      <c r="J20" s="26">
        <f>_xlfn.MINIFS(G$3:G$27,D$3:D$27,I20)</f>
        <v>66000</v>
      </c>
      <c r="K20" s="29">
        <f>_xlfn.MINIFS($G$3:$G$27,$C$3:$C$27,K$2,$D$3:$D$27,$I20)</f>
        <v>69600</v>
      </c>
      <c r="L20" s="29">
        <f t="shared" ref="L20:O21" si="11">_xlfn.MINIFS($G$3:$G$27,$C$3:$C$27,L$2,$D$3:$D$27,$I20)</f>
        <v>66000</v>
      </c>
      <c r="M20" s="29">
        <f t="shared" si="11"/>
        <v>79200</v>
      </c>
      <c r="N20" s="29">
        <f t="shared" si="11"/>
        <v>67200</v>
      </c>
      <c r="O20" s="29">
        <f t="shared" si="11"/>
        <v>70800</v>
      </c>
      <c r="P20" s="16"/>
      <c r="Q20" s="16"/>
    </row>
    <row r="21" spans="1:17" x14ac:dyDescent="0.25">
      <c r="A21" s="9">
        <v>19</v>
      </c>
      <c r="B21" s="4" t="s">
        <v>78</v>
      </c>
      <c r="C21" s="4" t="s">
        <v>57</v>
      </c>
      <c r="D21" s="4" t="s">
        <v>58</v>
      </c>
      <c r="E21" s="10">
        <v>41071</v>
      </c>
      <c r="F21" s="11">
        <v>5800</v>
      </c>
      <c r="G21" s="11">
        <f t="shared" si="1"/>
        <v>69600</v>
      </c>
      <c r="H21" s="16"/>
      <c r="I21" s="30" t="s">
        <v>87</v>
      </c>
      <c r="J21" s="26">
        <f>_xlfn.MINIFS(G$3:G$27,D$3:D$27,I21)</f>
        <v>62400</v>
      </c>
      <c r="K21" s="29">
        <f>_xlfn.MINIFS($G$3:$G$27,$C$3:$C$27,K$2,$D$3:$D$27,$I21)</f>
        <v>64800</v>
      </c>
      <c r="L21" s="29">
        <f t="shared" si="11"/>
        <v>62400</v>
      </c>
      <c r="M21" s="29">
        <f t="shared" si="11"/>
        <v>0</v>
      </c>
      <c r="N21" s="29">
        <f t="shared" si="11"/>
        <v>67200</v>
      </c>
      <c r="O21" s="29">
        <f t="shared" si="11"/>
        <v>0</v>
      </c>
      <c r="P21" s="16"/>
      <c r="Q21" s="16"/>
    </row>
    <row r="22" spans="1:17" x14ac:dyDescent="0.25">
      <c r="A22" s="9">
        <v>20</v>
      </c>
      <c r="B22" s="4" t="s">
        <v>79</v>
      </c>
      <c r="C22" s="4" t="s">
        <v>86</v>
      </c>
      <c r="D22" s="4" t="s">
        <v>58</v>
      </c>
      <c r="E22" s="10">
        <v>41460</v>
      </c>
      <c r="F22" s="11">
        <v>5900</v>
      </c>
      <c r="G22" s="11">
        <f t="shared" si="1"/>
        <v>70800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5">
      <c r="A23" s="9">
        <v>21</v>
      </c>
      <c r="B23" s="4" t="s">
        <v>80</v>
      </c>
      <c r="C23" s="4" t="s">
        <v>57</v>
      </c>
      <c r="D23" s="4" t="s">
        <v>87</v>
      </c>
      <c r="E23" s="10">
        <v>41734</v>
      </c>
      <c r="F23" s="11">
        <v>5400</v>
      </c>
      <c r="G23" s="11">
        <f t="shared" si="1"/>
        <v>64800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5">
      <c r="A24" s="9">
        <v>22</v>
      </c>
      <c r="B24" s="4" t="s">
        <v>81</v>
      </c>
      <c r="C24" s="4" t="s">
        <v>85</v>
      </c>
      <c r="D24" s="4" t="s">
        <v>58</v>
      </c>
      <c r="E24" s="10">
        <v>41853</v>
      </c>
      <c r="F24" s="11">
        <v>5600</v>
      </c>
      <c r="G24" s="11">
        <f t="shared" si="1"/>
        <v>67200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5">
      <c r="A25" s="9">
        <v>23</v>
      </c>
      <c r="B25" s="4" t="s">
        <v>82</v>
      </c>
      <c r="C25" s="4" t="s">
        <v>86</v>
      </c>
      <c r="D25" s="4" t="s">
        <v>58</v>
      </c>
      <c r="E25" s="10">
        <v>43142</v>
      </c>
      <c r="F25" s="11">
        <v>6400</v>
      </c>
      <c r="G25" s="11">
        <f t="shared" si="1"/>
        <v>76800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5">
      <c r="A26" s="9">
        <v>24</v>
      </c>
      <c r="B26" s="4" t="s">
        <v>83</v>
      </c>
      <c r="C26" s="4" t="s">
        <v>85</v>
      </c>
      <c r="D26" s="4" t="s">
        <v>87</v>
      </c>
      <c r="E26" s="10">
        <v>43364</v>
      </c>
      <c r="F26" s="11">
        <v>5600</v>
      </c>
      <c r="G26" s="11">
        <f t="shared" si="1"/>
        <v>67200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5">
      <c r="A27" s="9">
        <v>25</v>
      </c>
      <c r="B27" s="4" t="s">
        <v>84</v>
      </c>
      <c r="C27" s="4" t="s">
        <v>85</v>
      </c>
      <c r="D27" s="4" t="s">
        <v>87</v>
      </c>
      <c r="E27" s="10">
        <v>44104</v>
      </c>
      <c r="F27" s="11">
        <v>5600</v>
      </c>
      <c r="G27" s="11">
        <f t="shared" si="1"/>
        <v>67200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5"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5"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5"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25"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8:17" x14ac:dyDescent="0.25"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8:17" x14ac:dyDescent="0.25"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8:17" x14ac:dyDescent="0.25"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8:17" x14ac:dyDescent="0.25"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8:17" x14ac:dyDescent="0.25"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8:17" x14ac:dyDescent="0.25"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8:17" x14ac:dyDescent="0.25"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8:17" x14ac:dyDescent="0.25"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8:17" x14ac:dyDescent="0.25"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8:17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8:17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8:17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8:17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8:17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8:17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8:17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8:17" x14ac:dyDescent="0.25"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8:17" x14ac:dyDescent="0.25"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8:17" x14ac:dyDescent="0.25"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8:17" x14ac:dyDescent="0.25"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8:17" x14ac:dyDescent="0.25"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8:17" x14ac:dyDescent="0.25"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8:17" x14ac:dyDescent="0.25"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8:17" x14ac:dyDescent="0.25"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8:17" x14ac:dyDescent="0.25"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8:17" x14ac:dyDescent="0.25"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8:17" x14ac:dyDescent="0.25"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8:17" x14ac:dyDescent="0.25"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8:17" x14ac:dyDescent="0.25"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8:17" x14ac:dyDescent="0.25"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8:17" x14ac:dyDescent="0.25"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8:17" x14ac:dyDescent="0.25"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8:17" x14ac:dyDescent="0.25"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8:17" x14ac:dyDescent="0.25"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8:17" x14ac:dyDescent="0.25"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8:17" x14ac:dyDescent="0.25"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8:17" x14ac:dyDescent="0.25"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8:17" x14ac:dyDescent="0.25"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8:17" x14ac:dyDescent="0.25"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8:17" x14ac:dyDescent="0.25"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8:17" x14ac:dyDescent="0.25"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8:17" x14ac:dyDescent="0.25"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8:17" x14ac:dyDescent="0.25"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8:17" x14ac:dyDescent="0.25"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8:17" x14ac:dyDescent="0.25"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8:17" x14ac:dyDescent="0.25"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8:17" x14ac:dyDescent="0.25"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8:17" x14ac:dyDescent="0.25"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8:17" x14ac:dyDescent="0.25"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8:17" x14ac:dyDescent="0.25"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8:17" x14ac:dyDescent="0.25"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8:17" x14ac:dyDescent="0.25"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8:17" x14ac:dyDescent="0.25"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8:17" x14ac:dyDescent="0.25"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8:17" x14ac:dyDescent="0.25"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8:17" x14ac:dyDescent="0.25"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8:17" x14ac:dyDescent="0.25"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8:17" x14ac:dyDescent="0.25"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8:17" x14ac:dyDescent="0.25"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8:17" x14ac:dyDescent="0.25"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8:17" x14ac:dyDescent="0.25"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8:17" x14ac:dyDescent="0.25"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8:17" x14ac:dyDescent="0.25"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8:17" x14ac:dyDescent="0.25"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8:17" x14ac:dyDescent="0.25"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8:17" x14ac:dyDescent="0.25"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8:17" x14ac:dyDescent="0.25"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8:17" x14ac:dyDescent="0.25"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8:17" x14ac:dyDescent="0.25"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8:17" x14ac:dyDescent="0.25"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8:17" x14ac:dyDescent="0.25"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8:17" x14ac:dyDescent="0.25"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8:17" x14ac:dyDescent="0.25"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8:17" x14ac:dyDescent="0.25"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8:17" x14ac:dyDescent="0.25"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8:17" x14ac:dyDescent="0.25"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8:17" x14ac:dyDescent="0.25"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8:17" x14ac:dyDescent="0.25"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8:17" x14ac:dyDescent="0.25"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8:17" x14ac:dyDescent="0.25"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8:17" x14ac:dyDescent="0.25"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8:17" x14ac:dyDescent="0.25"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8:17" x14ac:dyDescent="0.25"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8:17" x14ac:dyDescent="0.25"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8:17" x14ac:dyDescent="0.25"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8:17" x14ac:dyDescent="0.25"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8:17" x14ac:dyDescent="0.25"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8:17" x14ac:dyDescent="0.25"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8:17" x14ac:dyDescent="0.25"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8:17" x14ac:dyDescent="0.25"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8:17" x14ac:dyDescent="0.25"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8:17" x14ac:dyDescent="0.25"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8:17" x14ac:dyDescent="0.25"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8:17" x14ac:dyDescent="0.25"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8:17" x14ac:dyDescent="0.25"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8:17" x14ac:dyDescent="0.25"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BEDMAS</vt:lpstr>
      <vt:lpstr>WithoutFunctions</vt:lpstr>
      <vt:lpstr>IF</vt:lpstr>
      <vt:lpstr>Count&amp;CountIF</vt:lpstr>
      <vt:lpstr>SUM</vt:lpstr>
      <vt:lpstr>Average</vt:lpstr>
      <vt:lpstr>Average IFS</vt:lpstr>
      <vt:lpstr>MAX</vt:lpstr>
      <vt:lpstr>MIN IFS</vt:lpstr>
      <vt:lpstr>Proportion&amp;UpdatingCalculation</vt:lpstr>
      <vt:lpstr>ConditionalFormatting</vt:lpstr>
      <vt:lpstr>WorkingWithTables</vt:lpstr>
      <vt:lpstr>FormattingTable</vt:lpstr>
      <vt:lpstr>Filtering&amp;Sorting</vt:lpstr>
      <vt:lpstr>Filtering&amp;Sorting(2ndTable)</vt:lpstr>
      <vt:lpstr>Freeze&amp;Split</vt:lpstr>
      <vt:lpstr>Printing&amp;Layouts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2023-10-16T07:01:48Z</cp:lastPrinted>
  <dcterms:created xsi:type="dcterms:W3CDTF">2023-10-12T05:42:26Z</dcterms:created>
  <dcterms:modified xsi:type="dcterms:W3CDTF">2023-10-16T07:04:34Z</dcterms:modified>
</cp:coreProperties>
</file>